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65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<sst xmlns="http://schemas.openxmlformats.org/spreadsheetml/2006/main" count="1325" uniqueCount="626">
  <si>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</si>
  <si>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</si>
  <si>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</si>
  <si>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</si>
  <si>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</si>
  <si>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</si>
  <si>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</si>
  <si>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</si>
  <si>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</si>
  <si>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</si>
  <si>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</si>
  <si>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</si>
  <si>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</si>
  <si>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</si>
  <si>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</si>
  <si>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</si>
  <si>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</si>
  <si>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</si>
  <si>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</si>
  <si>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</si>
  <si>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</si>
  <si>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</si>
  <si>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</si>
  <si>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</si>
  <si>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</si>
  <si>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</si>
  <si>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</si>
  <si>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</si>
  <si>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</si>
  <si>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</si>
  <si>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</si>
  <si>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</si>
  <si>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</si>
  <si>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</si>
  <si>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</si>
  <si>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</si>
  <si>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</si>
  <si>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</si>
  <si>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</si>
  <si>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</si>
  <si>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</si>
  <si>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</si>
  <si>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</si>
  <si>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</si>
  <si>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</si>
  <si>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</si>
  <si>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</si>
  <si>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</si>
  <si>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</si>
  <si>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</si>
  <si>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</si>
  <si>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</si>
  <si>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</si>
  <si>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</si>
  <si>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</si>
  <si>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</si>
  <si>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</si>
  <si>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</si>
  <si>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</si>
  <si>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</si>
  <si>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</si>
  <si>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</si>
  <si>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</si>
  <si>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</si>
  <si>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</si>
  <si>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</si>
  <si>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</si>
  <si>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</si>
  <si>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</si>
  <si>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</si>
  <si>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</si>
  <si>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</si>
  <si>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</si>
  <si>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</si>
  <si>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</si>
  <si>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</si>
  <si>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</si>
  <si>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</si>
  <si>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</si>
  <si>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</si>
  <si>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</si>
  <si>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</si>
  <si>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</si>
  <si>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</si>
  <si>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</si>
  <si>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</si>
  <si>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</si>
  <si>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</si>
  <si>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</si>
  <si>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</si>
  <si>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</si>
  <si>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</si>
  <si>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</si>
  <si>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</si>
  <si>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</si>
  <si>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</si>
  <si>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</si>
  <si>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</si>
  <si>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</si>
  <si>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</si>
  <si>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</si>
  <si>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</si>
  <si>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</si>
  <si>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</si>
  <si>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</si>
  <si>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</si>
  <si>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</si>
  <si>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</si>
  <si>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</si>
  <si>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</si>
  <si>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</si>
  <si>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</si>
  <si>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</si>
  <si>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</si>
  <si>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</si>
  <si>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</si>
  <si>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</si>
  <si>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</si>
  <si>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</si>
  <si>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</si>
  <si>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</si>
  <si>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</si>
  <si>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Poznámka:</t>
  </si>
  <si>
    <t>Objekt</t>
  </si>
  <si>
    <t>Kód</t>
  </si>
  <si>
    <t>0</t>
  </si>
  <si>
    <t>073844241R00</t>
  </si>
  <si>
    <t>078877212R00</t>
  </si>
  <si>
    <t>076972521R00</t>
  </si>
  <si>
    <t>119001401R00</t>
  </si>
  <si>
    <t>119001411R00</t>
  </si>
  <si>
    <t>119001402R00</t>
  </si>
  <si>
    <t>119001421R00</t>
  </si>
  <si>
    <t>115201511R00</t>
  </si>
  <si>
    <t>115201401R00</t>
  </si>
  <si>
    <t>121101100R00</t>
  </si>
  <si>
    <t>122201101R00</t>
  </si>
  <si>
    <t>122201109R00</t>
  </si>
  <si>
    <t>130001101R00</t>
  </si>
  <si>
    <t>132201210R00</t>
  </si>
  <si>
    <t>132201211R00</t>
  </si>
  <si>
    <t>151101101R00</t>
  </si>
  <si>
    <t>151101111R00</t>
  </si>
  <si>
    <t>151401501R00</t>
  </si>
  <si>
    <t>161101101R00</t>
  </si>
  <si>
    <t>167101101R00</t>
  </si>
  <si>
    <t>174101101R00</t>
  </si>
  <si>
    <t>175101101RT2</t>
  </si>
  <si>
    <t>181201102R00</t>
  </si>
  <si>
    <t>182301125R00</t>
  </si>
  <si>
    <t>180403112R00</t>
  </si>
  <si>
    <t>199000002R00</t>
  </si>
  <si>
    <t>212312111R00</t>
  </si>
  <si>
    <t>212755115R00</t>
  </si>
  <si>
    <t>211561111R00</t>
  </si>
  <si>
    <t>212971121R00</t>
  </si>
  <si>
    <t>319201316R00</t>
  </si>
  <si>
    <t>434191421R00</t>
  </si>
  <si>
    <t>451572111R00</t>
  </si>
  <si>
    <t>564231111R00</t>
  </si>
  <si>
    <t>596811111R00</t>
  </si>
  <si>
    <t>622311521R00</t>
  </si>
  <si>
    <t>622311520R00</t>
  </si>
  <si>
    <t>620991121R00</t>
  </si>
  <si>
    <t>622300131R00</t>
  </si>
  <si>
    <t>622311023R00</t>
  </si>
  <si>
    <t>622311521RU1</t>
  </si>
  <si>
    <t>622311553RT1</t>
  </si>
  <si>
    <t>622311233RT5</t>
  </si>
  <si>
    <t>622311153RT5</t>
  </si>
  <si>
    <t>622311754RT5</t>
  </si>
  <si>
    <t>622311350RT5</t>
  </si>
  <si>
    <t>622904112R00</t>
  </si>
  <si>
    <t>711</t>
  </si>
  <si>
    <t>711142559R00</t>
  </si>
  <si>
    <t>711112001RZ1</t>
  </si>
  <si>
    <t>711482020RZ1</t>
  </si>
  <si>
    <t>711491271RZ1</t>
  </si>
  <si>
    <t>711140202R00</t>
  </si>
  <si>
    <t>713</t>
  </si>
  <si>
    <t>713111111RT2</t>
  </si>
  <si>
    <t>713191100R00</t>
  </si>
  <si>
    <t>721</t>
  </si>
  <si>
    <t>721290112R00</t>
  </si>
  <si>
    <t>725</t>
  </si>
  <si>
    <t>725980122R00</t>
  </si>
  <si>
    <t>762</t>
  </si>
  <si>
    <t>764</t>
  </si>
  <si>
    <t>764211444RT2</t>
  </si>
  <si>
    <t>764252401R00</t>
  </si>
  <si>
    <t>764259411R00</t>
  </si>
  <si>
    <t>764510440RT2</t>
  </si>
  <si>
    <t>764554403R00</t>
  </si>
  <si>
    <t>764312821R00</t>
  </si>
  <si>
    <t>764430840R00</t>
  </si>
  <si>
    <t>764410850R00</t>
  </si>
  <si>
    <t>764362391R00</t>
  </si>
  <si>
    <t>766</t>
  </si>
  <si>
    <t>766625245R00</t>
  </si>
  <si>
    <t>783</t>
  </si>
  <si>
    <t>783631003R00</t>
  </si>
  <si>
    <t>783904811R00</t>
  </si>
  <si>
    <t>783424340R00</t>
  </si>
  <si>
    <t>894432111R00</t>
  </si>
  <si>
    <t>899711122R00</t>
  </si>
  <si>
    <t>899623141R00</t>
  </si>
  <si>
    <t>916561111RT7</t>
  </si>
  <si>
    <t>941941041R00</t>
  </si>
  <si>
    <t>941941192R00</t>
  </si>
  <si>
    <t>941941842R00</t>
  </si>
  <si>
    <t>944944011R00</t>
  </si>
  <si>
    <t>944944081R00</t>
  </si>
  <si>
    <t>944945012R00</t>
  </si>
  <si>
    <t>944945812R00</t>
  </si>
  <si>
    <t>941955004R00</t>
  </si>
  <si>
    <t>953941111R00</t>
  </si>
  <si>
    <t>950100003RA0</t>
  </si>
  <si>
    <t>962031133R00</t>
  </si>
  <si>
    <t>962031112R00</t>
  </si>
  <si>
    <t>962036525R00</t>
  </si>
  <si>
    <t>968062244R00</t>
  </si>
  <si>
    <t>968091001R00</t>
  </si>
  <si>
    <t>H711</t>
  </si>
  <si>
    <t>998711101R00</t>
  </si>
  <si>
    <t>H713</t>
  </si>
  <si>
    <t>998713102R00</t>
  </si>
  <si>
    <t>H721</t>
  </si>
  <si>
    <t>998721103R00</t>
  </si>
  <si>
    <t>H762</t>
  </si>
  <si>
    <t>998762103R00</t>
  </si>
  <si>
    <t>H764</t>
  </si>
  <si>
    <t>998764103R00</t>
  </si>
  <si>
    <t>M21</t>
  </si>
  <si>
    <t>210220101RT4</t>
  </si>
  <si>
    <t>210220301RT3</t>
  </si>
  <si>
    <t>210220372RT1</t>
  </si>
  <si>
    <t>210500020RA0</t>
  </si>
  <si>
    <t>M46</t>
  </si>
  <si>
    <t>460490012RT1</t>
  </si>
  <si>
    <t>460270033RT7</t>
  </si>
  <si>
    <t>S</t>
  </si>
  <si>
    <t>979081111R00</t>
  </si>
  <si>
    <t>979990102R00</t>
  </si>
  <si>
    <t>979990163R00</t>
  </si>
  <si>
    <t>979084216R00</t>
  </si>
  <si>
    <t>979086213R00</t>
  </si>
  <si>
    <t>583312054</t>
  </si>
  <si>
    <t>00572410</t>
  </si>
  <si>
    <t>69366198</t>
  </si>
  <si>
    <t>59245601</t>
  </si>
  <si>
    <t>55243555</t>
  </si>
  <si>
    <t>62852251</t>
  </si>
  <si>
    <t>63151379.A</t>
  </si>
  <si>
    <t>283502774</t>
  </si>
  <si>
    <t>Vlašim 258 01</t>
  </si>
  <si>
    <t>Zkrácený popis / Varianta</t>
  </si>
  <si>
    <t>Rozměry</t>
  </si>
  <si>
    <t>Všeobecné konstrukce a práce</t>
  </si>
  <si>
    <t>Úpravy příjezdové komunikace</t>
  </si>
  <si>
    <t>úprava asfaltu po osazení obrubníků</t>
  </si>
  <si>
    <t>nové zemění pod terénem,hromosvod</t>
  </si>
  <si>
    <t>Úprava komínů</t>
  </si>
  <si>
    <t>Přípravné a přidružené práce</t>
  </si>
  <si>
    <t>Dočasné zajištění kanalizačního potrubí do DN 200 mm</t>
  </si>
  <si>
    <t>zajištění proti poškození kanalizace</t>
  </si>
  <si>
    <t>Dočasné zajištění plynového,plast. potrubí do DN 200</t>
  </si>
  <si>
    <t>Dočasné zajištění vodovodního potrubí DN 200-500 mm</t>
  </si>
  <si>
    <t>Dočasné zajištění kabelů - do počtu 3 kabelů</t>
  </si>
  <si>
    <t>zajištění proti poškození kabyly</t>
  </si>
  <si>
    <t>Demontáž odpadního potrubí DN 150</t>
  </si>
  <si>
    <t>denontáž stávajicího potrubý,dešťová kanalizace</t>
  </si>
  <si>
    <t>Montáž  potrubí DN 150 (dešťová kanalizace)</t>
  </si>
  <si>
    <t>provedení nové dešťové kanalizace PVC,napojení na stávajicí kanalizaci</t>
  </si>
  <si>
    <t>Odkopávky a prokopávky</t>
  </si>
  <si>
    <t>Sejmutí ornice, pl. do 400 m2, přemístění do 50 m</t>
  </si>
  <si>
    <t>kolem upravovaných ploch</t>
  </si>
  <si>
    <t>Odkopávky nezapažené v hor. 3 do 100 m3</t>
  </si>
  <si>
    <t>terénní úpravy mezi budovou a rigolem</t>
  </si>
  <si>
    <t>Příplatek za lepivost - odkopávky v hor. 3</t>
  </si>
  <si>
    <t>Hloubené vykopávky</t>
  </si>
  <si>
    <t>Příplatek za ztížené hloubení v blízkosti vedení</t>
  </si>
  <si>
    <t>Příplatek za ztížené hloubení v blízkosti stavby</t>
  </si>
  <si>
    <t>hloubení rýhy pro,drenáže,izolace proti vlhkosti</t>
  </si>
  <si>
    <t>hloubení vsakovací jímky</t>
  </si>
  <si>
    <t>Roubení</t>
  </si>
  <si>
    <t>Pažení a rozepření stěn rýh - příložné - hl.do 2 m</t>
  </si>
  <si>
    <t>zabezpečení výkopu</t>
  </si>
  <si>
    <t>Odstranění pažení stěn rýh - příložné - hl. do 2 m</t>
  </si>
  <si>
    <t>demontáž zabezpečení výkopu</t>
  </si>
  <si>
    <t>Přepažení rozepření - příložné</t>
  </si>
  <si>
    <t>Přemístění výkopku</t>
  </si>
  <si>
    <t>převoz zeminy na staveništi strojně</t>
  </si>
  <si>
    <t>Nakládání výkopku z hor.1-4 v množství do 100 m3</t>
  </si>
  <si>
    <t>nakládání výkopku strojně na mechanizaci</t>
  </si>
  <si>
    <t>Konstrukce ze zemin</t>
  </si>
  <si>
    <t>Zásyp jam, rýh, šachet se zhutněním</t>
  </si>
  <si>
    <t>Obsyp potrubí bez prohození sypaniny</t>
  </si>
  <si>
    <t>zásyp potrubí,kabelů,plynovodu,kanalizace s dodáním štěrkopísku frakce 0 - 22</t>
  </si>
  <si>
    <t>Povrchové úpravy terénu</t>
  </si>
  <si>
    <t>Úprava pláně v násypech v hor. 1-4, se zhutněním</t>
  </si>
  <si>
    <t>zásyp výkopu provedení hutnění po 30 cm</t>
  </si>
  <si>
    <t>Rozprostření ornice, svah, tl. 25-30 cm, do 500 m2</t>
  </si>
  <si>
    <t>kolem upravovaních ploch,teréní úpravy</t>
  </si>
  <si>
    <t>Založení trávníku parterového výsevem  1:2</t>
  </si>
  <si>
    <t>zasetí nového travníku kolem domu</t>
  </si>
  <si>
    <t>Hloubení pro podzemní stěny, ražení a hloubení důlní</t>
  </si>
  <si>
    <t>Poplatek za skládku horniny 1- 4</t>
  </si>
  <si>
    <t>uložení přebytečného výkopku na skládku</t>
  </si>
  <si>
    <t>Úprava podloží a základové spáry</t>
  </si>
  <si>
    <t>betonování pod drenážní potrubý dle projektové dokumentace</t>
  </si>
  <si>
    <t>Trativody z drenážních trubek DN 13 cm bez lože</t>
  </si>
  <si>
    <t>drenážní potrubý</t>
  </si>
  <si>
    <t>Výplň odvodňovacích žeber kam. hrubě drcen. 16 mm</t>
  </si>
  <si>
    <t>propustný zásyp trativodu tl. 30 cm:vsakovací jímka</t>
  </si>
  <si>
    <t>Opláštění trativ. z geot.,sklon nad 1:2,5 do 2,5 m</t>
  </si>
  <si>
    <t>ochrana proti zanesení drenážních trubek</t>
  </si>
  <si>
    <t>Lože  z betonu prostého C 16/20</t>
  </si>
  <si>
    <t>betonáž pod rozvodové skříně HUP</t>
  </si>
  <si>
    <t>Zdi podpěrné a volné</t>
  </si>
  <si>
    <t>Vyrovnání zdiva pod omítku maltou ze SMS tl. 20 mm</t>
  </si>
  <si>
    <t>vyrovnání pod novou hydroizolaci suterénu - celoplošně:</t>
  </si>
  <si>
    <t>Schodiště</t>
  </si>
  <si>
    <t>Osazení stupňů kamenných na desku, broušených</t>
  </si>
  <si>
    <t>vstupní schody - použity vybourané</t>
  </si>
  <si>
    <t>Podkladní a vedlejší konstrukce (kromě vozovek a železničního svršku)</t>
  </si>
  <si>
    <t>Lože pod potrubí z kameniva těženého 0 - 4 mm</t>
  </si>
  <si>
    <t>drenáž do kanalizační sítě,rozšíření pro jímku,nová dešťová kanalizace</t>
  </si>
  <si>
    <t>Podkladní vrstvy komunikací, letišť a ploch</t>
  </si>
  <si>
    <t>Podklad ze štěrkopísku po zhutnění tloušťky 10 cm</t>
  </si>
  <si>
    <t>Kryty pozemních komunikací, letišť a ploch dlážděných (předlažby)</t>
  </si>
  <si>
    <t>Kladení dlaždic kom.pro pěší, lože z kameniva těž.</t>
  </si>
  <si>
    <t>Úprava povrchů vnější</t>
  </si>
  <si>
    <t>zateplení soklu pod úrovní terénu</t>
  </si>
  <si>
    <t>Zakrývání výplní vnějších otvorů z lešení</t>
  </si>
  <si>
    <t>zakrytí oken folií</t>
  </si>
  <si>
    <t>Vyrovnávací tmel tl. do 5 mm</t>
  </si>
  <si>
    <t>Soklová lišta plast KZS Baumit tl. 120 mm</t>
  </si>
  <si>
    <t>zakládací lišta,spojovací materiál</t>
  </si>
  <si>
    <t>zateplení soklu nad úrovní terénu</t>
  </si>
  <si>
    <t>Zateplovací systém Baumit, ostění, EPS F tl. 30 mm s omítkou NanoporTop K1,5, lepidlo openContact</t>
  </si>
  <si>
    <t>zateplení kolem oken,parapety</t>
  </si>
  <si>
    <t>zateplení římsy spodní strana</t>
  </si>
  <si>
    <t>Baumit, povrchová úprava s omítkou NanoporTop K1,5, lepidlo openContact</t>
  </si>
  <si>
    <t>úprava římsy přední strana bez zateplení,omítka rozvodné skříně HUP</t>
  </si>
  <si>
    <t>Očištění fasád tlakovou vodou složitost 1 - 2</t>
  </si>
  <si>
    <t>Izolace proti vodě</t>
  </si>
  <si>
    <t>Izolace proti vlhkosti svislá pásy přitavením</t>
  </si>
  <si>
    <t>Izolace proti vlhkosti svis. nátěr ALP, za studena</t>
  </si>
  <si>
    <t>1x nátěr - včetně dodávky asfaltového laku</t>
  </si>
  <si>
    <t>Izolační systém Technodren, svisle</t>
  </si>
  <si>
    <t>včetně dodávky fólie Technodren a doplňků</t>
  </si>
  <si>
    <t>Izolace tlaková, podkladní textilie svislá</t>
  </si>
  <si>
    <t>Odstr.izolace proti vlhk.svis. pásy přitav.</t>
  </si>
  <si>
    <t>odstranění stávajicí izolace na zdivu.</t>
  </si>
  <si>
    <t>Izolace tepelné</t>
  </si>
  <si>
    <t>Položení separační fólie</t>
  </si>
  <si>
    <t>Vnitřní kanalizace</t>
  </si>
  <si>
    <t>Zařizovací předměty</t>
  </si>
  <si>
    <t>Krycí mříšky z plastu,pr. 125 mm</t>
  </si>
  <si>
    <t>odvetrávání na fasádě</t>
  </si>
  <si>
    <t>Konstrukce tesařské</t>
  </si>
  <si>
    <t>Konstrukce klempířské</t>
  </si>
  <si>
    <t>Krytina hladká z KJG, svitky š. 500 mm, do 30°</t>
  </si>
  <si>
    <t>krytina přístřešky nad vchody</t>
  </si>
  <si>
    <t>Žlaby z KJG plech, podokapní půlkruhové, rš 250 mm</t>
  </si>
  <si>
    <t>okapový systém</t>
  </si>
  <si>
    <t>Kotlík kónický z KJG pro trouby D do 125 mm</t>
  </si>
  <si>
    <t>Oplechování parapetů včetně rohů z KJG, rš 450 mm</t>
  </si>
  <si>
    <t>provedení parapetů</t>
  </si>
  <si>
    <t>Odpadní trouby z KJG plechu, kruhové, D 120 mm</t>
  </si>
  <si>
    <t>dešťové svody,odvod vody ze střechy</t>
  </si>
  <si>
    <t>Demont. krytiny, tab. 2 x 0,67 m, do 25 m2, do 30°</t>
  </si>
  <si>
    <t>stříšky nad vstupy</t>
  </si>
  <si>
    <t>Demontáž oplechování,rš od 330 do 500 mm</t>
  </si>
  <si>
    <t>demontáž stávajicího okapového systému</t>
  </si>
  <si>
    <t>Demontáž oplechování parapetů,rš od 100 do 330 mm</t>
  </si>
  <si>
    <t>Konstrukce truhlářské</t>
  </si>
  <si>
    <t>nové sklepní okna</t>
  </si>
  <si>
    <t>Nátěry</t>
  </si>
  <si>
    <t>Nátěr konstrukcí 2x</t>
  </si>
  <si>
    <t>Odrezivění kovových konstrukcí</t>
  </si>
  <si>
    <t>Nátěr syntet. potrubí do DN 50 mm  Z+2x +1x email</t>
  </si>
  <si>
    <t>Ostatní konstrukce a práce na trubním vedení</t>
  </si>
  <si>
    <t>kontrolní drenážní šachty</t>
  </si>
  <si>
    <t>Fólie výstražná z PVC, šířka 30 cm</t>
  </si>
  <si>
    <t>výstražné folie,kabel,voda,plyn,</t>
  </si>
  <si>
    <t>Obetonování potrubí  betonem C12/15</t>
  </si>
  <si>
    <t>obetonování kanalizačního potrubí,dešťová kanalizace 20%</t>
  </si>
  <si>
    <t>Doplňující konstrukce a práce na pozemních komunikacích a zpevněných plochách</t>
  </si>
  <si>
    <t>Osazení záhon.obrubníků 100/5/20 cm do lože z C 12/15 s opěrou</t>
  </si>
  <si>
    <t>provedení obrubníků kolem domu</t>
  </si>
  <si>
    <t>Lešení a stavební výtahy</t>
  </si>
  <si>
    <t>Montáž lešení leh.řad.s podlahami,š.1,2 m, H 10 m</t>
  </si>
  <si>
    <t>Příplatek za každý měsíc použití lešení k pol.1032</t>
  </si>
  <si>
    <t>pronájem lešení</t>
  </si>
  <si>
    <t>Demontáž lešení leh.řad.s podlahami,š.1,2 m,H 30 m</t>
  </si>
  <si>
    <t>Montáž ochranné sítě z umělých vláken</t>
  </si>
  <si>
    <t>Demontáž ochranné sítě z umělých vláken</t>
  </si>
  <si>
    <t>Montáž záchytné stříšky H 4,5 m, šířky do 2 m</t>
  </si>
  <si>
    <t>Demontáž záchytné stříšky H 4,5 m, šířky do 2 m</t>
  </si>
  <si>
    <t>Lešení lehké pomocné, výška podlahy do 3,5 m</t>
  </si>
  <si>
    <t>oprava komínů</t>
  </si>
  <si>
    <t>Různé dokončovací konstrukce a práce na pozemních stavbách</t>
  </si>
  <si>
    <t>úprava dvířek</t>
  </si>
  <si>
    <t>HUP,elektro</t>
  </si>
  <si>
    <t>položka zahrnuje,demontáž střechy a spětná motnáž,pro začistění komínů,zateplení půdních prostor</t>
  </si>
  <si>
    <t>Bourání konstrukcí</t>
  </si>
  <si>
    <t>Bourání příček cihelných tl. 15 cm</t>
  </si>
  <si>
    <t>Bourání mostních zdí a pilířů z cihel</t>
  </si>
  <si>
    <t>demontáž stávajicích rozvododních skříní HUP</t>
  </si>
  <si>
    <t>odstramění polystyrenu a souvrství</t>
  </si>
  <si>
    <t>Vybourání kovových rámů oken jednoduch. pl. 1 m2</t>
  </si>
  <si>
    <t>Přesun hmot pro izolace proti vodě,</t>
  </si>
  <si>
    <t>manipulace s materiálem</t>
  </si>
  <si>
    <t>Přesun hmot pro izolace tepelné, výšky do 12 m</t>
  </si>
  <si>
    <t>Přesun hmot pro kanalizaci, výšky 1 m</t>
  </si>
  <si>
    <t>Přesun hmot pro tesařské konstrukce, výšky do 24 m</t>
  </si>
  <si>
    <t>Přesun hmot pro klempířské konstr., výšky do 24 m</t>
  </si>
  <si>
    <t>Elektromontáže</t>
  </si>
  <si>
    <t>Vodiče svodové FeZn D do 10,Al 10,Cu 8 +podpěry</t>
  </si>
  <si>
    <t>Svorka hromosvodová do 2 šroubů /SS, SZ, SO/</t>
  </si>
  <si>
    <t>hronosvod</t>
  </si>
  <si>
    <t>Úhelník ochranný nebo trubka s držáky do zdiva</t>
  </si>
  <si>
    <t>včetně ochran.úhelníku + 2 držáky do zdi</t>
  </si>
  <si>
    <t>Venkovní osvětlení  uliční</t>
  </si>
  <si>
    <t>osvětlení vstupu do domu,natažení kabeláže,čidla,světla</t>
  </si>
  <si>
    <t>Zemní práce při montážích</t>
  </si>
  <si>
    <t>Fólie výstražná z PVC, šířka 33 cm</t>
  </si>
  <si>
    <t>fólie PVC šířka 33 cm</t>
  </si>
  <si>
    <t>nová skříň pro HUP</t>
  </si>
  <si>
    <t>Přesuny sutí</t>
  </si>
  <si>
    <t>Odvoz suti a vybour. hmot na skládku do 20 km</t>
  </si>
  <si>
    <t>Poplatek za skládku suti - plast + polystyren</t>
  </si>
  <si>
    <t>odpad po odstranění stávajicího zateplení</t>
  </si>
  <si>
    <t>odvoz odpadu po stávajicím zateplení (Trhový Štěpánov)</t>
  </si>
  <si>
    <t>Nakládání vybouraných hmot na dopravní prostředek</t>
  </si>
  <si>
    <t>Ostatní materiál</t>
  </si>
  <si>
    <t>Kamenivo těžené frakce  0/4  B Středočeský kraj</t>
  </si>
  <si>
    <t>Směs travní parková II. mírná zátěž PROFI</t>
  </si>
  <si>
    <t>Geotextilie FILTEK 300 g/m2 š. 200cm 100% PP,ztratné přesahy</t>
  </si>
  <si>
    <t>Dlaždice betonová 50x50x5 cm šedá</t>
  </si>
  <si>
    <t>Lapač střešních splavenin DN 125</t>
  </si>
  <si>
    <t>Pás modifikovaný asfalt Elastek 40 special mineral 2x vrstva</t>
  </si>
  <si>
    <t>Deska z minerální plsti ORSIK tl. 1200x600x200 mm</t>
  </si>
  <si>
    <t>Začátek výstavby:</t>
  </si>
  <si>
    <t>Konec výstavby:</t>
  </si>
  <si>
    <t>Zpracováno dne:</t>
  </si>
  <si>
    <t>M.j.</t>
  </si>
  <si>
    <t>m2</t>
  </si>
  <si>
    <t>m</t>
  </si>
  <si>
    <t>kus</t>
  </si>
  <si>
    <t>m3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</si>
  <si>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</si>
  <si>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</si>
  <si>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</si>
  <si>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</si>
  <si>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</si>
  <si>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</si>
  <si>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</si>
  <si>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</si>
  <si>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</si>
  <si>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</si>
  <si>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</si>
  <si>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</si>
  <si>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</si>
  <si>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</si>
  <si>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</si>
  <si>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</si>
  <si>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</si>
  <si>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</si>
  <si>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</si>
  <si>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</si>
  <si>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</si>
  <si>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</si>
  <si>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</si>
  <si>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</si>
  <si>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</si>
  <si>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</si>
  <si>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</si>
  <si>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</si>
  <si>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</si>
  <si>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</si>
  <si>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</si>
  <si>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15_</t>
  </si>
  <si>
    <t>16_</t>
  </si>
  <si>
    <t>17_</t>
  </si>
  <si>
    <t>18_</t>
  </si>
  <si>
    <t>19_</t>
  </si>
  <si>
    <t>21_</t>
  </si>
  <si>
    <t>31_</t>
  </si>
  <si>
    <t>43_</t>
  </si>
  <si>
    <t>45_</t>
  </si>
  <si>
    <t>56_</t>
  </si>
  <si>
    <t>59_</t>
  </si>
  <si>
    <t>62_</t>
  </si>
  <si>
    <t>711_</t>
  </si>
  <si>
    <t>713_</t>
  </si>
  <si>
    <t>721_</t>
  </si>
  <si>
    <t>725_</t>
  </si>
  <si>
    <t>762_</t>
  </si>
  <si>
    <t>764_</t>
  </si>
  <si>
    <t>766_</t>
  </si>
  <si>
    <t>783_</t>
  </si>
  <si>
    <t>89_</t>
  </si>
  <si>
    <t>91_</t>
  </si>
  <si>
    <t>94_</t>
  </si>
  <si>
    <t>95_</t>
  </si>
  <si>
    <t>96_</t>
  </si>
  <si>
    <t>H711_</t>
  </si>
  <si>
    <t>H713_</t>
  </si>
  <si>
    <t>H721_</t>
  </si>
  <si>
    <t>H762_</t>
  </si>
  <si>
    <t>H764_</t>
  </si>
  <si>
    <t>M21_</t>
  </si>
  <si>
    <t>M46_</t>
  </si>
  <si>
    <t>S_</t>
  </si>
  <si>
    <t>Z99999_</t>
  </si>
  <si>
    <t>1_</t>
  </si>
  <si>
    <t>2_</t>
  </si>
  <si>
    <t>3_</t>
  </si>
  <si>
    <t>4_</t>
  </si>
  <si>
    <t>5_</t>
  </si>
  <si>
    <t>6_</t>
  </si>
  <si>
    <t>71_</t>
  </si>
  <si>
    <t>72_</t>
  </si>
  <si>
    <t>76_</t>
  </si>
  <si>
    <t>78_</t>
  </si>
  <si>
    <t>8_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</si>
  <si>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</si>
  <si>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</si>
  <si>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</si>
  <si>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</si>
  <si>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</si>
  <si>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</si>
  <si>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</si>
  <si>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</si>
  <si>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</si>
  <si>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</si>
  <si>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</si>
  <si>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</si>
  <si>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</si>
  <si>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</si>
  <si>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</si>
  <si>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</si>
  <si>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</si>
  <si>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</si>
  <si>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</si>
  <si>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DN celkem</t>
  </si>
  <si>
    <t>DN celkem z obj.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</si>
  <si>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</si>
  <si>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</si>
  <si>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</si>
  <si>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</si>
  <si>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</si>
  <si>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</si>
  <si>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</si>
  <si>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</si>
  <si>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</si>
  <si>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</si>
  <si>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</si>
  <si>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</si>
  <si>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</si>
  <si>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</si>
  <si>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</si>
  <si>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</si>
  <si>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</si>
  <si>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</si>
  <si>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</si>
  <si>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</si>
  <si>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 Zemnicí drát, průměr 10 mm</t>
  </si>
  <si>
    <t>zajištění potrubí proti poškození plynovod</t>
  </si>
  <si>
    <t>zajištění potrubí proti poškození voda</t>
  </si>
  <si>
    <t>kanalizace,plynovod,kabely,vodovod,optické kabely,</t>
  </si>
  <si>
    <t>zasypání výkopu zeninou,</t>
  </si>
  <si>
    <t>okapový chodník,strana JV,SV,JZ provedení jedné řady dlaždic,strana SZ provedení dvou řad dlaždic,dlaždice 50 x 50x 5 cm šedá</t>
  </si>
  <si>
    <t>zateplení stříšků nad vstupy</t>
  </si>
  <si>
    <t>Zateplovací systém Baumit, ostění, XPS tl. 30 mm s omítkou MosaikTop K2, lepidlo openContact</t>
  </si>
  <si>
    <t>s omítkou NanoporTop K 1,5</t>
  </si>
  <si>
    <t>provedení přitavení pásů vrstvy 2 x</t>
  </si>
  <si>
    <t>zateplení půdních prostor položení izolace</t>
  </si>
  <si>
    <t>nátěr dvířek elektro</t>
  </si>
  <si>
    <t>nátěr dvířek HUP,</t>
  </si>
  <si>
    <t>stávajicí dvířka HUP,elekro</t>
  </si>
  <si>
    <t>Plastové drenážní šachty revizní prům.200 mm,</t>
  </si>
  <si>
    <t>stávajicí izolační přizdívka pod urovní terénu</t>
  </si>
  <si>
    <t>Bourání malty pod stávajícími parapety</t>
  </si>
  <si>
    <t>Vyzdění skříně z porfix tl.150 mm na maltu</t>
  </si>
  <si>
    <t>Začištění sklepních oken vnitřní</t>
  </si>
  <si>
    <t>Hloubení rýh š.do 200 cm hor.3 do 50 m3,strojně</t>
  </si>
  <si>
    <t>Hloubení rýh š.do 200 cm hor.3 do 10 m3,strojně</t>
  </si>
  <si>
    <t>Zatepl.syst. Baumit, ostění, miner.desky tl. 40 mm s omítkou NanoporTop K1,5, lepidlo openContact</t>
  </si>
  <si>
    <t>Vodorovná doprava vybour. hmot po suchu do 20 km</t>
  </si>
  <si>
    <t>Stavební povolení</t>
  </si>
  <si>
    <t>montáž a demontáž přechodové lávky přez výkop,vstup do domu</t>
  </si>
  <si>
    <t>Vodorovné přemístění výkopku z hor.1-4 do 50 m</t>
  </si>
  <si>
    <t>podklad pod plažbu betonovou, okapový chodník</t>
  </si>
  <si>
    <t xml:space="preserve">pokládka textilie 300 </t>
  </si>
  <si>
    <t>Montáž, demontáž střešní krytiny</t>
  </si>
  <si>
    <t>demontáž stavajicích oken v suterénu,vyčištění půdních prostor,nebude odstraněna tepelná izolace škvára.</t>
  </si>
  <si>
    <t>odstranění omítky pod parapety,nezahrnuje bourání cihel pod porapety z důvodu poškození omítek vnitřních</t>
  </si>
  <si>
    <t>nový hromosvod na fasádě,nebude proveden nový hromosvod na střeše nepožaduje projektová dokumentace</t>
  </si>
  <si>
    <t>Poplatek za skládku suti - směs,zemina,betony</t>
  </si>
  <si>
    <t>odpady staveniště,přebytečný výkopek,EPS,okna,půda,směsný odpad (Trhový Štěpánov)</t>
  </si>
  <si>
    <t>položka zahrnuje,vyčištění spár,provedení spárovaní,oprava komínů 90 %</t>
  </si>
  <si>
    <t xml:space="preserve">Lože trativodu z betonu prostého </t>
  </si>
  <si>
    <t>Zateplovací systém Baumit, sokl, XPS tl. 100 mm</t>
  </si>
  <si>
    <t>Zateplovací systém Baumit, XPS tl. 140 mm,MV tl.140mm</t>
  </si>
  <si>
    <t xml:space="preserve">oprava stávajicích omítek </t>
  </si>
  <si>
    <t>Zateplovací systém Baumit, sokl, XPS tl. 100 mm s mozaikovou MosaikTop K2,lepidlo openContact</t>
  </si>
  <si>
    <t>Izolace tepelné stropů vrchem kladené volně 2 vrstvy EPS100 tl.80 mm</t>
  </si>
  <si>
    <t>položení separační folie pod a nad izolaci isover orsik,půdní prostory</t>
  </si>
  <si>
    <t>Zateplovací systém Baumit, fasáda, EPS Open, tl.140 mm</t>
  </si>
  <si>
    <t xml:space="preserve">Výměna krovu </t>
  </si>
  <si>
    <t>demontáž a montáž krovu s plechovou krytinou</t>
  </si>
  <si>
    <t>krytina střešní</t>
  </si>
  <si>
    <t>Vedlejší rozpočtové nákl.</t>
  </si>
  <si>
    <t>762500025R23</t>
  </si>
  <si>
    <t>ZATEPLENÍ BUDOVY SPŠ VLAŠIM-VELÍŠSKÁ</t>
  </si>
  <si>
    <t>STŘEDNÍ PRŮMYSLOVÁ ŠKOLA</t>
  </si>
  <si>
    <t>Krycí list rozpočtu CN-27/12/19</t>
  </si>
  <si>
    <t>Zkouška těsnosti kanalizace vodou do DN 200</t>
  </si>
  <si>
    <t>Montáž oken jednoduchýc + anglický dvorek</t>
  </si>
  <si>
    <t>osazení nových oken (sklep) vč kanálku</t>
  </si>
  <si>
    <t>Okna rám bílá,sklo matná kůra 1000*600 + Anglický dvorek</t>
  </si>
  <si>
    <t>Demontáž stavajicího zateplení strana ,SVZ</t>
  </si>
  <si>
    <t>Stavební rozpočet  CN-27/12/19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</si>
</sst>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9"/>
      <color indexed="56"/>
      <name val="Arial"/>
      <family val="2"/>
    </font>
    <font>
      <sz val="9"/>
      <color indexed="61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1" fillId="20" borderId="0" applyNumberFormat="0" applyBorder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5" fillId="33" borderId="12" xfId="0" applyNumberFormat="1" applyFont="1" applyFill="1" applyBorder="1" applyAlignment="1" applyProtection="1">
      <alignment horizontal="left" vertical="center"/>
      <protection/>
    </xf>
    <xf numFmtId="4" fontId="15" fillId="33" borderId="12" xfId="0" applyNumberFormat="1" applyFont="1" applyFill="1" applyBorder="1" applyAlignment="1" applyProtection="1">
      <alignment horizontal="right" vertical="center"/>
      <protection/>
    </xf>
    <xf numFmtId="49" fontId="15" fillId="33" borderId="12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4" fontId="15" fillId="33" borderId="0" xfId="0" applyNumberFormat="1" applyFont="1" applyFill="1" applyBorder="1" applyAlignment="1" applyProtection="1">
      <alignment horizontal="right" vertical="center"/>
      <protection/>
    </xf>
    <xf numFmtId="49" fontId="15" fillId="33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" fontId="18" fillId="0" borderId="13" xfId="0" applyNumberFormat="1" applyFont="1" applyFill="1" applyBorder="1" applyAlignment="1" applyProtection="1">
      <alignment horizontal="right" vertical="center"/>
      <protection/>
    </xf>
    <xf numFmtId="49" fontId="18" fillId="0" borderId="13" xfId="0" applyNumberFormat="1" applyFont="1" applyFill="1" applyBorder="1" applyAlignment="1" applyProtection="1">
      <alignment horizontal="right" vertical="center"/>
      <protection/>
    </xf>
    <xf numFmtId="0" fontId="55" fillId="35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4" fontId="12" fillId="34" borderId="34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6" fillId="35" borderId="0" xfId="0" applyNumberFormat="1" applyFont="1" applyFill="1" applyBorder="1" applyAlignment="1" applyProtection="1">
      <alignment horizontal="left" vertical="center"/>
      <protection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15" fillId="33" borderId="12" xfId="0" applyNumberFormat="1" applyFont="1" applyFill="1" applyBorder="1" applyAlignment="1" applyProtection="1">
      <alignment horizontal="left" vertical="center"/>
      <protection/>
    </xf>
    <xf numFmtId="0" fontId="15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2" fillId="34" borderId="45" xfId="0" applyNumberFormat="1" applyFont="1" applyFill="1" applyBorder="1" applyAlignment="1" applyProtection="1">
      <alignment horizontal="left" vertical="center"/>
      <protection/>
    </xf>
    <xf numFmtId="0" fontId="12" fillId="34" borderId="46" xfId="0" applyNumberFormat="1" applyFont="1" applyFill="1" applyBorder="1" applyAlignment="1" applyProtection="1">
      <alignment horizontal="left" vertical="center"/>
      <protection/>
    </xf>
    <xf numFmtId="49" fontId="11" fillId="34" borderId="45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2"/>
  <sheetViews>
    <sheetView workbookViewId="0" topLeftCell="A1">
      <selection activeCell="D134" sqref="D134"/>
    </sheetView>
  </sheetViews>
  <sheetFormatPr defaultColWidth="11.57421875" defaultRowHeight="12.75"/>
  <cols>
    <col min="1" max="1" width="3.57421875" style="0" customWidth="1"/>
    <col min="2" max="2" width="6.421875" style="0" hidden="1" customWidth="1"/>
    <col min="3" max="3" width="13.28125" style="0" customWidth="1"/>
    <col min="4" max="4" width="85.28125" style="0" customWidth="1"/>
    <col min="5" max="5" width="4.28125" style="0" customWidth="1"/>
    <col min="6" max="6" width="9.421875" style="0" customWidth="1"/>
    <col min="7" max="7" width="11.00390625" style="0" customWidth="1"/>
    <col min="8" max="8" width="11.7109375" style="0" hidden="1" customWidth="1"/>
    <col min="9" max="9" width="0.13671875" style="0" customWidth="1"/>
    <col min="10" max="10" width="13.421875" style="0" customWidth="1"/>
    <col min="11" max="11" width="9.7109375" style="0" customWidth="1"/>
    <col min="12" max="12" width="11.7109375" style="0" customWidth="1"/>
    <col min="13" max="13" width="11.7109375" style="0" hidden="1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94" t="s">
        <v>625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2">
      <c r="A2" s="96" t="s">
        <v>0</v>
      </c>
      <c r="B2" s="97"/>
      <c r="C2" s="97"/>
      <c r="D2" s="98" t="s">
        <v>617</v>
      </c>
      <c r="E2" s="100" t="s">
        <v>460</v>
      </c>
      <c r="F2" s="97"/>
      <c r="G2" s="101"/>
      <c r="H2" s="97"/>
      <c r="I2" s="102" t="s">
        <v>460</v>
      </c>
      <c r="J2" s="102"/>
      <c r="K2" s="97"/>
      <c r="L2" s="97"/>
      <c r="M2" s="103"/>
      <c r="N2" s="25"/>
    </row>
    <row r="3" spans="1:14" ht="12">
      <c r="A3" s="93"/>
      <c r="B3" s="84"/>
      <c r="C3" s="84"/>
      <c r="D3" s="99"/>
      <c r="E3" s="84"/>
      <c r="F3" s="84"/>
      <c r="G3" s="84"/>
      <c r="H3" s="84"/>
      <c r="I3" s="84"/>
      <c r="J3" s="84"/>
      <c r="K3" s="84"/>
      <c r="L3" s="84"/>
      <c r="M3" s="90"/>
      <c r="N3" s="25"/>
    </row>
    <row r="4" spans="1:14" ht="12">
      <c r="A4" s="83" t="s">
        <v>1</v>
      </c>
      <c r="B4" s="84"/>
      <c r="C4" s="84"/>
      <c r="D4" s="87"/>
      <c r="E4" s="92" t="s">
        <v>461</v>
      </c>
      <c r="F4" s="84"/>
      <c r="G4" s="89"/>
      <c r="H4" s="84"/>
      <c r="I4" s="87" t="s">
        <v>461</v>
      </c>
      <c r="J4" s="87"/>
      <c r="K4" s="84"/>
      <c r="L4" s="84"/>
      <c r="M4" s="90"/>
      <c r="N4" s="25"/>
    </row>
    <row r="5" spans="1:14" ht="12">
      <c r="A5" s="9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90"/>
      <c r="N5" s="25"/>
    </row>
    <row r="6" spans="1:14" ht="12">
      <c r="A6" s="83" t="s">
        <v>2</v>
      </c>
      <c r="B6" s="84"/>
      <c r="C6" s="84"/>
      <c r="D6" s="87" t="s">
        <v>254</v>
      </c>
      <c r="E6" s="92" t="s">
        <v>462</v>
      </c>
      <c r="F6" s="84"/>
      <c r="G6" s="84"/>
      <c r="H6" s="84"/>
      <c r="I6" s="87" t="s">
        <v>462</v>
      </c>
      <c r="J6" s="87"/>
      <c r="K6" s="84"/>
      <c r="L6" s="84"/>
      <c r="M6" s="90"/>
      <c r="N6" s="25"/>
    </row>
    <row r="7" spans="1:14" ht="12">
      <c r="A7" s="9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90"/>
      <c r="N7" s="25"/>
    </row>
    <row r="8" spans="1:14" ht="12">
      <c r="A8" s="83" t="s">
        <v>3</v>
      </c>
      <c r="B8" s="84"/>
      <c r="C8" s="84"/>
      <c r="D8" s="87"/>
      <c r="E8" s="88" t="s">
        <v>446</v>
      </c>
      <c r="F8" s="84"/>
      <c r="G8" s="89">
        <v>43826</v>
      </c>
      <c r="H8" s="84"/>
      <c r="I8" s="87" t="s">
        <v>463</v>
      </c>
      <c r="J8" s="87"/>
      <c r="K8" s="84"/>
      <c r="L8" s="84"/>
      <c r="M8" s="90"/>
      <c r="N8" s="25"/>
    </row>
    <row r="9" spans="1:14" ht="12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91"/>
      <c r="N9" s="25"/>
    </row>
    <row r="10" spans="1:14" ht="12.75">
      <c r="A10" s="1" t="s">
        <v>4</v>
      </c>
      <c r="B10" s="9" t="s">
        <v>123</v>
      </c>
      <c r="C10" s="9" t="s">
        <v>124</v>
      </c>
      <c r="D10" s="9" t="s">
        <v>255</v>
      </c>
      <c r="E10" s="9" t="s">
        <v>447</v>
      </c>
      <c r="F10" s="12" t="s">
        <v>454</v>
      </c>
      <c r="G10" s="15" t="s">
        <v>455</v>
      </c>
      <c r="H10" s="78" t="s">
        <v>457</v>
      </c>
      <c r="I10" s="79"/>
      <c r="J10" s="80"/>
      <c r="K10" s="78" t="s">
        <v>466</v>
      </c>
      <c r="L10" s="80"/>
      <c r="M10" s="21" t="s">
        <v>467</v>
      </c>
      <c r="N10" s="26"/>
    </row>
    <row r="11" spans="1:24" ht="12.75">
      <c r="A11" s="2" t="s">
        <v>5</v>
      </c>
      <c r="B11" s="10" t="s">
        <v>5</v>
      </c>
      <c r="C11" s="10" t="s">
        <v>5</v>
      </c>
      <c r="D11" s="11" t="s">
        <v>256</v>
      </c>
      <c r="E11" s="10" t="s">
        <v>5</v>
      </c>
      <c r="F11" s="10" t="s">
        <v>5</v>
      </c>
      <c r="G11" s="16" t="s">
        <v>456</v>
      </c>
      <c r="H11" s="17" t="s">
        <v>458</v>
      </c>
      <c r="I11" s="18" t="s">
        <v>464</v>
      </c>
      <c r="J11" s="19" t="s">
        <v>465</v>
      </c>
      <c r="K11" s="17" t="s">
        <v>455</v>
      </c>
      <c r="L11" s="19" t="s">
        <v>465</v>
      </c>
      <c r="M11" s="22" t="s">
        <v>468</v>
      </c>
      <c r="N11" s="26"/>
      <c r="P11" s="20" t="s">
        <v>470</v>
      </c>
      <c r="Q11" s="20" t="s">
        <v>471</v>
      </c>
      <c r="R11" s="20" t="s">
        <v>472</v>
      </c>
      <c r="S11" s="20" t="s">
        <v>473</v>
      </c>
      <c r="T11" s="20" t="s">
        <v>474</v>
      </c>
      <c r="U11" s="20" t="s">
        <v>475</v>
      </c>
      <c r="V11" s="20" t="s">
        <v>476</v>
      </c>
      <c r="W11" s="20" t="s">
        <v>477</v>
      </c>
      <c r="X11" s="20" t="s">
        <v>478</v>
      </c>
    </row>
    <row r="12" spans="1:37" ht="12.75">
      <c r="A12" s="3"/>
      <c r="B12" s="48"/>
      <c r="C12" s="48" t="s">
        <v>125</v>
      </c>
      <c r="D12" s="81" t="s">
        <v>257</v>
      </c>
      <c r="E12" s="82"/>
      <c r="F12" s="82"/>
      <c r="G12" s="82"/>
      <c r="H12" s="49">
        <f>SUM(H13:H17)</f>
        <v>0</v>
      </c>
      <c r="I12" s="49">
        <f>SUM(I13:I17)</f>
        <v>0</v>
      </c>
      <c r="J12" s="49">
        <f>H12+I12</f>
        <v>0</v>
      </c>
      <c r="K12" s="50"/>
      <c r="L12" s="49">
        <f>SUM(L13:L17)</f>
        <v>0</v>
      </c>
      <c r="M12" s="50"/>
      <c r="Y12" s="20"/>
      <c r="AI12" s="29">
        <f>SUM(Z13:Z17)</f>
        <v>0</v>
      </c>
      <c r="AJ12" s="29">
        <f>SUM(AA13:AA17)</f>
        <v>0</v>
      </c>
      <c r="AK12" s="29">
        <f>SUM(AB13:AB17)</f>
        <v>0</v>
      </c>
    </row>
    <row r="13" spans="1:48" ht="12.75">
      <c r="A13" s="4" t="s">
        <v>6</v>
      </c>
      <c r="B13" s="51"/>
      <c r="C13" s="51" t="s">
        <v>126</v>
      </c>
      <c r="D13" s="51" t="s">
        <v>258</v>
      </c>
      <c r="E13" s="51" t="s">
        <v>448</v>
      </c>
      <c r="F13" s="52">
        <v>264</v>
      </c>
      <c r="G13" s="52"/>
      <c r="H13" s="52">
        <f>F13*AE13</f>
        <v>0</v>
      </c>
      <c r="I13" s="52">
        <f>J13-H13</f>
        <v>0</v>
      </c>
      <c r="J13" s="52">
        <f>F13*G13</f>
        <v>0</v>
      </c>
      <c r="K13" s="52">
        <v>0</v>
      </c>
      <c r="L13" s="52">
        <f>F13*K13</f>
        <v>0</v>
      </c>
      <c r="M13" s="53" t="s">
        <v>469</v>
      </c>
      <c r="P13" s="27">
        <f>IF(AG13="5",J13,0)</f>
        <v>0</v>
      </c>
      <c r="R13" s="27">
        <f>IF(AG13="1",H13,0)</f>
        <v>0</v>
      </c>
      <c r="S13" s="27">
        <f>IF(AG13="1",I13,0)</f>
        <v>0</v>
      </c>
      <c r="T13" s="27">
        <f>IF(AG13="7",H13,0)</f>
        <v>0</v>
      </c>
      <c r="U13" s="27">
        <f>IF(AG13="7",I13,0)</f>
        <v>0</v>
      </c>
      <c r="V13" s="27">
        <f>IF(AG13="2",H13,0)</f>
        <v>0</v>
      </c>
      <c r="W13" s="27">
        <f>IF(AG13="2",I13,0)</f>
        <v>0</v>
      </c>
      <c r="X13" s="27">
        <f>IF(AG13="0",J13,0)</f>
        <v>0</v>
      </c>
      <c r="Y13" s="20"/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7">
        <v>15</v>
      </c>
      <c r="AE13" s="27">
        <f>G13*0</f>
        <v>0</v>
      </c>
      <c r="AF13" s="27">
        <f>G13*(1-0)</f>
        <v>0</v>
      </c>
      <c r="AG13" s="23" t="s">
        <v>6</v>
      </c>
      <c r="AM13" s="27">
        <f>F13*AE13</f>
        <v>0</v>
      </c>
      <c r="AN13" s="27">
        <f>F13*AF13</f>
        <v>0</v>
      </c>
      <c r="AO13" s="28" t="s">
        <v>479</v>
      </c>
      <c r="AP13" s="28" t="s">
        <v>479</v>
      </c>
      <c r="AQ13" s="20" t="s">
        <v>530</v>
      </c>
      <c r="AS13" s="27">
        <f>AM13+AN13</f>
        <v>0</v>
      </c>
      <c r="AT13" s="27">
        <f>G13/(100-AU13)*100</f>
        <v>0</v>
      </c>
      <c r="AU13" s="27">
        <v>0</v>
      </c>
      <c r="AV13" s="27">
        <f>L13</f>
        <v>0</v>
      </c>
    </row>
    <row r="14" spans="2:13" ht="12">
      <c r="B14" s="54"/>
      <c r="C14" s="54"/>
      <c r="D14" s="65" t="s">
        <v>259</v>
      </c>
      <c r="E14" s="54"/>
      <c r="F14" s="54"/>
      <c r="G14" s="54"/>
      <c r="H14" s="54"/>
      <c r="I14" s="54"/>
      <c r="J14" s="54"/>
      <c r="K14" s="54"/>
      <c r="L14" s="54"/>
      <c r="M14" s="54"/>
    </row>
    <row r="15" spans="1:48" ht="12.75">
      <c r="A15" s="4" t="s">
        <v>7</v>
      </c>
      <c r="B15" s="51"/>
      <c r="C15" s="51" t="s">
        <v>127</v>
      </c>
      <c r="D15" s="51" t="s">
        <v>569</v>
      </c>
      <c r="E15" s="51" t="s">
        <v>449</v>
      </c>
      <c r="F15" s="52">
        <v>342</v>
      </c>
      <c r="G15" s="52"/>
      <c r="H15" s="52">
        <f>F15*AE15</f>
        <v>0</v>
      </c>
      <c r="I15" s="52">
        <f>J15-H15</f>
        <v>0</v>
      </c>
      <c r="J15" s="52">
        <f>F15*G15</f>
        <v>0</v>
      </c>
      <c r="K15" s="52">
        <v>0</v>
      </c>
      <c r="L15" s="52">
        <f>F15*K15</f>
        <v>0</v>
      </c>
      <c r="M15" s="53" t="s">
        <v>469</v>
      </c>
      <c r="P15" s="27">
        <f>IF(AG15="5",J15,0)</f>
        <v>0</v>
      </c>
      <c r="R15" s="27">
        <f>IF(AG15="1",H15,0)</f>
        <v>0</v>
      </c>
      <c r="S15" s="27">
        <f>IF(AG15="1",I15,0)</f>
        <v>0</v>
      </c>
      <c r="T15" s="27">
        <f>IF(AG15="7",H15,0)</f>
        <v>0</v>
      </c>
      <c r="U15" s="27">
        <f>IF(AG15="7",I15,0)</f>
        <v>0</v>
      </c>
      <c r="V15" s="27">
        <f>IF(AG15="2",H15,0)</f>
        <v>0</v>
      </c>
      <c r="W15" s="27">
        <f>IF(AG15="2",I15,0)</f>
        <v>0</v>
      </c>
      <c r="X15" s="27">
        <f>IF(AG15="0",J15,0)</f>
        <v>0</v>
      </c>
      <c r="Y15" s="20"/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27">
        <v>15</v>
      </c>
      <c r="AE15" s="27">
        <f>G15*0</f>
        <v>0</v>
      </c>
      <c r="AF15" s="27">
        <f>G15*(1-0)</f>
        <v>0</v>
      </c>
      <c r="AG15" s="23" t="s">
        <v>6</v>
      </c>
      <c r="AM15" s="27">
        <f>F15*AE15</f>
        <v>0</v>
      </c>
      <c r="AN15" s="27">
        <f>F15*AF15</f>
        <v>0</v>
      </c>
      <c r="AO15" s="28" t="s">
        <v>479</v>
      </c>
      <c r="AP15" s="28" t="s">
        <v>479</v>
      </c>
      <c r="AQ15" s="20" t="s">
        <v>530</v>
      </c>
      <c r="AS15" s="27">
        <f>AM15+AN15</f>
        <v>0</v>
      </c>
      <c r="AT15" s="27">
        <f>G15/(100-AU15)*100</f>
        <v>0</v>
      </c>
      <c r="AU15" s="27">
        <v>0</v>
      </c>
      <c r="AV15" s="27">
        <f>L15</f>
        <v>0</v>
      </c>
    </row>
    <row r="16" spans="2:13" ht="12">
      <c r="B16" s="54"/>
      <c r="C16" s="54"/>
      <c r="D16" s="66" t="s">
        <v>260</v>
      </c>
      <c r="E16" s="54"/>
      <c r="F16" s="54"/>
      <c r="G16" s="54"/>
      <c r="H16" s="54"/>
      <c r="I16" s="54"/>
      <c r="J16" s="54"/>
      <c r="K16" s="54"/>
      <c r="L16" s="54"/>
      <c r="M16" s="54"/>
    </row>
    <row r="17" spans="1:48" ht="12.75">
      <c r="A17" s="4" t="s">
        <v>8</v>
      </c>
      <c r="B17" s="51"/>
      <c r="C17" s="51" t="s">
        <v>128</v>
      </c>
      <c r="D17" s="51" t="s">
        <v>261</v>
      </c>
      <c r="E17" s="51" t="s">
        <v>450</v>
      </c>
      <c r="F17" s="52">
        <v>6</v>
      </c>
      <c r="G17" s="52"/>
      <c r="H17" s="52">
        <f>F17*AE17</f>
        <v>0</v>
      </c>
      <c r="I17" s="52">
        <f>J17-H17</f>
        <v>0</v>
      </c>
      <c r="J17" s="52">
        <f>F17*G17</f>
        <v>0</v>
      </c>
      <c r="K17" s="52">
        <v>0</v>
      </c>
      <c r="L17" s="52">
        <f>F17*K17</f>
        <v>0</v>
      </c>
      <c r="M17" s="53" t="s">
        <v>469</v>
      </c>
      <c r="P17" s="27">
        <f>IF(AG17="5",J17,0)</f>
        <v>0</v>
      </c>
      <c r="R17" s="27">
        <f>IF(AG17="1",H17,0)</f>
        <v>0</v>
      </c>
      <c r="S17" s="27">
        <f>IF(AG17="1",I17,0)</f>
        <v>0</v>
      </c>
      <c r="T17" s="27">
        <f>IF(AG17="7",H17,0)</f>
        <v>0</v>
      </c>
      <c r="U17" s="27">
        <f>IF(AG17="7",I17,0)</f>
        <v>0</v>
      </c>
      <c r="V17" s="27">
        <f>IF(AG17="2",H17,0)</f>
        <v>0</v>
      </c>
      <c r="W17" s="27">
        <f>IF(AG17="2",I17,0)</f>
        <v>0</v>
      </c>
      <c r="X17" s="27">
        <f>IF(AG17="0",J17,0)</f>
        <v>0</v>
      </c>
      <c r="Y17" s="20"/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7">
        <v>15</v>
      </c>
      <c r="AE17" s="27">
        <f>G17*0</f>
        <v>0</v>
      </c>
      <c r="AF17" s="27">
        <f>G17*(1-0)</f>
        <v>0</v>
      </c>
      <c r="AG17" s="23" t="s">
        <v>6</v>
      </c>
      <c r="AM17" s="27">
        <f>F17*AE17</f>
        <v>0</v>
      </c>
      <c r="AN17" s="27">
        <f>F17*AF17</f>
        <v>0</v>
      </c>
      <c r="AO17" s="28" t="s">
        <v>479</v>
      </c>
      <c r="AP17" s="28" t="s">
        <v>479</v>
      </c>
      <c r="AQ17" s="20" t="s">
        <v>530</v>
      </c>
      <c r="AS17" s="27">
        <f>AM17+AN17</f>
        <v>0</v>
      </c>
      <c r="AT17" s="27">
        <f>G17/(100-AU17)*100</f>
        <v>0</v>
      </c>
      <c r="AU17" s="27">
        <v>0</v>
      </c>
      <c r="AV17" s="27">
        <f>L17</f>
        <v>0</v>
      </c>
    </row>
    <row r="18" spans="2:13" ht="12">
      <c r="B18" s="54"/>
      <c r="C18" s="54"/>
      <c r="D18" s="66" t="s">
        <v>603</v>
      </c>
      <c r="E18" s="54"/>
      <c r="F18" s="54"/>
      <c r="G18" s="54"/>
      <c r="H18" s="54"/>
      <c r="I18" s="54"/>
      <c r="J18" s="54"/>
      <c r="K18" s="54"/>
      <c r="L18" s="54"/>
      <c r="M18" s="54"/>
    </row>
    <row r="19" spans="1:37" ht="12.75">
      <c r="A19" s="5"/>
      <c r="B19" s="55"/>
      <c r="C19" s="55" t="s">
        <v>16</v>
      </c>
      <c r="D19" s="72" t="s">
        <v>262</v>
      </c>
      <c r="E19" s="73"/>
      <c r="F19" s="73"/>
      <c r="G19" s="73"/>
      <c r="H19" s="56">
        <f>SUM(H20:H30)</f>
        <v>0</v>
      </c>
      <c r="I19" s="56">
        <f>SUM(I20:I30)</f>
        <v>0</v>
      </c>
      <c r="J19" s="56">
        <f>H19+I19</f>
        <v>0</v>
      </c>
      <c r="K19" s="57"/>
      <c r="L19" s="56">
        <f>SUM(L20:L30)</f>
        <v>2.807392</v>
      </c>
      <c r="M19" s="57"/>
      <c r="Y19" s="20"/>
      <c r="AI19" s="29">
        <f>SUM(Z20:Z30)</f>
        <v>0</v>
      </c>
      <c r="AJ19" s="29">
        <f>SUM(AA20:AA30)</f>
        <v>0</v>
      </c>
      <c r="AK19" s="29">
        <f>SUM(AB20:AB30)</f>
        <v>0</v>
      </c>
    </row>
    <row r="20" spans="1:48" ht="12.75">
      <c r="A20" s="4" t="s">
        <v>9</v>
      </c>
      <c r="B20" s="51"/>
      <c r="C20" s="51" t="s">
        <v>129</v>
      </c>
      <c r="D20" s="51" t="s">
        <v>263</v>
      </c>
      <c r="E20" s="51" t="s">
        <v>449</v>
      </c>
      <c r="F20" s="52">
        <v>68.6</v>
      </c>
      <c r="G20" s="52"/>
      <c r="H20" s="52">
        <f>F20*AE20</f>
        <v>0</v>
      </c>
      <c r="I20" s="52">
        <f>J20-H20</f>
        <v>0</v>
      </c>
      <c r="J20" s="52">
        <f>F20*G20</f>
        <v>0</v>
      </c>
      <c r="K20" s="52">
        <v>0.00869</v>
      </c>
      <c r="L20" s="52">
        <f>F20*K20</f>
        <v>0.5961339999999999</v>
      </c>
      <c r="M20" s="53" t="s">
        <v>469</v>
      </c>
      <c r="P20" s="27">
        <f>IF(AG20="5",J20,0)</f>
        <v>0</v>
      </c>
      <c r="R20" s="27">
        <f>IF(AG20="1",H20,0)</f>
        <v>0</v>
      </c>
      <c r="S20" s="27">
        <f>IF(AG20="1",I20,0)</f>
        <v>0</v>
      </c>
      <c r="T20" s="27">
        <f>IF(AG20="7",H20,0)</f>
        <v>0</v>
      </c>
      <c r="U20" s="27">
        <f>IF(AG20="7",I20,0)</f>
        <v>0</v>
      </c>
      <c r="V20" s="27">
        <f>IF(AG20="2",H20,0)</f>
        <v>0</v>
      </c>
      <c r="W20" s="27">
        <f>IF(AG20="2",I20,0)</f>
        <v>0</v>
      </c>
      <c r="X20" s="27">
        <f>IF(AG20="0",J20,0)</f>
        <v>0</v>
      </c>
      <c r="Y20" s="20"/>
      <c r="Z20" s="13">
        <f>IF(AD20=0,J20,0)</f>
        <v>0</v>
      </c>
      <c r="AA20" s="13">
        <f>IF(AD20=15,J20,0)</f>
        <v>0</v>
      </c>
      <c r="AB20" s="13">
        <f>IF(AD20=21,J20,0)</f>
        <v>0</v>
      </c>
      <c r="AD20" s="27">
        <v>15</v>
      </c>
      <c r="AE20" s="27">
        <f>G20*0.337943615257048</f>
        <v>0</v>
      </c>
      <c r="AF20" s="27">
        <f>G20*(1-0.337943615257048)</f>
        <v>0</v>
      </c>
      <c r="AG20" s="23" t="s">
        <v>6</v>
      </c>
      <c r="AM20" s="27">
        <f>F20*AE20</f>
        <v>0</v>
      </c>
      <c r="AN20" s="27">
        <f>F20*AF20</f>
        <v>0</v>
      </c>
      <c r="AO20" s="28" t="s">
        <v>480</v>
      </c>
      <c r="AP20" s="28" t="s">
        <v>517</v>
      </c>
      <c r="AQ20" s="20" t="s">
        <v>530</v>
      </c>
      <c r="AS20" s="27">
        <f>AM20+AN20</f>
        <v>0</v>
      </c>
      <c r="AT20" s="27">
        <f>G20/(100-AU20)*100</f>
        <v>0</v>
      </c>
      <c r="AU20" s="27">
        <v>0</v>
      </c>
      <c r="AV20" s="27">
        <f>L20</f>
        <v>0.5961339999999999</v>
      </c>
    </row>
    <row r="21" spans="2:13" ht="12">
      <c r="B21" s="54"/>
      <c r="C21" s="54"/>
      <c r="D21" s="66" t="s">
        <v>264</v>
      </c>
      <c r="E21" s="54"/>
      <c r="F21" s="54"/>
      <c r="G21" s="54"/>
      <c r="H21" s="54"/>
      <c r="I21" s="54"/>
      <c r="J21" s="54"/>
      <c r="K21" s="54"/>
      <c r="L21" s="54"/>
      <c r="M21" s="54"/>
    </row>
    <row r="22" spans="1:48" ht="12.75">
      <c r="A22" s="4" t="s">
        <v>10</v>
      </c>
      <c r="B22" s="51"/>
      <c r="C22" s="51" t="s">
        <v>130</v>
      </c>
      <c r="D22" s="51" t="s">
        <v>265</v>
      </c>
      <c r="E22" s="51" t="s">
        <v>449</v>
      </c>
      <c r="F22" s="52">
        <v>12.4</v>
      </c>
      <c r="G22" s="52"/>
      <c r="H22" s="52">
        <f>F22*AE22</f>
        <v>0</v>
      </c>
      <c r="I22" s="52">
        <f>J22-H22</f>
        <v>0</v>
      </c>
      <c r="J22" s="52">
        <f>F22*G22</f>
        <v>0</v>
      </c>
      <c r="K22" s="52">
        <v>0.0107</v>
      </c>
      <c r="L22" s="52">
        <f>F22*K22</f>
        <v>0.13268</v>
      </c>
      <c r="M22" s="53" t="s">
        <v>469</v>
      </c>
      <c r="P22" s="27">
        <f>IF(AG22="5",J22,0)</f>
        <v>0</v>
      </c>
      <c r="R22" s="27">
        <f>IF(AG22="1",H22,0)</f>
        <v>0</v>
      </c>
      <c r="S22" s="27">
        <f>IF(AG22="1",I22,0)</f>
        <v>0</v>
      </c>
      <c r="T22" s="27">
        <f>IF(AG22="7",H22,0)</f>
        <v>0</v>
      </c>
      <c r="U22" s="27">
        <f>IF(AG22="7",I22,0)</f>
        <v>0</v>
      </c>
      <c r="V22" s="27">
        <f>IF(AG22="2",H22,0)</f>
        <v>0</v>
      </c>
      <c r="W22" s="27">
        <f>IF(AG22="2",I22,0)</f>
        <v>0</v>
      </c>
      <c r="X22" s="27">
        <f>IF(AG22="0",J22,0)</f>
        <v>0</v>
      </c>
      <c r="Y22" s="20"/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27">
        <v>15</v>
      </c>
      <c r="AE22" s="27">
        <f>G22*0.320175553861922</f>
        <v>0</v>
      </c>
      <c r="AF22" s="27">
        <f>G22*(1-0.320175553861922)</f>
        <v>0</v>
      </c>
      <c r="AG22" s="23" t="s">
        <v>6</v>
      </c>
      <c r="AM22" s="27">
        <f>F22*AE22</f>
        <v>0</v>
      </c>
      <c r="AN22" s="27">
        <f>F22*AF22</f>
        <v>0</v>
      </c>
      <c r="AO22" s="28" t="s">
        <v>480</v>
      </c>
      <c r="AP22" s="28" t="s">
        <v>517</v>
      </c>
      <c r="AQ22" s="20" t="s">
        <v>530</v>
      </c>
      <c r="AS22" s="27">
        <f>AM22+AN22</f>
        <v>0</v>
      </c>
      <c r="AT22" s="27">
        <f>G22/(100-AU22)*100</f>
        <v>0</v>
      </c>
      <c r="AU22" s="27">
        <v>0</v>
      </c>
      <c r="AV22" s="27">
        <f>L22</f>
        <v>0.13268</v>
      </c>
    </row>
    <row r="23" spans="2:13" ht="12">
      <c r="B23" s="54"/>
      <c r="C23" s="54"/>
      <c r="D23" s="66" t="s">
        <v>570</v>
      </c>
      <c r="E23" s="54"/>
      <c r="F23" s="54"/>
      <c r="G23" s="54"/>
      <c r="H23" s="54"/>
      <c r="I23" s="54"/>
      <c r="J23" s="54"/>
      <c r="K23" s="54"/>
      <c r="L23" s="54"/>
      <c r="M23" s="54"/>
    </row>
    <row r="24" spans="1:48" ht="12.75">
      <c r="A24" s="4" t="s">
        <v>11</v>
      </c>
      <c r="B24" s="51"/>
      <c r="C24" s="51" t="s">
        <v>131</v>
      </c>
      <c r="D24" s="51" t="s">
        <v>266</v>
      </c>
      <c r="E24" s="51" t="s">
        <v>449</v>
      </c>
      <c r="F24" s="52">
        <v>8.8</v>
      </c>
      <c r="G24" s="52"/>
      <c r="H24" s="52">
        <f>F24*AE24</f>
        <v>0</v>
      </c>
      <c r="I24" s="52">
        <f>J24-H24</f>
        <v>0</v>
      </c>
      <c r="J24" s="52">
        <f>F24*G24</f>
        <v>0</v>
      </c>
      <c r="K24" s="52">
        <v>0.01271</v>
      </c>
      <c r="L24" s="52">
        <f>F24*K24</f>
        <v>0.11184800000000002</v>
      </c>
      <c r="M24" s="53" t="s">
        <v>469</v>
      </c>
      <c r="P24" s="27">
        <f>IF(AG24="5",J24,0)</f>
        <v>0</v>
      </c>
      <c r="R24" s="27">
        <f>IF(AG24="1",H24,0)</f>
        <v>0</v>
      </c>
      <c r="S24" s="27">
        <f>IF(AG24="1",I24,0)</f>
        <v>0</v>
      </c>
      <c r="T24" s="27">
        <f>IF(AG24="7",H24,0)</f>
        <v>0</v>
      </c>
      <c r="U24" s="27">
        <f>IF(AG24="7",I24,0)</f>
        <v>0</v>
      </c>
      <c r="V24" s="27">
        <f>IF(AG24="2",H24,0)</f>
        <v>0</v>
      </c>
      <c r="W24" s="27">
        <f>IF(AG24="2",I24,0)</f>
        <v>0</v>
      </c>
      <c r="X24" s="27">
        <f>IF(AG24="0",J24,0)</f>
        <v>0</v>
      </c>
      <c r="Y24" s="20"/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27">
        <v>15</v>
      </c>
      <c r="AE24" s="27">
        <f>G24*0.311297071129707</f>
        <v>0</v>
      </c>
      <c r="AF24" s="27">
        <f>G24*(1-0.311297071129707)</f>
        <v>0</v>
      </c>
      <c r="AG24" s="23" t="s">
        <v>6</v>
      </c>
      <c r="AM24" s="27">
        <f>F24*AE24</f>
        <v>0</v>
      </c>
      <c r="AN24" s="27">
        <f>F24*AF24</f>
        <v>0</v>
      </c>
      <c r="AO24" s="28" t="s">
        <v>480</v>
      </c>
      <c r="AP24" s="28" t="s">
        <v>517</v>
      </c>
      <c r="AQ24" s="20" t="s">
        <v>530</v>
      </c>
      <c r="AS24" s="27">
        <f>AM24+AN24</f>
        <v>0</v>
      </c>
      <c r="AT24" s="27">
        <f>G24/(100-AU24)*100</f>
        <v>0</v>
      </c>
      <c r="AU24" s="27">
        <v>0</v>
      </c>
      <c r="AV24" s="27">
        <f>L24</f>
        <v>0.11184800000000002</v>
      </c>
    </row>
    <row r="25" spans="2:13" ht="12">
      <c r="B25" s="54"/>
      <c r="C25" s="54"/>
      <c r="D25" s="66" t="s">
        <v>571</v>
      </c>
      <c r="E25" s="54"/>
      <c r="F25" s="54"/>
      <c r="G25" s="54"/>
      <c r="H25" s="54"/>
      <c r="I25" s="54"/>
      <c r="J25" s="54"/>
      <c r="K25" s="54"/>
      <c r="L25" s="54"/>
      <c r="M25" s="54"/>
    </row>
    <row r="26" spans="1:48" ht="12.75">
      <c r="A26" s="4" t="s">
        <v>12</v>
      </c>
      <c r="B26" s="51"/>
      <c r="C26" s="51" t="s">
        <v>132</v>
      </c>
      <c r="D26" s="51" t="s">
        <v>267</v>
      </c>
      <c r="E26" s="51" t="s">
        <v>449</v>
      </c>
      <c r="F26" s="52">
        <v>46</v>
      </c>
      <c r="G26" s="52"/>
      <c r="H26" s="52">
        <f>F26*AE26</f>
        <v>0</v>
      </c>
      <c r="I26" s="52">
        <f>J26-H26</f>
        <v>0</v>
      </c>
      <c r="J26" s="52">
        <f>F26*G26</f>
        <v>0</v>
      </c>
      <c r="K26" s="52">
        <v>0.02478</v>
      </c>
      <c r="L26" s="52">
        <f>F26*K26</f>
        <v>1.13988</v>
      </c>
      <c r="M26" s="53" t="s">
        <v>469</v>
      </c>
      <c r="P26" s="27">
        <f>IF(AG26="5",J26,0)</f>
        <v>0</v>
      </c>
      <c r="R26" s="27">
        <f>IF(AG26="1",H26,0)</f>
        <v>0</v>
      </c>
      <c r="S26" s="27">
        <f>IF(AG26="1",I26,0)</f>
        <v>0</v>
      </c>
      <c r="T26" s="27">
        <f>IF(AG26="7",H26,0)</f>
        <v>0</v>
      </c>
      <c r="U26" s="27">
        <f>IF(AG26="7",I26,0)</f>
        <v>0</v>
      </c>
      <c r="V26" s="27">
        <f>IF(AG26="2",H26,0)</f>
        <v>0</v>
      </c>
      <c r="W26" s="27">
        <f>IF(AG26="2",I26,0)</f>
        <v>0</v>
      </c>
      <c r="X26" s="27">
        <f>IF(AG26="0",J26,0)</f>
        <v>0</v>
      </c>
      <c r="Y26" s="20"/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27">
        <v>15</v>
      </c>
      <c r="AE26" s="27">
        <f>G26*0.340826531048335</f>
        <v>0</v>
      </c>
      <c r="AF26" s="27">
        <f>G26*(1-0.340826531048335)</f>
        <v>0</v>
      </c>
      <c r="AG26" s="23" t="s">
        <v>6</v>
      </c>
      <c r="AM26" s="27">
        <f>F26*AE26</f>
        <v>0</v>
      </c>
      <c r="AN26" s="27">
        <f>F26*AF26</f>
        <v>0</v>
      </c>
      <c r="AO26" s="28" t="s">
        <v>480</v>
      </c>
      <c r="AP26" s="28" t="s">
        <v>517</v>
      </c>
      <c r="AQ26" s="20" t="s">
        <v>530</v>
      </c>
      <c r="AS26" s="27">
        <f>AM26+AN26</f>
        <v>0</v>
      </c>
      <c r="AT26" s="27">
        <f>G26/(100-AU26)*100</f>
        <v>0</v>
      </c>
      <c r="AU26" s="27">
        <v>0</v>
      </c>
      <c r="AV26" s="27">
        <f>L26</f>
        <v>1.13988</v>
      </c>
    </row>
    <row r="27" spans="2:13" ht="12">
      <c r="B27" s="54"/>
      <c r="C27" s="54"/>
      <c r="D27" s="66" t="s">
        <v>268</v>
      </c>
      <c r="E27" s="54"/>
      <c r="F27" s="54"/>
      <c r="G27" s="54"/>
      <c r="H27" s="54"/>
      <c r="I27" s="54"/>
      <c r="J27" s="54"/>
      <c r="K27" s="54"/>
      <c r="L27" s="54"/>
      <c r="M27" s="54"/>
    </row>
    <row r="28" spans="1:48" ht="12.75">
      <c r="A28" s="4" t="s">
        <v>13</v>
      </c>
      <c r="B28" s="51"/>
      <c r="C28" s="51" t="s">
        <v>133</v>
      </c>
      <c r="D28" s="51" t="s">
        <v>269</v>
      </c>
      <c r="E28" s="51" t="s">
        <v>449</v>
      </c>
      <c r="F28" s="52">
        <v>115</v>
      </c>
      <c r="G28" s="52"/>
      <c r="H28" s="52">
        <f>F28*AE28</f>
        <v>0</v>
      </c>
      <c r="I28" s="52">
        <f>J28-H28</f>
        <v>0</v>
      </c>
      <c r="J28" s="52">
        <f>F28*G28</f>
        <v>0</v>
      </c>
      <c r="K28" s="52">
        <v>0</v>
      </c>
      <c r="L28" s="52">
        <f>F28*K28</f>
        <v>0</v>
      </c>
      <c r="M28" s="53" t="s">
        <v>469</v>
      </c>
      <c r="P28" s="27">
        <f>IF(AG28="5",J28,0)</f>
        <v>0</v>
      </c>
      <c r="R28" s="27">
        <f>IF(AG28="1",H28,0)</f>
        <v>0</v>
      </c>
      <c r="S28" s="27">
        <f>IF(AG28="1",I28,0)</f>
        <v>0</v>
      </c>
      <c r="T28" s="27">
        <f>IF(AG28="7",H28,0)</f>
        <v>0</v>
      </c>
      <c r="U28" s="27">
        <f>IF(AG28="7",I28,0)</f>
        <v>0</v>
      </c>
      <c r="V28" s="27">
        <f>IF(AG28="2",H28,0)</f>
        <v>0</v>
      </c>
      <c r="W28" s="27">
        <f>IF(AG28="2",I28,0)</f>
        <v>0</v>
      </c>
      <c r="X28" s="27">
        <f>IF(AG28="0",J28,0)</f>
        <v>0</v>
      </c>
      <c r="Y28" s="20"/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27">
        <v>15</v>
      </c>
      <c r="AE28" s="27">
        <f>G28*0</f>
        <v>0</v>
      </c>
      <c r="AF28" s="27">
        <f>G28*(1-0)</f>
        <v>0</v>
      </c>
      <c r="AG28" s="23" t="s">
        <v>6</v>
      </c>
      <c r="AM28" s="27">
        <f>F28*AE28</f>
        <v>0</v>
      </c>
      <c r="AN28" s="27">
        <f>F28*AF28</f>
        <v>0</v>
      </c>
      <c r="AO28" s="28" t="s">
        <v>480</v>
      </c>
      <c r="AP28" s="28" t="s">
        <v>517</v>
      </c>
      <c r="AQ28" s="20" t="s">
        <v>530</v>
      </c>
      <c r="AS28" s="27">
        <f>AM28+AN28</f>
        <v>0</v>
      </c>
      <c r="AT28" s="27">
        <f>G28/(100-AU28)*100</f>
        <v>0</v>
      </c>
      <c r="AU28" s="27">
        <v>0</v>
      </c>
      <c r="AV28" s="27">
        <f>L28</f>
        <v>0</v>
      </c>
    </row>
    <row r="29" spans="2:13" ht="12">
      <c r="B29" s="54"/>
      <c r="C29" s="54"/>
      <c r="D29" s="66" t="s">
        <v>270</v>
      </c>
      <c r="E29" s="54"/>
      <c r="F29" s="54"/>
      <c r="G29" s="54"/>
      <c r="H29" s="54"/>
      <c r="I29" s="54"/>
      <c r="J29" s="54"/>
      <c r="K29" s="54"/>
      <c r="L29" s="54"/>
      <c r="M29" s="54"/>
    </row>
    <row r="30" spans="1:48" ht="12.75">
      <c r="A30" s="4" t="s">
        <v>14</v>
      </c>
      <c r="B30" s="51"/>
      <c r="C30" s="51" t="s">
        <v>134</v>
      </c>
      <c r="D30" s="51" t="s">
        <v>271</v>
      </c>
      <c r="E30" s="51" t="s">
        <v>449</v>
      </c>
      <c r="F30" s="52">
        <v>115</v>
      </c>
      <c r="G30" s="52"/>
      <c r="H30" s="52">
        <f>F30*AE30</f>
        <v>0</v>
      </c>
      <c r="I30" s="52">
        <f>J30-H30</f>
        <v>0</v>
      </c>
      <c r="J30" s="52">
        <f>F30*G30</f>
        <v>0</v>
      </c>
      <c r="K30" s="52">
        <v>0.00719</v>
      </c>
      <c r="L30" s="52">
        <f>F30*K30</f>
        <v>0.82685</v>
      </c>
      <c r="M30" s="53" t="s">
        <v>469</v>
      </c>
      <c r="P30" s="27">
        <f>IF(AG30="5",J30,0)</f>
        <v>0</v>
      </c>
      <c r="R30" s="27">
        <f>IF(AG30="1",H30,0)</f>
        <v>0</v>
      </c>
      <c r="S30" s="27">
        <f>IF(AG30="1",I30,0)</f>
        <v>0</v>
      </c>
      <c r="T30" s="27">
        <f>IF(AG30="7",H30,0)</f>
        <v>0</v>
      </c>
      <c r="U30" s="27">
        <f>IF(AG30="7",I30,0)</f>
        <v>0</v>
      </c>
      <c r="V30" s="27">
        <f>IF(AG30="2",H30,0)</f>
        <v>0</v>
      </c>
      <c r="W30" s="27">
        <f>IF(AG30="2",I30,0)</f>
        <v>0</v>
      </c>
      <c r="X30" s="27">
        <f>IF(AG30="0",J30,0)</f>
        <v>0</v>
      </c>
      <c r="Y30" s="20"/>
      <c r="Z30" s="13">
        <f>IF(AD30=0,J30,0)</f>
        <v>0</v>
      </c>
      <c r="AA30" s="13">
        <f>IF(AD30=15,J30,0)</f>
        <v>0</v>
      </c>
      <c r="AB30" s="13">
        <f>IF(AD30=21,J30,0)</f>
        <v>0</v>
      </c>
      <c r="AD30" s="27">
        <v>15</v>
      </c>
      <c r="AE30" s="27">
        <f>G30*0.182534504391468</f>
        <v>0</v>
      </c>
      <c r="AF30" s="27">
        <f>G30*(1-0.182534504391468)</f>
        <v>0</v>
      </c>
      <c r="AG30" s="23" t="s">
        <v>6</v>
      </c>
      <c r="AM30" s="27">
        <f>F30*AE30</f>
        <v>0</v>
      </c>
      <c r="AN30" s="27">
        <f>F30*AF30</f>
        <v>0</v>
      </c>
      <c r="AO30" s="28" t="s">
        <v>480</v>
      </c>
      <c r="AP30" s="28" t="s">
        <v>517</v>
      </c>
      <c r="AQ30" s="20" t="s">
        <v>530</v>
      </c>
      <c r="AS30" s="27">
        <f>AM30+AN30</f>
        <v>0</v>
      </c>
      <c r="AT30" s="27">
        <f>G30/(100-AU30)*100</f>
        <v>0</v>
      </c>
      <c r="AU30" s="27">
        <v>0</v>
      </c>
      <c r="AV30" s="27">
        <f>L30</f>
        <v>0.82685</v>
      </c>
    </row>
    <row r="31" spans="2:13" ht="12">
      <c r="B31" s="54"/>
      <c r="C31" s="54"/>
      <c r="D31" s="66" t="s">
        <v>272</v>
      </c>
      <c r="E31" s="54"/>
      <c r="F31" s="54"/>
      <c r="G31" s="54"/>
      <c r="H31" s="54"/>
      <c r="I31" s="54"/>
      <c r="J31" s="54"/>
      <c r="K31" s="54"/>
      <c r="L31" s="54"/>
      <c r="M31" s="54"/>
    </row>
    <row r="32" spans="1:37" ht="12.75">
      <c r="A32" s="5"/>
      <c r="B32" s="55"/>
      <c r="C32" s="55" t="s">
        <v>17</v>
      </c>
      <c r="D32" s="72" t="s">
        <v>273</v>
      </c>
      <c r="E32" s="73"/>
      <c r="F32" s="73"/>
      <c r="G32" s="73"/>
      <c r="H32" s="56">
        <f>SUM(H33:H37)</f>
        <v>0</v>
      </c>
      <c r="I32" s="56">
        <f>SUM(I33:I37)</f>
        <v>0</v>
      </c>
      <c r="J32" s="56">
        <f>H32+I32</f>
        <v>0</v>
      </c>
      <c r="K32" s="57"/>
      <c r="L32" s="56">
        <f>SUM(L33:L37)</f>
        <v>0</v>
      </c>
      <c r="M32" s="57"/>
      <c r="Y32" s="20"/>
      <c r="AI32" s="29">
        <f>SUM(Z33:Z37)</f>
        <v>0</v>
      </c>
      <c r="AJ32" s="29">
        <f>SUM(AA33:AA37)</f>
        <v>0</v>
      </c>
      <c r="AK32" s="29">
        <f>SUM(AB33:AB37)</f>
        <v>0</v>
      </c>
    </row>
    <row r="33" spans="1:48" ht="12.75">
      <c r="A33" s="4" t="s">
        <v>15</v>
      </c>
      <c r="B33" s="51"/>
      <c r="C33" s="51" t="s">
        <v>135</v>
      </c>
      <c r="D33" s="51" t="s">
        <v>274</v>
      </c>
      <c r="E33" s="51" t="s">
        <v>451</v>
      </c>
      <c r="F33" s="52">
        <v>62.3</v>
      </c>
      <c r="G33" s="52"/>
      <c r="H33" s="52">
        <f>F33*AE33</f>
        <v>0</v>
      </c>
      <c r="I33" s="52">
        <f>J33-H33</f>
        <v>0</v>
      </c>
      <c r="J33" s="52">
        <f>F33*G33</f>
        <v>0</v>
      </c>
      <c r="K33" s="52">
        <v>0</v>
      </c>
      <c r="L33" s="52">
        <f>F33*K33</f>
        <v>0</v>
      </c>
      <c r="M33" s="53" t="s">
        <v>469</v>
      </c>
      <c r="P33" s="27">
        <f>IF(AG33="5",J33,0)</f>
        <v>0</v>
      </c>
      <c r="R33" s="27">
        <f>IF(AG33="1",H33,0)</f>
        <v>0</v>
      </c>
      <c r="S33" s="27">
        <f>IF(AG33="1",I33,0)</f>
        <v>0</v>
      </c>
      <c r="T33" s="27">
        <f>IF(AG33="7",H33,0)</f>
        <v>0</v>
      </c>
      <c r="U33" s="27">
        <f>IF(AG33="7",I33,0)</f>
        <v>0</v>
      </c>
      <c r="V33" s="27">
        <f>IF(AG33="2",H33,0)</f>
        <v>0</v>
      </c>
      <c r="W33" s="27">
        <f>IF(AG33="2",I33,0)</f>
        <v>0</v>
      </c>
      <c r="X33" s="27">
        <f>IF(AG33="0",J33,0)</f>
        <v>0</v>
      </c>
      <c r="Y33" s="20"/>
      <c r="Z33" s="13">
        <f>IF(AD33=0,J33,0)</f>
        <v>0</v>
      </c>
      <c r="AA33" s="13">
        <f>IF(AD33=15,J33,0)</f>
        <v>0</v>
      </c>
      <c r="AB33" s="13">
        <f>IF(AD33=21,J33,0)</f>
        <v>0</v>
      </c>
      <c r="AD33" s="27">
        <v>15</v>
      </c>
      <c r="AE33" s="27">
        <f>G33*0</f>
        <v>0</v>
      </c>
      <c r="AF33" s="27">
        <f>G33*(1-0)</f>
        <v>0</v>
      </c>
      <c r="AG33" s="23" t="s">
        <v>6</v>
      </c>
      <c r="AM33" s="27">
        <f>F33*AE33</f>
        <v>0</v>
      </c>
      <c r="AN33" s="27">
        <f>F33*AF33</f>
        <v>0</v>
      </c>
      <c r="AO33" s="28" t="s">
        <v>481</v>
      </c>
      <c r="AP33" s="28" t="s">
        <v>517</v>
      </c>
      <c r="AQ33" s="20" t="s">
        <v>530</v>
      </c>
      <c r="AS33" s="27">
        <f>AM33+AN33</f>
        <v>0</v>
      </c>
      <c r="AT33" s="27">
        <f>G33/(100-AU33)*100</f>
        <v>0</v>
      </c>
      <c r="AU33" s="27">
        <v>0</v>
      </c>
      <c r="AV33" s="27">
        <f>L33</f>
        <v>0</v>
      </c>
    </row>
    <row r="34" spans="2:13" ht="12">
      <c r="B34" s="54"/>
      <c r="C34" s="54"/>
      <c r="D34" s="66" t="s">
        <v>275</v>
      </c>
      <c r="E34" s="54"/>
      <c r="F34" s="54"/>
      <c r="G34" s="54"/>
      <c r="H34" s="54"/>
      <c r="I34" s="54"/>
      <c r="J34" s="54"/>
      <c r="K34" s="54"/>
      <c r="L34" s="54"/>
      <c r="M34" s="54"/>
    </row>
    <row r="35" spans="1:48" ht="12.75">
      <c r="A35" s="4" t="s">
        <v>16</v>
      </c>
      <c r="B35" s="51"/>
      <c r="C35" s="51" t="s">
        <v>136</v>
      </c>
      <c r="D35" s="51" t="s">
        <v>276</v>
      </c>
      <c r="E35" s="51" t="s">
        <v>451</v>
      </c>
      <c r="F35" s="52">
        <v>128</v>
      </c>
      <c r="G35" s="52"/>
      <c r="H35" s="52">
        <f>F35*AE35</f>
        <v>0</v>
      </c>
      <c r="I35" s="52">
        <f>J35-H35</f>
        <v>0</v>
      </c>
      <c r="J35" s="52">
        <f>F35*G35</f>
        <v>0</v>
      </c>
      <c r="K35" s="52">
        <v>0</v>
      </c>
      <c r="L35" s="52">
        <f>F35*K35</f>
        <v>0</v>
      </c>
      <c r="M35" s="53" t="s">
        <v>469</v>
      </c>
      <c r="P35" s="27">
        <f>IF(AG35="5",J35,0)</f>
        <v>0</v>
      </c>
      <c r="R35" s="27">
        <f>IF(AG35="1",H35,0)</f>
        <v>0</v>
      </c>
      <c r="S35" s="27">
        <f>IF(AG35="1",I35,0)</f>
        <v>0</v>
      </c>
      <c r="T35" s="27">
        <f>IF(AG35="7",H35,0)</f>
        <v>0</v>
      </c>
      <c r="U35" s="27">
        <f>IF(AG35="7",I35,0)</f>
        <v>0</v>
      </c>
      <c r="V35" s="27">
        <f>IF(AG35="2",H35,0)</f>
        <v>0</v>
      </c>
      <c r="W35" s="27">
        <f>IF(AG35="2",I35,0)</f>
        <v>0</v>
      </c>
      <c r="X35" s="27">
        <f>IF(AG35="0",J35,0)</f>
        <v>0</v>
      </c>
      <c r="Y35" s="20"/>
      <c r="Z35" s="13">
        <f>IF(AD35=0,J35,0)</f>
        <v>0</v>
      </c>
      <c r="AA35" s="13">
        <f>IF(AD35=15,J35,0)</f>
        <v>0</v>
      </c>
      <c r="AB35" s="13">
        <f>IF(AD35=21,J35,0)</f>
        <v>0</v>
      </c>
      <c r="AD35" s="27">
        <v>15</v>
      </c>
      <c r="AE35" s="27">
        <f>G35*0</f>
        <v>0</v>
      </c>
      <c r="AF35" s="27">
        <f>G35*(1-0)</f>
        <v>0</v>
      </c>
      <c r="AG35" s="23" t="s">
        <v>6</v>
      </c>
      <c r="AM35" s="27">
        <f>F35*AE35</f>
        <v>0</v>
      </c>
      <c r="AN35" s="27">
        <f>F35*AF35</f>
        <v>0</v>
      </c>
      <c r="AO35" s="28" t="s">
        <v>481</v>
      </c>
      <c r="AP35" s="28" t="s">
        <v>517</v>
      </c>
      <c r="AQ35" s="20" t="s">
        <v>530</v>
      </c>
      <c r="AS35" s="27">
        <f>AM35+AN35</f>
        <v>0</v>
      </c>
      <c r="AT35" s="27">
        <f>G35/(100-AU35)*100</f>
        <v>0</v>
      </c>
      <c r="AU35" s="27">
        <v>0</v>
      </c>
      <c r="AV35" s="27">
        <f>L35</f>
        <v>0</v>
      </c>
    </row>
    <row r="36" spans="2:13" ht="12">
      <c r="B36" s="54"/>
      <c r="C36" s="54"/>
      <c r="D36" s="66" t="s">
        <v>277</v>
      </c>
      <c r="E36" s="54"/>
      <c r="F36" s="54"/>
      <c r="G36" s="54"/>
      <c r="H36" s="54"/>
      <c r="I36" s="54"/>
      <c r="J36" s="54"/>
      <c r="K36" s="54"/>
      <c r="L36" s="54"/>
      <c r="M36" s="54"/>
    </row>
    <row r="37" spans="1:48" ht="12.75">
      <c r="A37" s="4" t="s">
        <v>17</v>
      </c>
      <c r="B37" s="51"/>
      <c r="C37" s="51" t="s">
        <v>137</v>
      </c>
      <c r="D37" s="51" t="s">
        <v>278</v>
      </c>
      <c r="E37" s="51" t="s">
        <v>451</v>
      </c>
      <c r="F37" s="52">
        <v>128</v>
      </c>
      <c r="G37" s="52"/>
      <c r="H37" s="52">
        <f>F37*AE37</f>
        <v>0</v>
      </c>
      <c r="I37" s="52">
        <f>J37-H37</f>
        <v>0</v>
      </c>
      <c r="J37" s="52">
        <f>F37*G37</f>
        <v>0</v>
      </c>
      <c r="K37" s="52">
        <v>0</v>
      </c>
      <c r="L37" s="52">
        <f>F37*K37</f>
        <v>0</v>
      </c>
      <c r="M37" s="53" t="s">
        <v>469</v>
      </c>
      <c r="P37" s="27">
        <f>IF(AG37="5",J37,0)</f>
        <v>0</v>
      </c>
      <c r="R37" s="27">
        <f>IF(AG37="1",H37,0)</f>
        <v>0</v>
      </c>
      <c r="S37" s="27">
        <f>IF(AG37="1",I37,0)</f>
        <v>0</v>
      </c>
      <c r="T37" s="27">
        <f>IF(AG37="7",H37,0)</f>
        <v>0</v>
      </c>
      <c r="U37" s="27">
        <f>IF(AG37="7",I37,0)</f>
        <v>0</v>
      </c>
      <c r="V37" s="27">
        <f>IF(AG37="2",H37,0)</f>
        <v>0</v>
      </c>
      <c r="W37" s="27">
        <f>IF(AG37="2",I37,0)</f>
        <v>0</v>
      </c>
      <c r="X37" s="27">
        <f>IF(AG37="0",J37,0)</f>
        <v>0</v>
      </c>
      <c r="Y37" s="20"/>
      <c r="Z37" s="13">
        <f>IF(AD37=0,J37,0)</f>
        <v>0</v>
      </c>
      <c r="AA37" s="13">
        <f>IF(AD37=15,J37,0)</f>
        <v>0</v>
      </c>
      <c r="AB37" s="13">
        <f>IF(AD37=21,J37,0)</f>
        <v>0</v>
      </c>
      <c r="AD37" s="27">
        <v>15</v>
      </c>
      <c r="AE37" s="27">
        <f>G37*0</f>
        <v>0</v>
      </c>
      <c r="AF37" s="27">
        <f>G37*(1-0)</f>
        <v>0</v>
      </c>
      <c r="AG37" s="23" t="s">
        <v>6</v>
      </c>
      <c r="AM37" s="27">
        <f>F37*AE37</f>
        <v>0</v>
      </c>
      <c r="AN37" s="27">
        <f>F37*AF37</f>
        <v>0</v>
      </c>
      <c r="AO37" s="28" t="s">
        <v>481</v>
      </c>
      <c r="AP37" s="28" t="s">
        <v>517</v>
      </c>
      <c r="AQ37" s="20" t="s">
        <v>530</v>
      </c>
      <c r="AS37" s="27">
        <f>AM37+AN37</f>
        <v>0</v>
      </c>
      <c r="AT37" s="27">
        <f>G37/(100-AU37)*100</f>
        <v>0</v>
      </c>
      <c r="AU37" s="27">
        <v>0</v>
      </c>
      <c r="AV37" s="27">
        <f>L37</f>
        <v>0</v>
      </c>
    </row>
    <row r="38" spans="1:37" ht="12.75">
      <c r="A38" s="5"/>
      <c r="B38" s="55"/>
      <c r="C38" s="55" t="s">
        <v>18</v>
      </c>
      <c r="D38" s="72" t="s">
        <v>279</v>
      </c>
      <c r="E38" s="73"/>
      <c r="F38" s="73"/>
      <c r="G38" s="73"/>
      <c r="H38" s="56">
        <f>SUM(H39:H44)</f>
        <v>0</v>
      </c>
      <c r="I38" s="56">
        <f>SUM(I39:I44)</f>
        <v>0</v>
      </c>
      <c r="J38" s="56">
        <f>H38+I38</f>
        <v>0</v>
      </c>
      <c r="K38" s="57"/>
      <c r="L38" s="56">
        <f>SUM(L39:L44)</f>
        <v>0</v>
      </c>
      <c r="M38" s="57"/>
      <c r="Y38" s="20"/>
      <c r="AI38" s="29">
        <f>SUM(Z39:Z44)</f>
        <v>0</v>
      </c>
      <c r="AJ38" s="29">
        <f>SUM(AA39:AA44)</f>
        <v>0</v>
      </c>
      <c r="AK38" s="29">
        <f>SUM(AB39:AB44)</f>
        <v>0</v>
      </c>
    </row>
    <row r="39" spans="1:48" ht="12.75">
      <c r="A39" s="4" t="s">
        <v>18</v>
      </c>
      <c r="B39" s="51"/>
      <c r="C39" s="51" t="s">
        <v>138</v>
      </c>
      <c r="D39" s="51" t="s">
        <v>280</v>
      </c>
      <c r="E39" s="51" t="s">
        <v>451</v>
      </c>
      <c r="F39" s="52">
        <v>84</v>
      </c>
      <c r="G39" s="52"/>
      <c r="H39" s="52">
        <f>F39*AE39</f>
        <v>0</v>
      </c>
      <c r="I39" s="52">
        <f>J39-H39</f>
        <v>0</v>
      </c>
      <c r="J39" s="52">
        <f>F39*G39</f>
        <v>0</v>
      </c>
      <c r="K39" s="52">
        <v>0</v>
      </c>
      <c r="L39" s="52">
        <f>F39*K39</f>
        <v>0</v>
      </c>
      <c r="M39" s="53" t="s">
        <v>469</v>
      </c>
      <c r="P39" s="27">
        <f>IF(AG39="5",J39,0)</f>
        <v>0</v>
      </c>
      <c r="R39" s="27">
        <f>IF(AG39="1",H39,0)</f>
        <v>0</v>
      </c>
      <c r="S39" s="27">
        <f>IF(AG39="1",I39,0)</f>
        <v>0</v>
      </c>
      <c r="T39" s="27">
        <f>IF(AG39="7",H39,0)</f>
        <v>0</v>
      </c>
      <c r="U39" s="27">
        <f>IF(AG39="7",I39,0)</f>
        <v>0</v>
      </c>
      <c r="V39" s="27">
        <f>IF(AG39="2",H39,0)</f>
        <v>0</v>
      </c>
      <c r="W39" s="27">
        <f>IF(AG39="2",I39,0)</f>
        <v>0</v>
      </c>
      <c r="X39" s="27">
        <f>IF(AG39="0",J39,0)</f>
        <v>0</v>
      </c>
      <c r="Y39" s="20"/>
      <c r="Z39" s="13">
        <f>IF(AD39=0,J39,0)</f>
        <v>0</v>
      </c>
      <c r="AA39" s="13">
        <f>IF(AD39=15,J39,0)</f>
        <v>0</v>
      </c>
      <c r="AB39" s="13">
        <f>IF(AD39=21,J39,0)</f>
        <v>0</v>
      </c>
      <c r="AD39" s="27">
        <v>15</v>
      </c>
      <c r="AE39" s="27">
        <f>G39*0</f>
        <v>0</v>
      </c>
      <c r="AF39" s="27">
        <f>G39*(1-0)</f>
        <v>0</v>
      </c>
      <c r="AG39" s="23" t="s">
        <v>6</v>
      </c>
      <c r="AM39" s="27">
        <f>F39*AE39</f>
        <v>0</v>
      </c>
      <c r="AN39" s="27">
        <f>F39*AF39</f>
        <v>0</v>
      </c>
      <c r="AO39" s="28" t="s">
        <v>482</v>
      </c>
      <c r="AP39" s="28" t="s">
        <v>517</v>
      </c>
      <c r="AQ39" s="20" t="s">
        <v>530</v>
      </c>
      <c r="AS39" s="27">
        <f>AM39+AN39</f>
        <v>0</v>
      </c>
      <c r="AT39" s="27">
        <f>G39/(100-AU39)*100</f>
        <v>0</v>
      </c>
      <c r="AU39" s="27">
        <v>0</v>
      </c>
      <c r="AV39" s="27">
        <f>L39</f>
        <v>0</v>
      </c>
    </row>
    <row r="40" spans="2:13" ht="12">
      <c r="B40" s="54"/>
      <c r="C40" s="54"/>
      <c r="D40" s="66" t="s">
        <v>572</v>
      </c>
      <c r="E40" s="54"/>
      <c r="F40" s="54"/>
      <c r="G40" s="54"/>
      <c r="H40" s="54"/>
      <c r="I40" s="54"/>
      <c r="J40" s="54"/>
      <c r="K40" s="54"/>
      <c r="L40" s="54"/>
      <c r="M40" s="54"/>
    </row>
    <row r="41" spans="1:48" ht="12.75">
      <c r="A41" s="4" t="s">
        <v>19</v>
      </c>
      <c r="B41" s="51"/>
      <c r="C41" s="51" t="s">
        <v>138</v>
      </c>
      <c r="D41" s="51" t="s">
        <v>281</v>
      </c>
      <c r="E41" s="51" t="s">
        <v>451</v>
      </c>
      <c r="F41" s="52">
        <v>128</v>
      </c>
      <c r="G41" s="52"/>
      <c r="H41" s="52">
        <f>F41*AE41</f>
        <v>0</v>
      </c>
      <c r="I41" s="52">
        <f>J41-H41</f>
        <v>0</v>
      </c>
      <c r="J41" s="52">
        <f>F41*G41</f>
        <v>0</v>
      </c>
      <c r="K41" s="52">
        <v>0</v>
      </c>
      <c r="L41" s="52">
        <f>F41*K41</f>
        <v>0</v>
      </c>
      <c r="M41" s="53" t="s">
        <v>469</v>
      </c>
      <c r="P41" s="27">
        <f>IF(AG41="5",J41,0)</f>
        <v>0</v>
      </c>
      <c r="R41" s="27">
        <f>IF(AG41="1",H41,0)</f>
        <v>0</v>
      </c>
      <c r="S41" s="27">
        <f>IF(AG41="1",I41,0)</f>
        <v>0</v>
      </c>
      <c r="T41" s="27">
        <f>IF(AG41="7",H41,0)</f>
        <v>0</v>
      </c>
      <c r="U41" s="27">
        <f>IF(AG41="7",I41,0)</f>
        <v>0</v>
      </c>
      <c r="V41" s="27">
        <f>IF(AG41="2",H41,0)</f>
        <v>0</v>
      </c>
      <c r="W41" s="27">
        <f>IF(AG41="2",I41,0)</f>
        <v>0</v>
      </c>
      <c r="X41" s="27">
        <f>IF(AG41="0",J41,0)</f>
        <v>0</v>
      </c>
      <c r="Y41" s="20"/>
      <c r="Z41" s="13">
        <f>IF(AD41=0,J41,0)</f>
        <v>0</v>
      </c>
      <c r="AA41" s="13">
        <f>IF(AD41=15,J41,0)</f>
        <v>0</v>
      </c>
      <c r="AB41" s="13">
        <f>IF(AD41=21,J41,0)</f>
        <v>0</v>
      </c>
      <c r="AD41" s="27">
        <v>15</v>
      </c>
      <c r="AE41" s="27">
        <f>G41*0</f>
        <v>0</v>
      </c>
      <c r="AF41" s="27">
        <f>G41*(1-0)</f>
        <v>0</v>
      </c>
      <c r="AG41" s="23" t="s">
        <v>6</v>
      </c>
      <c r="AM41" s="27">
        <f>F41*AE41</f>
        <v>0</v>
      </c>
      <c r="AN41" s="27">
        <f>F41*AF41</f>
        <v>0</v>
      </c>
      <c r="AO41" s="28" t="s">
        <v>482</v>
      </c>
      <c r="AP41" s="28" t="s">
        <v>517</v>
      </c>
      <c r="AQ41" s="20" t="s">
        <v>530</v>
      </c>
      <c r="AS41" s="27">
        <f>AM41+AN41</f>
        <v>0</v>
      </c>
      <c r="AT41" s="27">
        <f>G41/(100-AU41)*100</f>
        <v>0</v>
      </c>
      <c r="AU41" s="27">
        <v>0</v>
      </c>
      <c r="AV41" s="27">
        <f>L41</f>
        <v>0</v>
      </c>
    </row>
    <row r="42" spans="1:48" ht="12.75">
      <c r="A42" s="4" t="s">
        <v>20</v>
      </c>
      <c r="B42" s="51"/>
      <c r="C42" s="51" t="s">
        <v>139</v>
      </c>
      <c r="D42" s="51" t="s">
        <v>588</v>
      </c>
      <c r="E42" s="51" t="s">
        <v>451</v>
      </c>
      <c r="F42" s="52">
        <v>223</v>
      </c>
      <c r="G42" s="52"/>
      <c r="H42" s="52">
        <f>F42*AE42</f>
        <v>0</v>
      </c>
      <c r="I42" s="52">
        <f>J42-H42</f>
        <v>0</v>
      </c>
      <c r="J42" s="52">
        <f>F42*G42</f>
        <v>0</v>
      </c>
      <c r="K42" s="52">
        <v>0</v>
      </c>
      <c r="L42" s="52">
        <f>F42*K42</f>
        <v>0</v>
      </c>
      <c r="M42" s="53" t="s">
        <v>469</v>
      </c>
      <c r="P42" s="27">
        <f>IF(AG42="5",J42,0)</f>
        <v>0</v>
      </c>
      <c r="R42" s="27">
        <f>IF(AG42="1",H42,0)</f>
        <v>0</v>
      </c>
      <c r="S42" s="27">
        <f>IF(AG42="1",I42,0)</f>
        <v>0</v>
      </c>
      <c r="T42" s="27">
        <f>IF(AG42="7",H42,0)</f>
        <v>0</v>
      </c>
      <c r="U42" s="27">
        <f>IF(AG42="7",I42,0)</f>
        <v>0</v>
      </c>
      <c r="V42" s="27">
        <f>IF(AG42="2",H42,0)</f>
        <v>0</v>
      </c>
      <c r="W42" s="27">
        <f>IF(AG42="2",I42,0)</f>
        <v>0</v>
      </c>
      <c r="X42" s="27">
        <f>IF(AG42="0",J42,0)</f>
        <v>0</v>
      </c>
      <c r="Y42" s="20"/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27">
        <v>15</v>
      </c>
      <c r="AE42" s="27">
        <f>G42*0</f>
        <v>0</v>
      </c>
      <c r="AF42" s="27">
        <f>G42*(1-0)</f>
        <v>0</v>
      </c>
      <c r="AG42" s="23" t="s">
        <v>6</v>
      </c>
      <c r="AM42" s="27">
        <f>F42*AE42</f>
        <v>0</v>
      </c>
      <c r="AN42" s="27">
        <f>F42*AF42</f>
        <v>0</v>
      </c>
      <c r="AO42" s="28" t="s">
        <v>482</v>
      </c>
      <c r="AP42" s="28" t="s">
        <v>517</v>
      </c>
      <c r="AQ42" s="20" t="s">
        <v>530</v>
      </c>
      <c r="AS42" s="27">
        <f>AM42+AN42</f>
        <v>0</v>
      </c>
      <c r="AT42" s="27">
        <f>G42/(100-AU42)*100</f>
        <v>0</v>
      </c>
      <c r="AU42" s="27">
        <v>0</v>
      </c>
      <c r="AV42" s="27">
        <f>L42</f>
        <v>0</v>
      </c>
    </row>
    <row r="43" spans="2:13" ht="12">
      <c r="B43" s="54"/>
      <c r="C43" s="54"/>
      <c r="D43" s="66" t="s">
        <v>282</v>
      </c>
      <c r="E43" s="54"/>
      <c r="F43" s="54"/>
      <c r="G43" s="54"/>
      <c r="H43" s="54"/>
      <c r="I43" s="54"/>
      <c r="J43" s="54"/>
      <c r="K43" s="54"/>
      <c r="L43" s="54"/>
      <c r="M43" s="54"/>
    </row>
    <row r="44" spans="1:48" ht="12.75">
      <c r="A44" s="4" t="s">
        <v>21</v>
      </c>
      <c r="B44" s="51"/>
      <c r="C44" s="51" t="s">
        <v>140</v>
      </c>
      <c r="D44" s="51" t="s">
        <v>589</v>
      </c>
      <c r="E44" s="51" t="s">
        <v>451</v>
      </c>
      <c r="F44" s="52">
        <v>33.4</v>
      </c>
      <c r="G44" s="52"/>
      <c r="H44" s="52">
        <f>F44*AE44</f>
        <v>0</v>
      </c>
      <c r="I44" s="52">
        <f>J44-H44</f>
        <v>0</v>
      </c>
      <c r="J44" s="52">
        <f>F44*G44</f>
        <v>0</v>
      </c>
      <c r="K44" s="52">
        <v>0</v>
      </c>
      <c r="L44" s="52">
        <f>F44*K44</f>
        <v>0</v>
      </c>
      <c r="M44" s="53" t="s">
        <v>469</v>
      </c>
      <c r="P44" s="27">
        <f>IF(AG44="5",J44,0)</f>
        <v>0</v>
      </c>
      <c r="R44" s="27">
        <f>IF(AG44="1",H44,0)</f>
        <v>0</v>
      </c>
      <c r="S44" s="27">
        <f>IF(AG44="1",I44,0)</f>
        <v>0</v>
      </c>
      <c r="T44" s="27">
        <f>IF(AG44="7",H44,0)</f>
        <v>0</v>
      </c>
      <c r="U44" s="27">
        <f>IF(AG44="7",I44,0)</f>
        <v>0</v>
      </c>
      <c r="V44" s="27">
        <f>IF(AG44="2",H44,0)</f>
        <v>0</v>
      </c>
      <c r="W44" s="27">
        <f>IF(AG44="2",I44,0)</f>
        <v>0</v>
      </c>
      <c r="X44" s="27">
        <f>IF(AG44="0",J44,0)</f>
        <v>0</v>
      </c>
      <c r="Y44" s="20"/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27">
        <v>15</v>
      </c>
      <c r="AE44" s="27">
        <f>G44*0</f>
        <v>0</v>
      </c>
      <c r="AF44" s="27">
        <f>G44*(1-0)</f>
        <v>0</v>
      </c>
      <c r="AG44" s="23" t="s">
        <v>6</v>
      </c>
      <c r="AM44" s="27">
        <f>F44*AE44</f>
        <v>0</v>
      </c>
      <c r="AN44" s="27">
        <f>F44*AF44</f>
        <v>0</v>
      </c>
      <c r="AO44" s="28" t="s">
        <v>482</v>
      </c>
      <c r="AP44" s="28" t="s">
        <v>517</v>
      </c>
      <c r="AQ44" s="20" t="s">
        <v>530</v>
      </c>
      <c r="AS44" s="27">
        <f>AM44+AN44</f>
        <v>0</v>
      </c>
      <c r="AT44" s="27">
        <f>G44/(100-AU44)*100</f>
        <v>0</v>
      </c>
      <c r="AU44" s="27">
        <v>0</v>
      </c>
      <c r="AV44" s="27">
        <f>L44</f>
        <v>0</v>
      </c>
    </row>
    <row r="45" spans="2:13" ht="12">
      <c r="B45" s="54"/>
      <c r="C45" s="54"/>
      <c r="D45" s="66" t="s">
        <v>283</v>
      </c>
      <c r="E45" s="54"/>
      <c r="F45" s="54"/>
      <c r="G45" s="54"/>
      <c r="H45" s="54"/>
      <c r="I45" s="54"/>
      <c r="J45" s="54"/>
      <c r="K45" s="54"/>
      <c r="L45" s="54"/>
      <c r="M45" s="54"/>
    </row>
    <row r="46" spans="1:37" ht="12.75">
      <c r="A46" s="5"/>
      <c r="B46" s="55"/>
      <c r="C46" s="55" t="s">
        <v>20</v>
      </c>
      <c r="D46" s="72" t="s">
        <v>284</v>
      </c>
      <c r="E46" s="73"/>
      <c r="F46" s="73"/>
      <c r="G46" s="73"/>
      <c r="H46" s="56">
        <f>SUM(H47:H51)</f>
        <v>0</v>
      </c>
      <c r="I46" s="56">
        <f>SUM(I47:I51)</f>
        <v>0</v>
      </c>
      <c r="J46" s="56">
        <f>H46+I46</f>
        <v>0</v>
      </c>
      <c r="K46" s="57"/>
      <c r="L46" s="56">
        <f>SUM(L47:L51)</f>
        <v>0.21087</v>
      </c>
      <c r="M46" s="57"/>
      <c r="Y46" s="20"/>
      <c r="AI46" s="29">
        <f>SUM(Z47:Z51)</f>
        <v>0</v>
      </c>
      <c r="AJ46" s="29">
        <f>SUM(AA47:AA51)</f>
        <v>0</v>
      </c>
      <c r="AK46" s="29">
        <f>SUM(AB47:AB51)</f>
        <v>0</v>
      </c>
    </row>
    <row r="47" spans="1:48" ht="12.75">
      <c r="A47" s="4" t="s">
        <v>22</v>
      </c>
      <c r="B47" s="51"/>
      <c r="C47" s="51" t="s">
        <v>141</v>
      </c>
      <c r="D47" s="51" t="s">
        <v>285</v>
      </c>
      <c r="E47" s="51" t="s">
        <v>448</v>
      </c>
      <c r="F47" s="52">
        <v>213</v>
      </c>
      <c r="G47" s="52"/>
      <c r="H47" s="52">
        <f>F47*AE47</f>
        <v>0</v>
      </c>
      <c r="I47" s="52">
        <f>J47-H47</f>
        <v>0</v>
      </c>
      <c r="J47" s="52">
        <f>F47*G47</f>
        <v>0</v>
      </c>
      <c r="K47" s="52">
        <v>0.00099</v>
      </c>
      <c r="L47" s="52">
        <f>F47*K47</f>
        <v>0.21087</v>
      </c>
      <c r="M47" s="53" t="s">
        <v>469</v>
      </c>
      <c r="P47" s="27">
        <f>IF(AG47="5",J47,0)</f>
        <v>0</v>
      </c>
      <c r="R47" s="27">
        <f>IF(AG47="1",H47,0)</f>
        <v>0</v>
      </c>
      <c r="S47" s="27">
        <f>IF(AG47="1",I47,0)</f>
        <v>0</v>
      </c>
      <c r="T47" s="27">
        <f>IF(AG47="7",H47,0)</f>
        <v>0</v>
      </c>
      <c r="U47" s="27">
        <f>IF(AG47="7",I47,0)</f>
        <v>0</v>
      </c>
      <c r="V47" s="27">
        <f>IF(AG47="2",H47,0)</f>
        <v>0</v>
      </c>
      <c r="W47" s="27">
        <f>IF(AG47="2",I47,0)</f>
        <v>0</v>
      </c>
      <c r="X47" s="27">
        <f>IF(AG47="0",J47,0)</f>
        <v>0</v>
      </c>
      <c r="Y47" s="20"/>
      <c r="Z47" s="13">
        <f>IF(AD47=0,J47,0)</f>
        <v>0</v>
      </c>
      <c r="AA47" s="13">
        <f>IF(AD47=15,J47,0)</f>
        <v>0</v>
      </c>
      <c r="AB47" s="13">
        <f>IF(AD47=21,J47,0)</f>
        <v>0</v>
      </c>
      <c r="AD47" s="27">
        <v>15</v>
      </c>
      <c r="AE47" s="27">
        <f>G47*0.102692423180863</f>
        <v>0</v>
      </c>
      <c r="AF47" s="27">
        <f>G47*(1-0.102692423180863)</f>
        <v>0</v>
      </c>
      <c r="AG47" s="23" t="s">
        <v>6</v>
      </c>
      <c r="AM47" s="27">
        <f>F47*AE47</f>
        <v>0</v>
      </c>
      <c r="AN47" s="27">
        <f>F47*AF47</f>
        <v>0</v>
      </c>
      <c r="AO47" s="28" t="s">
        <v>483</v>
      </c>
      <c r="AP47" s="28" t="s">
        <v>517</v>
      </c>
      <c r="AQ47" s="20" t="s">
        <v>530</v>
      </c>
      <c r="AS47" s="27">
        <f>AM47+AN47</f>
        <v>0</v>
      </c>
      <c r="AT47" s="27">
        <f>G47/(100-AU47)*100</f>
        <v>0</v>
      </c>
      <c r="AU47" s="27">
        <v>0</v>
      </c>
      <c r="AV47" s="27">
        <f>L47</f>
        <v>0.21087</v>
      </c>
    </row>
    <row r="48" spans="2:13" ht="12">
      <c r="B48" s="54"/>
      <c r="C48" s="54"/>
      <c r="D48" s="66" t="s">
        <v>286</v>
      </c>
      <c r="E48" s="54"/>
      <c r="F48" s="54"/>
      <c r="G48" s="54"/>
      <c r="H48" s="54"/>
      <c r="I48" s="54"/>
      <c r="J48" s="54"/>
      <c r="K48" s="54"/>
      <c r="L48" s="54"/>
      <c r="M48" s="54"/>
    </row>
    <row r="49" spans="1:48" ht="12.75">
      <c r="A49" s="4" t="s">
        <v>23</v>
      </c>
      <c r="B49" s="51"/>
      <c r="C49" s="51" t="s">
        <v>142</v>
      </c>
      <c r="D49" s="51" t="s">
        <v>287</v>
      </c>
      <c r="E49" s="51" t="s">
        <v>448</v>
      </c>
      <c r="F49" s="52">
        <v>213</v>
      </c>
      <c r="G49" s="52"/>
      <c r="H49" s="52">
        <f>F49*AE49</f>
        <v>0</v>
      </c>
      <c r="I49" s="52">
        <f>J49-H49</f>
        <v>0</v>
      </c>
      <c r="J49" s="52">
        <f>F49*G49</f>
        <v>0</v>
      </c>
      <c r="K49" s="52">
        <v>0</v>
      </c>
      <c r="L49" s="52">
        <f>F49*K49</f>
        <v>0</v>
      </c>
      <c r="M49" s="53" t="s">
        <v>469</v>
      </c>
      <c r="P49" s="27">
        <f>IF(AG49="5",J49,0)</f>
        <v>0</v>
      </c>
      <c r="R49" s="27">
        <f>IF(AG49="1",H49,0)</f>
        <v>0</v>
      </c>
      <c r="S49" s="27">
        <f>IF(AG49="1",I49,0)</f>
        <v>0</v>
      </c>
      <c r="T49" s="27">
        <f>IF(AG49="7",H49,0)</f>
        <v>0</v>
      </c>
      <c r="U49" s="27">
        <f>IF(AG49="7",I49,0)</f>
        <v>0</v>
      </c>
      <c r="V49" s="27">
        <f>IF(AG49="2",H49,0)</f>
        <v>0</v>
      </c>
      <c r="W49" s="27">
        <f>IF(AG49="2",I49,0)</f>
        <v>0</v>
      </c>
      <c r="X49" s="27">
        <f>IF(AG49="0",J49,0)</f>
        <v>0</v>
      </c>
      <c r="Y49" s="20"/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27">
        <v>15</v>
      </c>
      <c r="AE49" s="27">
        <f>G49*0</f>
        <v>0</v>
      </c>
      <c r="AF49" s="27">
        <f>G49*(1-0)</f>
        <v>0</v>
      </c>
      <c r="AG49" s="23" t="s">
        <v>6</v>
      </c>
      <c r="AM49" s="27">
        <f>F49*AE49</f>
        <v>0</v>
      </c>
      <c r="AN49" s="27">
        <f>F49*AF49</f>
        <v>0</v>
      </c>
      <c r="AO49" s="28" t="s">
        <v>483</v>
      </c>
      <c r="AP49" s="28" t="s">
        <v>517</v>
      </c>
      <c r="AQ49" s="20" t="s">
        <v>530</v>
      </c>
      <c r="AS49" s="27">
        <f>AM49+AN49</f>
        <v>0</v>
      </c>
      <c r="AT49" s="27">
        <f>G49/(100-AU49)*100</f>
        <v>0</v>
      </c>
      <c r="AU49" s="27">
        <v>0</v>
      </c>
      <c r="AV49" s="27">
        <f>L49</f>
        <v>0</v>
      </c>
    </row>
    <row r="50" spans="2:13" ht="12">
      <c r="B50" s="54"/>
      <c r="C50" s="54"/>
      <c r="D50" s="66" t="s">
        <v>288</v>
      </c>
      <c r="E50" s="54"/>
      <c r="F50" s="54"/>
      <c r="G50" s="54"/>
      <c r="H50" s="54"/>
      <c r="I50" s="54"/>
      <c r="J50" s="54"/>
      <c r="K50" s="54"/>
      <c r="L50" s="54"/>
      <c r="M50" s="54"/>
    </row>
    <row r="51" spans="1:48" ht="12.75">
      <c r="A51" s="4" t="s">
        <v>24</v>
      </c>
      <c r="B51" s="51"/>
      <c r="C51" s="51" t="s">
        <v>143</v>
      </c>
      <c r="D51" s="51" t="s">
        <v>289</v>
      </c>
      <c r="E51" s="51" t="s">
        <v>450</v>
      </c>
      <c r="F51" s="52">
        <v>62</v>
      </c>
      <c r="G51" s="52"/>
      <c r="H51" s="52">
        <f>F51*AE51</f>
        <v>0</v>
      </c>
      <c r="I51" s="52">
        <f>J51-H51</f>
        <v>0</v>
      </c>
      <c r="J51" s="52">
        <f>F51*G51</f>
        <v>0</v>
      </c>
      <c r="K51" s="52">
        <v>0</v>
      </c>
      <c r="L51" s="52">
        <f>F51*K51</f>
        <v>0</v>
      </c>
      <c r="M51" s="53" t="s">
        <v>469</v>
      </c>
      <c r="P51" s="27">
        <f>IF(AG51="5",J51,0)</f>
        <v>0</v>
      </c>
      <c r="R51" s="27">
        <f>IF(AG51="1",H51,0)</f>
        <v>0</v>
      </c>
      <c r="S51" s="27">
        <f>IF(AG51="1",I51,0)</f>
        <v>0</v>
      </c>
      <c r="T51" s="27">
        <f>IF(AG51="7",H51,0)</f>
        <v>0</v>
      </c>
      <c r="U51" s="27">
        <f>IF(AG51="7",I51,0)</f>
        <v>0</v>
      </c>
      <c r="V51" s="27">
        <f>IF(AG51="2",H51,0)</f>
        <v>0</v>
      </c>
      <c r="W51" s="27">
        <f>IF(AG51="2",I51,0)</f>
        <v>0</v>
      </c>
      <c r="X51" s="27">
        <f>IF(AG51="0",J51,0)</f>
        <v>0</v>
      </c>
      <c r="Y51" s="20"/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27">
        <v>15</v>
      </c>
      <c r="AE51" s="27">
        <f>G51*0</f>
        <v>0</v>
      </c>
      <c r="AF51" s="27">
        <f>G51*(1-0)</f>
        <v>0</v>
      </c>
      <c r="AG51" s="23" t="s">
        <v>6</v>
      </c>
      <c r="AM51" s="27">
        <f>F51*AE51</f>
        <v>0</v>
      </c>
      <c r="AN51" s="27">
        <f>F51*AF51</f>
        <v>0</v>
      </c>
      <c r="AO51" s="28" t="s">
        <v>483</v>
      </c>
      <c r="AP51" s="28" t="s">
        <v>517</v>
      </c>
      <c r="AQ51" s="20" t="s">
        <v>530</v>
      </c>
      <c r="AS51" s="27">
        <f>AM51+AN51</f>
        <v>0</v>
      </c>
      <c r="AT51" s="27">
        <f>G51/(100-AU51)*100</f>
        <v>0</v>
      </c>
      <c r="AU51" s="27">
        <v>0</v>
      </c>
      <c r="AV51" s="27">
        <f>L51</f>
        <v>0</v>
      </c>
    </row>
    <row r="52" spans="2:13" ht="12">
      <c r="B52" s="54"/>
      <c r="C52" s="54"/>
      <c r="D52" s="66" t="s">
        <v>593</v>
      </c>
      <c r="E52" s="54"/>
      <c r="F52" s="54"/>
      <c r="G52" s="54"/>
      <c r="H52" s="54"/>
      <c r="I52" s="54"/>
      <c r="J52" s="54"/>
      <c r="K52" s="54"/>
      <c r="L52" s="54"/>
      <c r="M52" s="54"/>
    </row>
    <row r="53" spans="1:37" ht="12.75">
      <c r="A53" s="5"/>
      <c r="B53" s="55"/>
      <c r="C53" s="55" t="s">
        <v>21</v>
      </c>
      <c r="D53" s="72" t="s">
        <v>290</v>
      </c>
      <c r="E53" s="73"/>
      <c r="F53" s="73"/>
      <c r="G53" s="73"/>
      <c r="H53" s="56">
        <f>SUM(H54:H56)</f>
        <v>0</v>
      </c>
      <c r="I53" s="56">
        <f>SUM(I54:I56)</f>
        <v>0</v>
      </c>
      <c r="J53" s="56">
        <f>H53+I53</f>
        <v>0</v>
      </c>
      <c r="K53" s="57"/>
      <c r="L53" s="56">
        <f>SUM(L54:L56)</f>
        <v>0</v>
      </c>
      <c r="M53" s="57"/>
      <c r="Y53" s="20"/>
      <c r="AI53" s="29">
        <f>SUM(Z54:Z56)</f>
        <v>0</v>
      </c>
      <c r="AJ53" s="29">
        <f>SUM(AA54:AA56)</f>
        <v>0</v>
      </c>
      <c r="AK53" s="29">
        <f>SUM(AB54:AB56)</f>
        <v>0</v>
      </c>
    </row>
    <row r="54" spans="1:48" ht="12.75">
      <c r="A54" s="4" t="s">
        <v>25</v>
      </c>
      <c r="B54" s="51"/>
      <c r="C54" s="51" t="s">
        <v>144</v>
      </c>
      <c r="D54" s="51" t="s">
        <v>594</v>
      </c>
      <c r="E54" s="51" t="s">
        <v>451</v>
      </c>
      <c r="F54" s="52">
        <v>426</v>
      </c>
      <c r="G54" s="52"/>
      <c r="H54" s="52">
        <f>F54*AE54</f>
        <v>0</v>
      </c>
      <c r="I54" s="52">
        <f>J54-H54</f>
        <v>0</v>
      </c>
      <c r="J54" s="52">
        <f>F54*G54</f>
        <v>0</v>
      </c>
      <c r="K54" s="52">
        <v>0</v>
      </c>
      <c r="L54" s="52">
        <f>F54*K54</f>
        <v>0</v>
      </c>
      <c r="M54" s="53" t="s">
        <v>469</v>
      </c>
      <c r="P54" s="27">
        <f>IF(AG54="5",J54,0)</f>
        <v>0</v>
      </c>
      <c r="R54" s="27">
        <f>IF(AG54="1",H54,0)</f>
        <v>0</v>
      </c>
      <c r="S54" s="27">
        <f>IF(AG54="1",I54,0)</f>
        <v>0</v>
      </c>
      <c r="T54" s="27">
        <f>IF(AG54="7",H54,0)</f>
        <v>0</v>
      </c>
      <c r="U54" s="27">
        <f>IF(AG54="7",I54,0)</f>
        <v>0</v>
      </c>
      <c r="V54" s="27">
        <f>IF(AG54="2",H54,0)</f>
        <v>0</v>
      </c>
      <c r="W54" s="27">
        <f>IF(AG54="2",I54,0)</f>
        <v>0</v>
      </c>
      <c r="X54" s="27">
        <f>IF(AG54="0",J54,0)</f>
        <v>0</v>
      </c>
      <c r="Y54" s="20"/>
      <c r="Z54" s="13">
        <f>IF(AD54=0,J54,0)</f>
        <v>0</v>
      </c>
      <c r="AA54" s="13">
        <f>IF(AD54=15,J54,0)</f>
        <v>0</v>
      </c>
      <c r="AB54" s="13">
        <f>IF(AD54=21,J54,0)</f>
        <v>0</v>
      </c>
      <c r="AD54" s="27">
        <v>15</v>
      </c>
      <c r="AE54" s="27">
        <f>G54*0</f>
        <v>0</v>
      </c>
      <c r="AF54" s="27">
        <f>G54*(1-0)</f>
        <v>0</v>
      </c>
      <c r="AG54" s="23" t="s">
        <v>6</v>
      </c>
      <c r="AM54" s="27">
        <f>F54*AE54</f>
        <v>0</v>
      </c>
      <c r="AN54" s="27">
        <f>F54*AF54</f>
        <v>0</v>
      </c>
      <c r="AO54" s="28" t="s">
        <v>484</v>
      </c>
      <c r="AP54" s="28" t="s">
        <v>517</v>
      </c>
      <c r="AQ54" s="20" t="s">
        <v>530</v>
      </c>
      <c r="AS54" s="27">
        <f>AM54+AN54</f>
        <v>0</v>
      </c>
      <c r="AT54" s="27">
        <f>G54/(100-AU54)*100</f>
        <v>0</v>
      </c>
      <c r="AU54" s="27">
        <v>0</v>
      </c>
      <c r="AV54" s="27">
        <f>L54</f>
        <v>0</v>
      </c>
    </row>
    <row r="55" spans="2:13" ht="12">
      <c r="B55" s="54"/>
      <c r="C55" s="54"/>
      <c r="D55" s="66" t="s">
        <v>291</v>
      </c>
      <c r="E55" s="54"/>
      <c r="F55" s="54"/>
      <c r="G55" s="54"/>
      <c r="H55" s="54"/>
      <c r="I55" s="54"/>
      <c r="J55" s="54"/>
      <c r="K55" s="54"/>
      <c r="L55" s="54"/>
      <c r="M55" s="54"/>
    </row>
    <row r="56" spans="1:48" ht="12.75">
      <c r="A56" s="4" t="s">
        <v>26</v>
      </c>
      <c r="B56" s="51"/>
      <c r="C56" s="51" t="s">
        <v>145</v>
      </c>
      <c r="D56" s="51" t="s">
        <v>292</v>
      </c>
      <c r="E56" s="51" t="s">
        <v>451</v>
      </c>
      <c r="F56" s="52">
        <v>426</v>
      </c>
      <c r="G56" s="52"/>
      <c r="H56" s="52">
        <f>F56*AE56</f>
        <v>0</v>
      </c>
      <c r="I56" s="52">
        <f>J56-H56</f>
        <v>0</v>
      </c>
      <c r="J56" s="52">
        <f>F56*G56</f>
        <v>0</v>
      </c>
      <c r="K56" s="52">
        <v>0</v>
      </c>
      <c r="L56" s="52">
        <f>F56*K56</f>
        <v>0</v>
      </c>
      <c r="M56" s="53" t="s">
        <v>469</v>
      </c>
      <c r="P56" s="27">
        <f>IF(AG56="5",J56,0)</f>
        <v>0</v>
      </c>
      <c r="R56" s="27">
        <f>IF(AG56="1",H56,0)</f>
        <v>0</v>
      </c>
      <c r="S56" s="27">
        <f>IF(AG56="1",I56,0)</f>
        <v>0</v>
      </c>
      <c r="T56" s="27">
        <f>IF(AG56="7",H56,0)</f>
        <v>0</v>
      </c>
      <c r="U56" s="27">
        <f>IF(AG56="7",I56,0)</f>
        <v>0</v>
      </c>
      <c r="V56" s="27">
        <f>IF(AG56="2",H56,0)</f>
        <v>0</v>
      </c>
      <c r="W56" s="27">
        <f>IF(AG56="2",I56,0)</f>
        <v>0</v>
      </c>
      <c r="X56" s="27">
        <f>IF(AG56="0",J56,0)</f>
        <v>0</v>
      </c>
      <c r="Y56" s="20"/>
      <c r="Z56" s="13">
        <f>IF(AD56=0,J56,0)</f>
        <v>0</v>
      </c>
      <c r="AA56" s="13">
        <f>IF(AD56=15,J56,0)</f>
        <v>0</v>
      </c>
      <c r="AB56" s="13">
        <f>IF(AD56=21,J56,0)</f>
        <v>0</v>
      </c>
      <c r="AD56" s="27">
        <v>15</v>
      </c>
      <c r="AE56" s="27">
        <f>G56*0</f>
        <v>0</v>
      </c>
      <c r="AF56" s="27">
        <f>G56*(1-0)</f>
        <v>0</v>
      </c>
      <c r="AG56" s="23" t="s">
        <v>6</v>
      </c>
      <c r="AM56" s="27">
        <f>F56*AE56</f>
        <v>0</v>
      </c>
      <c r="AN56" s="27">
        <f>F56*AF56</f>
        <v>0</v>
      </c>
      <c r="AO56" s="28" t="s">
        <v>484</v>
      </c>
      <c r="AP56" s="28" t="s">
        <v>517</v>
      </c>
      <c r="AQ56" s="20" t="s">
        <v>530</v>
      </c>
      <c r="AS56" s="27">
        <f>AM56+AN56</f>
        <v>0</v>
      </c>
      <c r="AT56" s="27">
        <f>G56/(100-AU56)*100</f>
        <v>0</v>
      </c>
      <c r="AU56" s="27">
        <v>0</v>
      </c>
      <c r="AV56" s="27">
        <f>L56</f>
        <v>0</v>
      </c>
    </row>
    <row r="57" spans="2:13" ht="12">
      <c r="B57" s="54"/>
      <c r="C57" s="54"/>
      <c r="D57" s="66" t="s">
        <v>293</v>
      </c>
      <c r="E57" s="54"/>
      <c r="F57" s="54"/>
      <c r="G57" s="54"/>
      <c r="H57" s="54"/>
      <c r="I57" s="54"/>
      <c r="J57" s="54"/>
      <c r="K57" s="54"/>
      <c r="L57" s="54"/>
      <c r="M57" s="54"/>
    </row>
    <row r="58" spans="1:37" ht="12.75">
      <c r="A58" s="5"/>
      <c r="B58" s="55"/>
      <c r="C58" s="55" t="s">
        <v>22</v>
      </c>
      <c r="D58" s="72" t="s">
        <v>294</v>
      </c>
      <c r="E58" s="73"/>
      <c r="F58" s="73"/>
      <c r="G58" s="73"/>
      <c r="H58" s="56">
        <f>SUM(H59:H61)</f>
        <v>0</v>
      </c>
      <c r="I58" s="56">
        <f>SUM(I59:I61)</f>
        <v>0</v>
      </c>
      <c r="J58" s="56">
        <f>H58+I58</f>
        <v>0</v>
      </c>
      <c r="K58" s="57"/>
      <c r="L58" s="56">
        <f>SUM(L59:L61)</f>
        <v>82.11</v>
      </c>
      <c r="M58" s="57"/>
      <c r="Y58" s="20"/>
      <c r="AI58" s="29">
        <f>SUM(Z59:Z61)</f>
        <v>0</v>
      </c>
      <c r="AJ58" s="29">
        <f>SUM(AA59:AA61)</f>
        <v>0</v>
      </c>
      <c r="AK58" s="29">
        <f>SUM(AB59:AB61)</f>
        <v>0</v>
      </c>
    </row>
    <row r="59" spans="1:48" ht="12.75">
      <c r="A59" s="4" t="s">
        <v>27</v>
      </c>
      <c r="B59" s="51"/>
      <c r="C59" s="51" t="s">
        <v>146</v>
      </c>
      <c r="D59" s="51" t="s">
        <v>295</v>
      </c>
      <c r="E59" s="51" t="s">
        <v>451</v>
      </c>
      <c r="F59" s="52">
        <v>227.36</v>
      </c>
      <c r="G59" s="52"/>
      <c r="H59" s="52">
        <f>F59*AE59</f>
        <v>0</v>
      </c>
      <c r="I59" s="52">
        <f>J59-H59</f>
        <v>0</v>
      </c>
      <c r="J59" s="52">
        <f>F59*G59</f>
        <v>0</v>
      </c>
      <c r="K59" s="52">
        <v>0</v>
      </c>
      <c r="L59" s="52">
        <f>F59*K59</f>
        <v>0</v>
      </c>
      <c r="M59" s="53" t="s">
        <v>469</v>
      </c>
      <c r="P59" s="27">
        <f>IF(AG59="5",J59,0)</f>
        <v>0</v>
      </c>
      <c r="R59" s="27">
        <f>IF(AG59="1",H59,0)</f>
        <v>0</v>
      </c>
      <c r="S59" s="27">
        <f>IF(AG59="1",I59,0)</f>
        <v>0</v>
      </c>
      <c r="T59" s="27">
        <f>IF(AG59="7",H59,0)</f>
        <v>0</v>
      </c>
      <c r="U59" s="27">
        <f>IF(AG59="7",I59,0)</f>
        <v>0</v>
      </c>
      <c r="V59" s="27">
        <f>IF(AG59="2",H59,0)</f>
        <v>0</v>
      </c>
      <c r="W59" s="27">
        <f>IF(AG59="2",I59,0)</f>
        <v>0</v>
      </c>
      <c r="X59" s="27">
        <f>IF(AG59="0",J59,0)</f>
        <v>0</v>
      </c>
      <c r="Y59" s="20"/>
      <c r="Z59" s="13">
        <f>IF(AD59=0,J59,0)</f>
        <v>0</v>
      </c>
      <c r="AA59" s="13">
        <f>IF(AD59=15,J59,0)</f>
        <v>0</v>
      </c>
      <c r="AB59" s="13">
        <f>IF(AD59=21,J59,0)</f>
        <v>0</v>
      </c>
      <c r="AD59" s="27">
        <v>15</v>
      </c>
      <c r="AE59" s="27">
        <f>G59*0</f>
        <v>0</v>
      </c>
      <c r="AF59" s="27">
        <f>G59*(1-0)</f>
        <v>0</v>
      </c>
      <c r="AG59" s="23" t="s">
        <v>6</v>
      </c>
      <c r="AM59" s="27">
        <f>F59*AE59</f>
        <v>0</v>
      </c>
      <c r="AN59" s="27">
        <f>F59*AF59</f>
        <v>0</v>
      </c>
      <c r="AO59" s="28" t="s">
        <v>485</v>
      </c>
      <c r="AP59" s="28" t="s">
        <v>517</v>
      </c>
      <c r="AQ59" s="20" t="s">
        <v>530</v>
      </c>
      <c r="AS59" s="27">
        <f>AM59+AN59</f>
        <v>0</v>
      </c>
      <c r="AT59" s="27">
        <f>G59/(100-AU59)*100</f>
        <v>0</v>
      </c>
      <c r="AU59" s="27">
        <v>0</v>
      </c>
      <c r="AV59" s="27">
        <f>L59</f>
        <v>0</v>
      </c>
    </row>
    <row r="60" spans="2:13" ht="12">
      <c r="B60" s="54"/>
      <c r="C60" s="54"/>
      <c r="D60" s="66" t="s">
        <v>573</v>
      </c>
      <c r="E60" s="54"/>
      <c r="F60" s="54"/>
      <c r="G60" s="54"/>
      <c r="H60" s="54"/>
      <c r="I60" s="54"/>
      <c r="J60" s="54"/>
      <c r="K60" s="54"/>
      <c r="L60" s="54"/>
      <c r="M60" s="54"/>
    </row>
    <row r="61" spans="1:48" ht="12.75">
      <c r="A61" s="4" t="s">
        <v>28</v>
      </c>
      <c r="B61" s="51"/>
      <c r="C61" s="51" t="s">
        <v>147</v>
      </c>
      <c r="D61" s="51" t="s">
        <v>296</v>
      </c>
      <c r="E61" s="51" t="s">
        <v>451</v>
      </c>
      <c r="F61" s="52">
        <v>48.3</v>
      </c>
      <c r="G61" s="52"/>
      <c r="H61" s="52">
        <f>F61*AE61</f>
        <v>0</v>
      </c>
      <c r="I61" s="52">
        <f>J61-H61</f>
        <v>0</v>
      </c>
      <c r="J61" s="52">
        <f>F61*G61</f>
        <v>0</v>
      </c>
      <c r="K61" s="52">
        <v>1.7</v>
      </c>
      <c r="L61" s="52">
        <f>F61*K61</f>
        <v>82.11</v>
      </c>
      <c r="M61" s="53" t="s">
        <v>469</v>
      </c>
      <c r="P61" s="27">
        <f>IF(AG61="5",J61,0)</f>
        <v>0</v>
      </c>
      <c r="R61" s="27">
        <f>IF(AG61="1",H61,0)</f>
        <v>0</v>
      </c>
      <c r="S61" s="27">
        <f>IF(AG61="1",I61,0)</f>
        <v>0</v>
      </c>
      <c r="T61" s="27">
        <f>IF(AG61="7",H61,0)</f>
        <v>0</v>
      </c>
      <c r="U61" s="27">
        <f>IF(AG61="7",I61,0)</f>
        <v>0</v>
      </c>
      <c r="V61" s="27">
        <f>IF(AG61="2",H61,0)</f>
        <v>0</v>
      </c>
      <c r="W61" s="27">
        <f>IF(AG61="2",I61,0)</f>
        <v>0</v>
      </c>
      <c r="X61" s="27">
        <f>IF(AG61="0",J61,0)</f>
        <v>0</v>
      </c>
      <c r="Y61" s="20"/>
      <c r="Z61" s="13">
        <f>IF(AD61=0,J61,0)</f>
        <v>0</v>
      </c>
      <c r="AA61" s="13">
        <f>IF(AD61=15,J61,0)</f>
        <v>0</v>
      </c>
      <c r="AB61" s="13">
        <f>IF(AD61=21,J61,0)</f>
        <v>0</v>
      </c>
      <c r="AD61" s="27">
        <v>15</v>
      </c>
      <c r="AE61" s="27">
        <f>G61*0.542638436482085</f>
        <v>0</v>
      </c>
      <c r="AF61" s="27">
        <f>G61*(1-0.542638436482085)</f>
        <v>0</v>
      </c>
      <c r="AG61" s="23" t="s">
        <v>6</v>
      </c>
      <c r="AM61" s="27">
        <f>F61*AE61</f>
        <v>0</v>
      </c>
      <c r="AN61" s="27">
        <f>F61*AF61</f>
        <v>0</v>
      </c>
      <c r="AO61" s="28" t="s">
        <v>485</v>
      </c>
      <c r="AP61" s="28" t="s">
        <v>517</v>
      </c>
      <c r="AQ61" s="20" t="s">
        <v>530</v>
      </c>
      <c r="AS61" s="27">
        <f>AM61+AN61</f>
        <v>0</v>
      </c>
      <c r="AT61" s="27">
        <f>G61/(100-AU61)*100</f>
        <v>0</v>
      </c>
      <c r="AU61" s="27">
        <v>0</v>
      </c>
      <c r="AV61" s="27">
        <f>L61</f>
        <v>82.11</v>
      </c>
    </row>
    <row r="62" spans="2:13" ht="12">
      <c r="B62" s="54"/>
      <c r="C62" s="54"/>
      <c r="D62" s="66" t="s">
        <v>297</v>
      </c>
      <c r="E62" s="54"/>
      <c r="F62" s="54"/>
      <c r="G62" s="54"/>
      <c r="H62" s="54"/>
      <c r="I62" s="54"/>
      <c r="J62" s="54"/>
      <c r="K62" s="54"/>
      <c r="L62" s="54"/>
      <c r="M62" s="54"/>
    </row>
    <row r="63" spans="1:37" ht="12.75">
      <c r="A63" s="5"/>
      <c r="B63" s="55"/>
      <c r="C63" s="55" t="s">
        <v>23</v>
      </c>
      <c r="D63" s="72" t="s">
        <v>298</v>
      </c>
      <c r="E63" s="73"/>
      <c r="F63" s="73"/>
      <c r="G63" s="73"/>
      <c r="H63" s="56">
        <f>SUM(H64:H68)</f>
        <v>0</v>
      </c>
      <c r="I63" s="56">
        <f>SUM(I64:I68)</f>
        <v>0</v>
      </c>
      <c r="J63" s="56">
        <f>H63+I63</f>
        <v>0</v>
      </c>
      <c r="K63" s="57"/>
      <c r="L63" s="56">
        <f>SUM(L64:L68)</f>
        <v>0</v>
      </c>
      <c r="M63" s="57"/>
      <c r="Y63" s="20"/>
      <c r="AI63" s="29">
        <f>SUM(Z64:Z68)</f>
        <v>0</v>
      </c>
      <c r="AJ63" s="29">
        <f>SUM(AA64:AA68)</f>
        <v>0</v>
      </c>
      <c r="AK63" s="29">
        <f>SUM(AB64:AB68)</f>
        <v>0</v>
      </c>
    </row>
    <row r="64" spans="1:48" ht="12.75">
      <c r="A64" s="4" t="s">
        <v>29</v>
      </c>
      <c r="B64" s="51"/>
      <c r="C64" s="51" t="s">
        <v>148</v>
      </c>
      <c r="D64" s="51" t="s">
        <v>299</v>
      </c>
      <c r="E64" s="51" t="s">
        <v>448</v>
      </c>
      <c r="F64" s="52">
        <v>946.4</v>
      </c>
      <c r="G64" s="52"/>
      <c r="H64" s="52">
        <f>F64*AE64</f>
        <v>0</v>
      </c>
      <c r="I64" s="52">
        <f>J64-H64</f>
        <v>0</v>
      </c>
      <c r="J64" s="52">
        <f>F64*G64</f>
        <v>0</v>
      </c>
      <c r="K64" s="52">
        <v>0</v>
      </c>
      <c r="L64" s="52">
        <f>F64*K64</f>
        <v>0</v>
      </c>
      <c r="M64" s="53" t="s">
        <v>469</v>
      </c>
      <c r="P64" s="27">
        <f>IF(AG64="5",J64,0)</f>
        <v>0</v>
      </c>
      <c r="R64" s="27">
        <f>IF(AG64="1",H64,0)</f>
        <v>0</v>
      </c>
      <c r="S64" s="27">
        <f>IF(AG64="1",I64,0)</f>
        <v>0</v>
      </c>
      <c r="T64" s="27">
        <f>IF(AG64="7",H64,0)</f>
        <v>0</v>
      </c>
      <c r="U64" s="27">
        <f>IF(AG64="7",I64,0)</f>
        <v>0</v>
      </c>
      <c r="V64" s="27">
        <f>IF(AG64="2",H64,0)</f>
        <v>0</v>
      </c>
      <c r="W64" s="27">
        <f>IF(AG64="2",I64,0)</f>
        <v>0</v>
      </c>
      <c r="X64" s="27">
        <f>IF(AG64="0",J64,0)</f>
        <v>0</v>
      </c>
      <c r="Y64" s="20"/>
      <c r="Z64" s="13">
        <f>IF(AD64=0,J64,0)</f>
        <v>0</v>
      </c>
      <c r="AA64" s="13">
        <f>IF(AD64=15,J64,0)</f>
        <v>0</v>
      </c>
      <c r="AB64" s="13">
        <f>IF(AD64=21,J64,0)</f>
        <v>0</v>
      </c>
      <c r="AD64" s="27">
        <v>15</v>
      </c>
      <c r="AE64" s="27">
        <f>G64*0</f>
        <v>0</v>
      </c>
      <c r="AF64" s="27">
        <f>G64*(1-0)</f>
        <v>0</v>
      </c>
      <c r="AG64" s="23" t="s">
        <v>6</v>
      </c>
      <c r="AM64" s="27">
        <f>F64*AE64</f>
        <v>0</v>
      </c>
      <c r="AN64" s="27">
        <f>F64*AF64</f>
        <v>0</v>
      </c>
      <c r="AO64" s="28" t="s">
        <v>486</v>
      </c>
      <c r="AP64" s="28" t="s">
        <v>517</v>
      </c>
      <c r="AQ64" s="20" t="s">
        <v>530</v>
      </c>
      <c r="AS64" s="27">
        <f>AM64+AN64</f>
        <v>0</v>
      </c>
      <c r="AT64" s="27">
        <f>G64/(100-AU64)*100</f>
        <v>0</v>
      </c>
      <c r="AU64" s="27">
        <v>0</v>
      </c>
      <c r="AV64" s="27">
        <f>L64</f>
        <v>0</v>
      </c>
    </row>
    <row r="65" spans="2:13" ht="12">
      <c r="B65" s="54"/>
      <c r="C65" s="54"/>
      <c r="D65" s="66" t="s">
        <v>300</v>
      </c>
      <c r="E65" s="54"/>
      <c r="F65" s="54"/>
      <c r="G65" s="54"/>
      <c r="H65" s="54"/>
      <c r="I65" s="54"/>
      <c r="J65" s="54"/>
      <c r="K65" s="54"/>
      <c r="L65" s="54"/>
      <c r="M65" s="54"/>
    </row>
    <row r="66" spans="1:48" ht="12.75">
      <c r="A66" s="4" t="s">
        <v>30</v>
      </c>
      <c r="B66" s="51"/>
      <c r="C66" s="51" t="s">
        <v>149</v>
      </c>
      <c r="D66" s="51" t="s">
        <v>301</v>
      </c>
      <c r="E66" s="51" t="s">
        <v>448</v>
      </c>
      <c r="F66" s="52">
        <v>471.5</v>
      </c>
      <c r="G66" s="52"/>
      <c r="H66" s="52">
        <f>F66*AE66</f>
        <v>0</v>
      </c>
      <c r="I66" s="52">
        <f>J66-H66</f>
        <v>0</v>
      </c>
      <c r="J66" s="52">
        <f>F66*G66</f>
        <v>0</v>
      </c>
      <c r="K66" s="52">
        <v>0</v>
      </c>
      <c r="L66" s="52">
        <f>F66*K66</f>
        <v>0</v>
      </c>
      <c r="M66" s="53" t="s">
        <v>469</v>
      </c>
      <c r="P66" s="27">
        <f>IF(AG66="5",J66,0)</f>
        <v>0</v>
      </c>
      <c r="R66" s="27">
        <f>IF(AG66="1",H66,0)</f>
        <v>0</v>
      </c>
      <c r="S66" s="27">
        <f>IF(AG66="1",I66,0)</f>
        <v>0</v>
      </c>
      <c r="T66" s="27">
        <f>IF(AG66="7",H66,0)</f>
        <v>0</v>
      </c>
      <c r="U66" s="27">
        <f>IF(AG66="7",I66,0)</f>
        <v>0</v>
      </c>
      <c r="V66" s="27">
        <f>IF(AG66="2",H66,0)</f>
        <v>0</v>
      </c>
      <c r="W66" s="27">
        <f>IF(AG66="2",I66,0)</f>
        <v>0</v>
      </c>
      <c r="X66" s="27">
        <f>IF(AG66="0",J66,0)</f>
        <v>0</v>
      </c>
      <c r="Y66" s="20"/>
      <c r="Z66" s="13">
        <f>IF(AD66=0,J66,0)</f>
        <v>0</v>
      </c>
      <c r="AA66" s="13">
        <f>IF(AD66=15,J66,0)</f>
        <v>0</v>
      </c>
      <c r="AB66" s="13">
        <f>IF(AD66=21,J66,0)</f>
        <v>0</v>
      </c>
      <c r="AD66" s="27">
        <v>15</v>
      </c>
      <c r="AE66" s="27">
        <f>G66*0</f>
        <v>0</v>
      </c>
      <c r="AF66" s="27">
        <f>G66*(1-0)</f>
        <v>0</v>
      </c>
      <c r="AG66" s="23" t="s">
        <v>6</v>
      </c>
      <c r="AM66" s="27">
        <f>F66*AE66</f>
        <v>0</v>
      </c>
      <c r="AN66" s="27">
        <f>F66*AF66</f>
        <v>0</v>
      </c>
      <c r="AO66" s="28" t="s">
        <v>486</v>
      </c>
      <c r="AP66" s="28" t="s">
        <v>517</v>
      </c>
      <c r="AQ66" s="20" t="s">
        <v>530</v>
      </c>
      <c r="AS66" s="27">
        <f>AM66+AN66</f>
        <v>0</v>
      </c>
      <c r="AT66" s="27">
        <f>G66/(100-AU66)*100</f>
        <v>0</v>
      </c>
      <c r="AU66" s="27">
        <v>0</v>
      </c>
      <c r="AV66" s="27">
        <f>L66</f>
        <v>0</v>
      </c>
    </row>
    <row r="67" spans="2:13" ht="12">
      <c r="B67" s="54"/>
      <c r="C67" s="54"/>
      <c r="D67" s="66" t="s">
        <v>302</v>
      </c>
      <c r="E67" s="54"/>
      <c r="F67" s="54"/>
      <c r="G67" s="54"/>
      <c r="H67" s="54"/>
      <c r="I67" s="54"/>
      <c r="J67" s="54"/>
      <c r="K67" s="54"/>
      <c r="L67" s="54"/>
      <c r="M67" s="54"/>
    </row>
    <row r="68" spans="1:48" ht="12.75">
      <c r="A68" s="4" t="s">
        <v>31</v>
      </c>
      <c r="B68" s="51"/>
      <c r="C68" s="51" t="s">
        <v>150</v>
      </c>
      <c r="D68" s="51" t="s">
        <v>303</v>
      </c>
      <c r="E68" s="51" t="s">
        <v>448</v>
      </c>
      <c r="F68" s="52">
        <v>690.3</v>
      </c>
      <c r="G68" s="52"/>
      <c r="H68" s="52">
        <f>F68*AE68</f>
        <v>0</v>
      </c>
      <c r="I68" s="52">
        <f>J68-H68</f>
        <v>0</v>
      </c>
      <c r="J68" s="52">
        <f>F68*G68</f>
        <v>0</v>
      </c>
      <c r="K68" s="52">
        <v>0</v>
      </c>
      <c r="L68" s="52">
        <f>F68*K68</f>
        <v>0</v>
      </c>
      <c r="M68" s="53" t="s">
        <v>469</v>
      </c>
      <c r="P68" s="27">
        <f>IF(AG68="5",J68,0)</f>
        <v>0</v>
      </c>
      <c r="R68" s="27">
        <f>IF(AG68="1",H68,0)</f>
        <v>0</v>
      </c>
      <c r="S68" s="27">
        <f>IF(AG68="1",I68,0)</f>
        <v>0</v>
      </c>
      <c r="T68" s="27">
        <f>IF(AG68="7",H68,0)</f>
        <v>0</v>
      </c>
      <c r="U68" s="27">
        <f>IF(AG68="7",I68,0)</f>
        <v>0</v>
      </c>
      <c r="V68" s="27">
        <f>IF(AG68="2",H68,0)</f>
        <v>0</v>
      </c>
      <c r="W68" s="27">
        <f>IF(AG68="2",I68,0)</f>
        <v>0</v>
      </c>
      <c r="X68" s="27">
        <f>IF(AG68="0",J68,0)</f>
        <v>0</v>
      </c>
      <c r="Y68" s="20"/>
      <c r="Z68" s="13">
        <f>IF(AD68=0,J68,0)</f>
        <v>0</v>
      </c>
      <c r="AA68" s="13">
        <f>IF(AD68=15,J68,0)</f>
        <v>0</v>
      </c>
      <c r="AB68" s="13">
        <f>IF(AD68=21,J68,0)</f>
        <v>0</v>
      </c>
      <c r="AD68" s="27">
        <v>15</v>
      </c>
      <c r="AE68" s="27">
        <f>G68*0.0473520249221184</f>
        <v>0</v>
      </c>
      <c r="AF68" s="27">
        <f>G68*(1-0.0473520249221184)</f>
        <v>0</v>
      </c>
      <c r="AG68" s="23" t="s">
        <v>6</v>
      </c>
      <c r="AM68" s="27">
        <f>F68*AE68</f>
        <v>0</v>
      </c>
      <c r="AN68" s="27">
        <f>F68*AF68</f>
        <v>0</v>
      </c>
      <c r="AO68" s="28" t="s">
        <v>486</v>
      </c>
      <c r="AP68" s="28" t="s">
        <v>517</v>
      </c>
      <c r="AQ68" s="20" t="s">
        <v>530</v>
      </c>
      <c r="AS68" s="27">
        <f>AM68+AN68</f>
        <v>0</v>
      </c>
      <c r="AT68" s="27">
        <f>G68/(100-AU68)*100</f>
        <v>0</v>
      </c>
      <c r="AU68" s="27">
        <v>0</v>
      </c>
      <c r="AV68" s="27">
        <f>L68</f>
        <v>0</v>
      </c>
    </row>
    <row r="69" spans="2:13" ht="12">
      <c r="B69" s="54"/>
      <c r="C69" s="54"/>
      <c r="D69" s="66" t="s">
        <v>304</v>
      </c>
      <c r="E69" s="54"/>
      <c r="F69" s="54"/>
      <c r="G69" s="54"/>
      <c r="H69" s="54"/>
      <c r="I69" s="54"/>
      <c r="J69" s="54"/>
      <c r="K69" s="54"/>
      <c r="L69" s="54"/>
      <c r="M69" s="54"/>
    </row>
    <row r="70" spans="1:37" ht="12.75">
      <c r="A70" s="5"/>
      <c r="B70" s="55"/>
      <c r="C70" s="55" t="s">
        <v>24</v>
      </c>
      <c r="D70" s="72" t="s">
        <v>305</v>
      </c>
      <c r="E70" s="73"/>
      <c r="F70" s="73"/>
      <c r="G70" s="73"/>
      <c r="H70" s="56">
        <f>SUM(H71:H71)</f>
        <v>0</v>
      </c>
      <c r="I70" s="56">
        <f>SUM(I71:I71)</f>
        <v>0</v>
      </c>
      <c r="J70" s="56">
        <f>H70+I70</f>
        <v>0</v>
      </c>
      <c r="K70" s="57"/>
      <c r="L70" s="56">
        <f>SUM(L71:L71)</f>
        <v>0</v>
      </c>
      <c r="M70" s="57"/>
      <c r="Y70" s="20"/>
      <c r="AI70" s="29">
        <f>SUM(Z71:Z71)</f>
        <v>0</v>
      </c>
      <c r="AJ70" s="29">
        <f>SUM(AA71:AA71)</f>
        <v>0</v>
      </c>
      <c r="AK70" s="29">
        <f>SUM(AB71:AB71)</f>
        <v>0</v>
      </c>
    </row>
    <row r="71" spans="1:48" ht="12.75">
      <c r="A71" s="4" t="s">
        <v>32</v>
      </c>
      <c r="B71" s="51"/>
      <c r="C71" s="51" t="s">
        <v>151</v>
      </c>
      <c r="D71" s="51" t="s">
        <v>306</v>
      </c>
      <c r="E71" s="51" t="s">
        <v>451</v>
      </c>
      <c r="F71" s="52">
        <v>426</v>
      </c>
      <c r="G71" s="52"/>
      <c r="H71" s="52">
        <f>F71*AE71</f>
        <v>0</v>
      </c>
      <c r="I71" s="52">
        <f>J71-H71</f>
        <v>0</v>
      </c>
      <c r="J71" s="52">
        <f>F71*G71</f>
        <v>0</v>
      </c>
      <c r="K71" s="52">
        <v>0</v>
      </c>
      <c r="L71" s="52">
        <f>F71*K71</f>
        <v>0</v>
      </c>
      <c r="M71" s="53" t="s">
        <v>469</v>
      </c>
      <c r="P71" s="27">
        <f>IF(AG71="5",J71,0)</f>
        <v>0</v>
      </c>
      <c r="R71" s="27">
        <f>IF(AG71="1",H71,0)</f>
        <v>0</v>
      </c>
      <c r="S71" s="27">
        <f>IF(AG71="1",I71,0)</f>
        <v>0</v>
      </c>
      <c r="T71" s="27">
        <f>IF(AG71="7",H71,0)</f>
        <v>0</v>
      </c>
      <c r="U71" s="27">
        <f>IF(AG71="7",I71,0)</f>
        <v>0</v>
      </c>
      <c r="V71" s="27">
        <f>IF(AG71="2",H71,0)</f>
        <v>0</v>
      </c>
      <c r="W71" s="27">
        <f>IF(AG71="2",I71,0)</f>
        <v>0</v>
      </c>
      <c r="X71" s="27">
        <f>IF(AG71="0",J71,0)</f>
        <v>0</v>
      </c>
      <c r="Y71" s="20"/>
      <c r="Z71" s="13">
        <f>IF(AD71=0,J71,0)</f>
        <v>0</v>
      </c>
      <c r="AA71" s="13">
        <f>IF(AD71=15,J71,0)</f>
        <v>0</v>
      </c>
      <c r="AB71" s="13">
        <f>IF(AD71=21,J71,0)</f>
        <v>0</v>
      </c>
      <c r="AD71" s="27">
        <v>15</v>
      </c>
      <c r="AE71" s="27">
        <f>G71*0</f>
        <v>0</v>
      </c>
      <c r="AF71" s="27">
        <f>G71*(1-0)</f>
        <v>0</v>
      </c>
      <c r="AG71" s="23" t="s">
        <v>6</v>
      </c>
      <c r="AM71" s="27">
        <f>F71*AE71</f>
        <v>0</v>
      </c>
      <c r="AN71" s="27">
        <f>F71*AF71</f>
        <v>0</v>
      </c>
      <c r="AO71" s="28" t="s">
        <v>487</v>
      </c>
      <c r="AP71" s="28" t="s">
        <v>517</v>
      </c>
      <c r="AQ71" s="20" t="s">
        <v>530</v>
      </c>
      <c r="AS71" s="27">
        <f>AM71+AN71</f>
        <v>0</v>
      </c>
      <c r="AT71" s="27">
        <f>G71/(100-AU71)*100</f>
        <v>0</v>
      </c>
      <c r="AU71" s="27">
        <v>0</v>
      </c>
      <c r="AV71" s="27">
        <f>L71</f>
        <v>0</v>
      </c>
    </row>
    <row r="72" spans="2:13" ht="12">
      <c r="B72" s="54"/>
      <c r="C72" s="54"/>
      <c r="D72" s="66" t="s">
        <v>307</v>
      </c>
      <c r="E72" s="54"/>
      <c r="F72" s="54"/>
      <c r="G72" s="54"/>
      <c r="H72" s="54"/>
      <c r="I72" s="54"/>
      <c r="J72" s="54"/>
      <c r="K72" s="54"/>
      <c r="L72" s="54"/>
      <c r="M72" s="54"/>
    </row>
    <row r="73" spans="1:37" ht="12.75">
      <c r="A73" s="5"/>
      <c r="B73" s="55"/>
      <c r="C73" s="55" t="s">
        <v>26</v>
      </c>
      <c r="D73" s="72" t="s">
        <v>308</v>
      </c>
      <c r="E73" s="73"/>
      <c r="F73" s="73"/>
      <c r="G73" s="73"/>
      <c r="H73" s="56">
        <f>SUM(H74:H82)</f>
        <v>0</v>
      </c>
      <c r="I73" s="56">
        <f>SUM(I74:I82)</f>
        <v>0</v>
      </c>
      <c r="J73" s="56">
        <f>H73+I73</f>
        <v>0</v>
      </c>
      <c r="K73" s="57"/>
      <c r="L73" s="56">
        <f>SUM(L74:L82)</f>
        <v>279.24739</v>
      </c>
      <c r="M73" s="57"/>
      <c r="Y73" s="20"/>
      <c r="AI73" s="29">
        <f>SUM(Z74:Z82)</f>
        <v>0</v>
      </c>
      <c r="AJ73" s="29">
        <f>SUM(AA74:AA82)</f>
        <v>0</v>
      </c>
      <c r="AK73" s="29">
        <f>SUM(AB74:AB82)</f>
        <v>0</v>
      </c>
    </row>
    <row r="74" spans="1:48" ht="12.75">
      <c r="A74" s="4" t="s">
        <v>33</v>
      </c>
      <c r="B74" s="51"/>
      <c r="C74" s="71" t="s">
        <v>152</v>
      </c>
      <c r="D74" s="51" t="s">
        <v>604</v>
      </c>
      <c r="E74" s="51" t="s">
        <v>451</v>
      </c>
      <c r="F74" s="52">
        <v>63</v>
      </c>
      <c r="G74" s="52"/>
      <c r="H74" s="52">
        <f>F74*AE74</f>
        <v>0</v>
      </c>
      <c r="I74" s="52">
        <f>J74-H74</f>
        <v>0</v>
      </c>
      <c r="J74" s="52">
        <f>F74*G74</f>
        <v>0</v>
      </c>
      <c r="K74" s="52">
        <v>2.525</v>
      </c>
      <c r="L74" s="52">
        <f>F74*K74</f>
        <v>159.075</v>
      </c>
      <c r="M74" s="53" t="s">
        <v>469</v>
      </c>
      <c r="P74" s="27">
        <f>IF(AG74="5",J74,0)</f>
        <v>0</v>
      </c>
      <c r="R74" s="27">
        <f>IF(AG74="1",H74,0)</f>
        <v>0</v>
      </c>
      <c r="S74" s="27">
        <f>IF(AG74="1",I74,0)</f>
        <v>0</v>
      </c>
      <c r="T74" s="27">
        <f>IF(AG74="7",H74,0)</f>
        <v>0</v>
      </c>
      <c r="U74" s="27">
        <f>IF(AG74="7",I74,0)</f>
        <v>0</v>
      </c>
      <c r="V74" s="27">
        <f>IF(AG74="2",H74,0)</f>
        <v>0</v>
      </c>
      <c r="W74" s="27">
        <f>IF(AG74="2",I74,0)</f>
        <v>0</v>
      </c>
      <c r="X74" s="27">
        <f>IF(AG74="0",J74,0)</f>
        <v>0</v>
      </c>
      <c r="Y74" s="20"/>
      <c r="Z74" s="13">
        <f>IF(AD74=0,J74,0)</f>
        <v>0</v>
      </c>
      <c r="AA74" s="13">
        <f>IF(AD74=15,J74,0)</f>
        <v>0</v>
      </c>
      <c r="AB74" s="13">
        <f>IF(AD74=21,J74,0)</f>
        <v>0</v>
      </c>
      <c r="AD74" s="27">
        <v>15</v>
      </c>
      <c r="AE74" s="27">
        <f>G74*0</f>
        <v>0</v>
      </c>
      <c r="AF74" s="27">
        <f>G74*(1-0)</f>
        <v>0</v>
      </c>
      <c r="AG74" s="23" t="s">
        <v>6</v>
      </c>
      <c r="AM74" s="27">
        <f>F74*AE74</f>
        <v>0</v>
      </c>
      <c r="AN74" s="27">
        <f>F74*AF74</f>
        <v>0</v>
      </c>
      <c r="AO74" s="28" t="s">
        <v>488</v>
      </c>
      <c r="AP74" s="28" t="s">
        <v>518</v>
      </c>
      <c r="AQ74" s="20" t="s">
        <v>530</v>
      </c>
      <c r="AS74" s="27">
        <f>AM74+AN74</f>
        <v>0</v>
      </c>
      <c r="AT74" s="27">
        <f>G74/(100-AU74)*100</f>
        <v>0</v>
      </c>
      <c r="AU74" s="27">
        <v>0</v>
      </c>
      <c r="AV74" s="27">
        <f>L74</f>
        <v>159.075</v>
      </c>
    </row>
    <row r="75" spans="2:13" ht="12">
      <c r="B75" s="54"/>
      <c r="C75" s="54"/>
      <c r="D75" s="66" t="s">
        <v>309</v>
      </c>
      <c r="E75" s="54"/>
      <c r="F75" s="54"/>
      <c r="G75" s="54"/>
      <c r="H75" s="54"/>
      <c r="I75" s="54"/>
      <c r="J75" s="54"/>
      <c r="K75" s="54"/>
      <c r="L75" s="54"/>
      <c r="M75" s="54"/>
    </row>
    <row r="76" spans="1:48" ht="12.75">
      <c r="A76" s="4" t="s">
        <v>34</v>
      </c>
      <c r="B76" s="51"/>
      <c r="C76" s="51" t="s">
        <v>153</v>
      </c>
      <c r="D76" s="51" t="s">
        <v>310</v>
      </c>
      <c r="E76" s="51" t="s">
        <v>449</v>
      </c>
      <c r="F76" s="52">
        <v>184</v>
      </c>
      <c r="G76" s="52"/>
      <c r="H76" s="52">
        <f>F76*AE76</f>
        <v>0</v>
      </c>
      <c r="I76" s="52">
        <f>J76-H76</f>
        <v>0</v>
      </c>
      <c r="J76" s="52">
        <f>F76*G76</f>
        <v>0</v>
      </c>
      <c r="K76" s="52">
        <v>0.01236</v>
      </c>
      <c r="L76" s="52">
        <f>F76*K76</f>
        <v>2.27424</v>
      </c>
      <c r="M76" s="53" t="s">
        <v>469</v>
      </c>
      <c r="P76" s="27">
        <f>IF(AG76="5",J76,0)</f>
        <v>0</v>
      </c>
      <c r="R76" s="27">
        <f>IF(AG76="1",H76,0)</f>
        <v>0</v>
      </c>
      <c r="S76" s="27">
        <f>IF(AG76="1",I76,0)</f>
        <v>0</v>
      </c>
      <c r="T76" s="27">
        <f>IF(AG76="7",H76,0)</f>
        <v>0</v>
      </c>
      <c r="U76" s="27">
        <f>IF(AG76="7",I76,0)</f>
        <v>0</v>
      </c>
      <c r="V76" s="27">
        <f>IF(AG76="2",H76,0)</f>
        <v>0</v>
      </c>
      <c r="W76" s="27">
        <f>IF(AG76="2",I76,0)</f>
        <v>0</v>
      </c>
      <c r="X76" s="27">
        <f>IF(AG76="0",J76,0)</f>
        <v>0</v>
      </c>
      <c r="Y76" s="20"/>
      <c r="Z76" s="13">
        <f>IF(AD76=0,J76,0)</f>
        <v>0</v>
      </c>
      <c r="AA76" s="13">
        <f>IF(AD76=15,J76,0)</f>
        <v>0</v>
      </c>
      <c r="AB76" s="13">
        <f>IF(AD76=21,J76,0)</f>
        <v>0</v>
      </c>
      <c r="AD76" s="27">
        <v>15</v>
      </c>
      <c r="AE76" s="27">
        <f>G76*0.801402805611222</f>
        <v>0</v>
      </c>
      <c r="AF76" s="27">
        <f>G76*(1-0.801402805611222)</f>
        <v>0</v>
      </c>
      <c r="AG76" s="23" t="s">
        <v>6</v>
      </c>
      <c r="AM76" s="27">
        <f>F76*AE76</f>
        <v>0</v>
      </c>
      <c r="AN76" s="27">
        <f>F76*AF76</f>
        <v>0</v>
      </c>
      <c r="AO76" s="28" t="s">
        <v>488</v>
      </c>
      <c r="AP76" s="28" t="s">
        <v>518</v>
      </c>
      <c r="AQ76" s="20" t="s">
        <v>530</v>
      </c>
      <c r="AS76" s="27">
        <f>AM76+AN76</f>
        <v>0</v>
      </c>
      <c r="AT76" s="27">
        <f>G76/(100-AU76)*100</f>
        <v>0</v>
      </c>
      <c r="AU76" s="27">
        <v>0</v>
      </c>
      <c r="AV76" s="27">
        <f>L76</f>
        <v>2.27424</v>
      </c>
    </row>
    <row r="77" spans="2:13" ht="12">
      <c r="B77" s="54"/>
      <c r="C77" s="54"/>
      <c r="D77" s="66" t="s">
        <v>311</v>
      </c>
      <c r="E77" s="54"/>
      <c r="F77" s="54"/>
      <c r="G77" s="54"/>
      <c r="H77" s="54"/>
      <c r="I77" s="54"/>
      <c r="J77" s="54"/>
      <c r="K77" s="54"/>
      <c r="L77" s="54"/>
      <c r="M77" s="54"/>
    </row>
    <row r="78" spans="1:48" ht="12.75">
      <c r="A78" s="4" t="s">
        <v>35</v>
      </c>
      <c r="B78" s="51"/>
      <c r="C78" s="51" t="s">
        <v>154</v>
      </c>
      <c r="D78" s="51" t="s">
        <v>312</v>
      </c>
      <c r="E78" s="51" t="s">
        <v>451</v>
      </c>
      <c r="F78" s="52">
        <v>48.75</v>
      </c>
      <c r="G78" s="52"/>
      <c r="H78" s="52">
        <f>F78*AE78</f>
        <v>0</v>
      </c>
      <c r="I78" s="52">
        <f>J78-H78</f>
        <v>0</v>
      </c>
      <c r="J78" s="52">
        <f>F78*G78</f>
        <v>0</v>
      </c>
      <c r="K78" s="52">
        <v>1.665</v>
      </c>
      <c r="L78" s="52">
        <f>F78*K78</f>
        <v>81.16875</v>
      </c>
      <c r="M78" s="53" t="s">
        <v>469</v>
      </c>
      <c r="P78" s="27">
        <f>IF(AG78="5",J78,0)</f>
        <v>0</v>
      </c>
      <c r="R78" s="27">
        <f>IF(AG78="1",H78,0)</f>
        <v>0</v>
      </c>
      <c r="S78" s="27">
        <f>IF(AG78="1",I78,0)</f>
        <v>0</v>
      </c>
      <c r="T78" s="27">
        <f>IF(AG78="7",H78,0)</f>
        <v>0</v>
      </c>
      <c r="U78" s="27">
        <f>IF(AG78="7",I78,0)</f>
        <v>0</v>
      </c>
      <c r="V78" s="27">
        <f>IF(AG78="2",H78,0)</f>
        <v>0</v>
      </c>
      <c r="W78" s="27">
        <f>IF(AG78="2",I78,0)</f>
        <v>0</v>
      </c>
      <c r="X78" s="27">
        <f>IF(AG78="0",J78,0)</f>
        <v>0</v>
      </c>
      <c r="Y78" s="20"/>
      <c r="Z78" s="13">
        <f>IF(AD78=0,J78,0)</f>
        <v>0</v>
      </c>
      <c r="AA78" s="13">
        <f>IF(AD78=15,J78,0)</f>
        <v>0</v>
      </c>
      <c r="AB78" s="13">
        <f>IF(AD78=21,J78,0)</f>
        <v>0</v>
      </c>
      <c r="AD78" s="27">
        <v>15</v>
      </c>
      <c r="AE78" s="27">
        <f>G78*0.752874762808349</f>
        <v>0</v>
      </c>
      <c r="AF78" s="27">
        <f>G78*(1-0.752874762808349)</f>
        <v>0</v>
      </c>
      <c r="AG78" s="23" t="s">
        <v>6</v>
      </c>
      <c r="AM78" s="27">
        <f>F78*AE78</f>
        <v>0</v>
      </c>
      <c r="AN78" s="27">
        <f>F78*AF78</f>
        <v>0</v>
      </c>
      <c r="AO78" s="28" t="s">
        <v>488</v>
      </c>
      <c r="AP78" s="28" t="s">
        <v>518</v>
      </c>
      <c r="AQ78" s="20" t="s">
        <v>530</v>
      </c>
      <c r="AS78" s="27">
        <f>AM78+AN78</f>
        <v>0</v>
      </c>
      <c r="AT78" s="27">
        <f>G78/(100-AU78)*100</f>
        <v>0</v>
      </c>
      <c r="AU78" s="27">
        <v>0</v>
      </c>
      <c r="AV78" s="27">
        <f>L78</f>
        <v>81.16875</v>
      </c>
    </row>
    <row r="79" spans="2:13" ht="12">
      <c r="B79" s="54"/>
      <c r="C79" s="54"/>
      <c r="D79" s="66" t="s">
        <v>313</v>
      </c>
      <c r="E79" s="54"/>
      <c r="F79" s="54"/>
      <c r="G79" s="54"/>
      <c r="H79" s="54"/>
      <c r="I79" s="54"/>
      <c r="J79" s="54"/>
      <c r="K79" s="54"/>
      <c r="L79" s="54"/>
      <c r="M79" s="54"/>
    </row>
    <row r="80" spans="1:48" ht="12.75">
      <c r="A80" s="4" t="s">
        <v>36</v>
      </c>
      <c r="B80" s="51"/>
      <c r="C80" s="51" t="s">
        <v>155</v>
      </c>
      <c r="D80" s="51" t="s">
        <v>314</v>
      </c>
      <c r="E80" s="51" t="s">
        <v>448</v>
      </c>
      <c r="F80" s="52">
        <v>334</v>
      </c>
      <c r="G80" s="52"/>
      <c r="H80" s="52">
        <f>F80*AE80</f>
        <v>0</v>
      </c>
      <c r="I80" s="52">
        <f>J80-H80</f>
        <v>0</v>
      </c>
      <c r="J80" s="52">
        <f>F80*G80</f>
        <v>0</v>
      </c>
      <c r="K80" s="52">
        <v>0.00035</v>
      </c>
      <c r="L80" s="52">
        <f>F80*K80</f>
        <v>0.1169</v>
      </c>
      <c r="M80" s="53" t="s">
        <v>469</v>
      </c>
      <c r="P80" s="27">
        <f>IF(AG80="5",J80,0)</f>
        <v>0</v>
      </c>
      <c r="R80" s="27">
        <f>IF(AG80="1",H80,0)</f>
        <v>0</v>
      </c>
      <c r="S80" s="27">
        <f>IF(AG80="1",I80,0)</f>
        <v>0</v>
      </c>
      <c r="T80" s="27">
        <f>IF(AG80="7",H80,0)</f>
        <v>0</v>
      </c>
      <c r="U80" s="27">
        <f>IF(AG80="7",I80,0)</f>
        <v>0</v>
      </c>
      <c r="V80" s="27">
        <f>IF(AG80="2",H80,0)</f>
        <v>0</v>
      </c>
      <c r="W80" s="27">
        <f>IF(AG80="2",I80,0)</f>
        <v>0</v>
      </c>
      <c r="X80" s="27">
        <f>IF(AG80="0",J80,0)</f>
        <v>0</v>
      </c>
      <c r="Y80" s="20"/>
      <c r="Z80" s="13">
        <f>IF(AD80=0,J80,0)</f>
        <v>0</v>
      </c>
      <c r="AA80" s="13">
        <f>IF(AD80=15,J80,0)</f>
        <v>0</v>
      </c>
      <c r="AB80" s="13">
        <f>IF(AD80=21,J80,0)</f>
        <v>0</v>
      </c>
      <c r="AD80" s="27">
        <v>15</v>
      </c>
      <c r="AE80" s="27">
        <f>G80*0.187106017191977</f>
        <v>0</v>
      </c>
      <c r="AF80" s="27">
        <f>G80*(1-0.187106017191977)</f>
        <v>0</v>
      </c>
      <c r="AG80" s="23" t="s">
        <v>6</v>
      </c>
      <c r="AM80" s="27">
        <f>F80*AE80</f>
        <v>0</v>
      </c>
      <c r="AN80" s="27">
        <f>F80*AF80</f>
        <v>0</v>
      </c>
      <c r="AO80" s="28" t="s">
        <v>488</v>
      </c>
      <c r="AP80" s="28" t="s">
        <v>518</v>
      </c>
      <c r="AQ80" s="20" t="s">
        <v>530</v>
      </c>
      <c r="AS80" s="27">
        <f>AM80+AN80</f>
        <v>0</v>
      </c>
      <c r="AT80" s="27">
        <f>G80/(100-AU80)*100</f>
        <v>0</v>
      </c>
      <c r="AU80" s="27">
        <v>0</v>
      </c>
      <c r="AV80" s="27">
        <f>L80</f>
        <v>0.1169</v>
      </c>
    </row>
    <row r="81" spans="2:13" ht="12">
      <c r="B81" s="54"/>
      <c r="C81" s="54"/>
      <c r="D81" s="66" t="s">
        <v>315</v>
      </c>
      <c r="E81" s="54"/>
      <c r="F81" s="54"/>
      <c r="G81" s="54"/>
      <c r="H81" s="54"/>
      <c r="I81" s="54"/>
      <c r="J81" s="54"/>
      <c r="K81" s="54"/>
      <c r="L81" s="54"/>
      <c r="M81" s="54"/>
    </row>
    <row r="82" spans="1:48" ht="12.75">
      <c r="A82" s="4" t="s">
        <v>37</v>
      </c>
      <c r="B82" s="51"/>
      <c r="C82" s="51" t="s">
        <v>152</v>
      </c>
      <c r="D82" s="51" t="s">
        <v>316</v>
      </c>
      <c r="E82" s="51" t="s">
        <v>451</v>
      </c>
      <c r="F82" s="52">
        <v>14.5</v>
      </c>
      <c r="G82" s="52"/>
      <c r="H82" s="52">
        <f>F82*AE82</f>
        <v>0</v>
      </c>
      <c r="I82" s="52">
        <f>J82-H82</f>
        <v>0</v>
      </c>
      <c r="J82" s="52">
        <f>F82*G82</f>
        <v>0</v>
      </c>
      <c r="K82" s="52">
        <v>2.525</v>
      </c>
      <c r="L82" s="52">
        <f>F82*K82</f>
        <v>36.6125</v>
      </c>
      <c r="M82" s="53" t="s">
        <v>469</v>
      </c>
      <c r="P82" s="27">
        <f>IF(AG82="5",J82,0)</f>
        <v>0</v>
      </c>
      <c r="R82" s="27">
        <f>IF(AG82="1",H82,0)</f>
        <v>0</v>
      </c>
      <c r="S82" s="27">
        <f>IF(AG82="1",I82,0)</f>
        <v>0</v>
      </c>
      <c r="T82" s="27">
        <f>IF(AG82="7",H82,0)</f>
        <v>0</v>
      </c>
      <c r="U82" s="27">
        <f>IF(AG82="7",I82,0)</f>
        <v>0</v>
      </c>
      <c r="V82" s="27">
        <f>IF(AG82="2",H82,0)</f>
        <v>0</v>
      </c>
      <c r="W82" s="27">
        <f>IF(AG82="2",I82,0)</f>
        <v>0</v>
      </c>
      <c r="X82" s="27">
        <f>IF(AG82="0",J82,0)</f>
        <v>0</v>
      </c>
      <c r="Y82" s="20"/>
      <c r="Z82" s="13">
        <f>IF(AD82=0,J82,0)</f>
        <v>0</v>
      </c>
      <c r="AA82" s="13">
        <f>IF(AD82=15,J82,0)</f>
        <v>0</v>
      </c>
      <c r="AB82" s="13">
        <f>IF(AD82=21,J82,0)</f>
        <v>0</v>
      </c>
      <c r="AD82" s="27">
        <v>15</v>
      </c>
      <c r="AE82" s="27">
        <f>G82*0.772297872340425</f>
        <v>0</v>
      </c>
      <c r="AF82" s="27">
        <f>G82*(1-0.772297872340425)</f>
        <v>0</v>
      </c>
      <c r="AG82" s="23" t="s">
        <v>6</v>
      </c>
      <c r="AM82" s="27">
        <f>F82*AE82</f>
        <v>0</v>
      </c>
      <c r="AN82" s="27">
        <f>F82*AF82</f>
        <v>0</v>
      </c>
      <c r="AO82" s="28" t="s">
        <v>488</v>
      </c>
      <c r="AP82" s="28" t="s">
        <v>518</v>
      </c>
      <c r="AQ82" s="20" t="s">
        <v>530</v>
      </c>
      <c r="AS82" s="27">
        <f>AM82+AN82</f>
        <v>0</v>
      </c>
      <c r="AT82" s="27">
        <f>G82/(100-AU82)*100</f>
        <v>0</v>
      </c>
      <c r="AU82" s="27">
        <v>0</v>
      </c>
      <c r="AV82" s="27">
        <f>L82</f>
        <v>36.6125</v>
      </c>
    </row>
    <row r="83" spans="2:13" ht="12">
      <c r="B83" s="54"/>
      <c r="C83" s="54"/>
      <c r="D83" s="66" t="s">
        <v>317</v>
      </c>
      <c r="E83" s="54"/>
      <c r="F83" s="54"/>
      <c r="G83" s="54"/>
      <c r="H83" s="54"/>
      <c r="I83" s="54"/>
      <c r="J83" s="54"/>
      <c r="K83" s="54"/>
      <c r="L83" s="54"/>
      <c r="M83" s="54"/>
    </row>
    <row r="84" spans="1:37" ht="12.75">
      <c r="A84" s="5"/>
      <c r="B84" s="55"/>
      <c r="C84" s="55" t="s">
        <v>36</v>
      </c>
      <c r="D84" s="72" t="s">
        <v>318</v>
      </c>
      <c r="E84" s="73"/>
      <c r="F84" s="73"/>
      <c r="G84" s="73"/>
      <c r="H84" s="56">
        <f>SUM(H85:H85)</f>
        <v>0</v>
      </c>
      <c r="I84" s="56">
        <f>SUM(I85:I85)</f>
        <v>0</v>
      </c>
      <c r="J84" s="56">
        <f>H84+I84</f>
        <v>0</v>
      </c>
      <c r="K84" s="57"/>
      <c r="L84" s="56">
        <f>SUM(L85:L85)</f>
        <v>6.23702</v>
      </c>
      <c r="M84" s="57"/>
      <c r="Y84" s="20"/>
      <c r="AI84" s="29">
        <f>SUM(Z85:Z85)</f>
        <v>0</v>
      </c>
      <c r="AJ84" s="29">
        <f>SUM(AA85:AA85)</f>
        <v>0</v>
      </c>
      <c r="AK84" s="29">
        <f>SUM(AB85:AB85)</f>
        <v>0</v>
      </c>
    </row>
    <row r="85" spans="1:48" ht="12.75">
      <c r="A85" s="4" t="s">
        <v>38</v>
      </c>
      <c r="B85" s="51"/>
      <c r="C85" s="51" t="s">
        <v>156</v>
      </c>
      <c r="D85" s="51" t="s">
        <v>319</v>
      </c>
      <c r="E85" s="51" t="s">
        <v>448</v>
      </c>
      <c r="F85" s="52">
        <v>394</v>
      </c>
      <c r="G85" s="52"/>
      <c r="H85" s="52">
        <f>F85*AE85</f>
        <v>0</v>
      </c>
      <c r="I85" s="52">
        <f>J85-H85</f>
        <v>0</v>
      </c>
      <c r="J85" s="52">
        <f>F85*G85</f>
        <v>0</v>
      </c>
      <c r="K85" s="52">
        <v>0.01583</v>
      </c>
      <c r="L85" s="52">
        <f>F85*K85</f>
        <v>6.23702</v>
      </c>
      <c r="M85" s="53" t="s">
        <v>469</v>
      </c>
      <c r="P85" s="27">
        <f>IF(AG85="5",J85,0)</f>
        <v>0</v>
      </c>
      <c r="R85" s="27">
        <f>IF(AG85="1",H85,0)</f>
        <v>0</v>
      </c>
      <c r="S85" s="27">
        <f>IF(AG85="1",I85,0)</f>
        <v>0</v>
      </c>
      <c r="T85" s="27">
        <f>IF(AG85="7",H85,0)</f>
        <v>0</v>
      </c>
      <c r="U85" s="27">
        <f>IF(AG85="7",I85,0)</f>
        <v>0</v>
      </c>
      <c r="V85" s="27">
        <f>IF(AG85="2",H85,0)</f>
        <v>0</v>
      </c>
      <c r="W85" s="27">
        <f>IF(AG85="2",I85,0)</f>
        <v>0</v>
      </c>
      <c r="X85" s="27">
        <f>IF(AG85="0",J85,0)</f>
        <v>0</v>
      </c>
      <c r="Y85" s="20"/>
      <c r="Z85" s="13">
        <f>IF(AD85=0,J85,0)</f>
        <v>0</v>
      </c>
      <c r="AA85" s="13">
        <f>IF(AD85=15,J85,0)</f>
        <v>0</v>
      </c>
      <c r="AB85" s="13">
        <f>IF(AD85=21,J85,0)</f>
        <v>0</v>
      </c>
      <c r="AD85" s="27">
        <v>15</v>
      </c>
      <c r="AE85" s="27">
        <f>G85*0.2579375</f>
        <v>0</v>
      </c>
      <c r="AF85" s="27">
        <f>G85*(1-0.2579375)</f>
        <v>0</v>
      </c>
      <c r="AG85" s="23" t="s">
        <v>6</v>
      </c>
      <c r="AM85" s="27">
        <f>F85*AE85</f>
        <v>0</v>
      </c>
      <c r="AN85" s="27">
        <f>F85*AF85</f>
        <v>0</v>
      </c>
      <c r="AO85" s="28" t="s">
        <v>489</v>
      </c>
      <c r="AP85" s="28" t="s">
        <v>519</v>
      </c>
      <c r="AQ85" s="20" t="s">
        <v>530</v>
      </c>
      <c r="AS85" s="27">
        <f>AM85+AN85</f>
        <v>0</v>
      </c>
      <c r="AT85" s="27">
        <f>G85/(100-AU85)*100</f>
        <v>0</v>
      </c>
      <c r="AU85" s="27">
        <v>0</v>
      </c>
      <c r="AV85" s="27">
        <f>L85</f>
        <v>6.23702</v>
      </c>
    </row>
    <row r="86" spans="2:13" ht="12">
      <c r="B86" s="54"/>
      <c r="C86" s="54"/>
      <c r="D86" s="66" t="s">
        <v>320</v>
      </c>
      <c r="E86" s="54"/>
      <c r="F86" s="54"/>
      <c r="G86" s="54"/>
      <c r="H86" s="54"/>
      <c r="I86" s="54"/>
      <c r="J86" s="54"/>
      <c r="K86" s="54"/>
      <c r="L86" s="54"/>
      <c r="M86" s="54"/>
    </row>
    <row r="87" spans="1:37" ht="12.75">
      <c r="A87" s="5"/>
      <c r="B87" s="55"/>
      <c r="C87" s="55" t="s">
        <v>48</v>
      </c>
      <c r="D87" s="72" t="s">
        <v>321</v>
      </c>
      <c r="E87" s="73"/>
      <c r="F87" s="73"/>
      <c r="G87" s="73"/>
      <c r="H87" s="56">
        <f>SUM(H88:H88)</f>
        <v>0</v>
      </c>
      <c r="I87" s="56">
        <f>SUM(I88:I88)</f>
        <v>0</v>
      </c>
      <c r="J87" s="56">
        <f>H87+I87</f>
        <v>0</v>
      </c>
      <c r="K87" s="57"/>
      <c r="L87" s="56">
        <f>SUM(L88:L88)</f>
        <v>0.27688</v>
      </c>
      <c r="M87" s="57"/>
      <c r="Y87" s="20"/>
      <c r="AI87" s="29">
        <f>SUM(Z88:Z88)</f>
        <v>0</v>
      </c>
      <c r="AJ87" s="29">
        <f>SUM(AA88:AA88)</f>
        <v>0</v>
      </c>
      <c r="AK87" s="29">
        <f>SUM(AB88:AB88)</f>
        <v>0</v>
      </c>
    </row>
    <row r="88" spans="1:48" ht="12.75">
      <c r="A88" s="4" t="s">
        <v>39</v>
      </c>
      <c r="B88" s="51"/>
      <c r="C88" s="51" t="s">
        <v>157</v>
      </c>
      <c r="D88" s="51" t="s">
        <v>322</v>
      </c>
      <c r="E88" s="51" t="s">
        <v>449</v>
      </c>
      <c r="F88" s="52">
        <v>8</v>
      </c>
      <c r="G88" s="52"/>
      <c r="H88" s="52">
        <f>F88*AE88</f>
        <v>0</v>
      </c>
      <c r="I88" s="52">
        <f>J88-H88</f>
        <v>0</v>
      </c>
      <c r="J88" s="52">
        <f>F88*G88</f>
        <v>0</v>
      </c>
      <c r="K88" s="52">
        <v>0.03461</v>
      </c>
      <c r="L88" s="52">
        <f>F88*K88</f>
        <v>0.27688</v>
      </c>
      <c r="M88" s="53" t="s">
        <v>469</v>
      </c>
      <c r="P88" s="27">
        <f>IF(AG88="5",J88,0)</f>
        <v>0</v>
      </c>
      <c r="R88" s="27">
        <f>IF(AG88="1",H88,0)</f>
        <v>0</v>
      </c>
      <c r="S88" s="27">
        <f>IF(AG88="1",I88,0)</f>
        <v>0</v>
      </c>
      <c r="T88" s="27">
        <f>IF(AG88="7",H88,0)</f>
        <v>0</v>
      </c>
      <c r="U88" s="27">
        <f>IF(AG88="7",I88,0)</f>
        <v>0</v>
      </c>
      <c r="V88" s="27">
        <f>IF(AG88="2",H88,0)</f>
        <v>0</v>
      </c>
      <c r="W88" s="27">
        <f>IF(AG88="2",I88,0)</f>
        <v>0</v>
      </c>
      <c r="X88" s="27">
        <f>IF(AG88="0",J88,0)</f>
        <v>0</v>
      </c>
      <c r="Y88" s="20"/>
      <c r="Z88" s="13">
        <f>IF(AD88=0,J88,0)</f>
        <v>0</v>
      </c>
      <c r="AA88" s="13">
        <f>IF(AD88=15,J88,0)</f>
        <v>0</v>
      </c>
      <c r="AB88" s="13">
        <f>IF(AD88=21,J88,0)</f>
        <v>0</v>
      </c>
      <c r="AD88" s="27">
        <v>15</v>
      </c>
      <c r="AE88" s="27">
        <f>G88*0.184288224956063</f>
        <v>0</v>
      </c>
      <c r="AF88" s="27">
        <f>G88*(1-0.184288224956063)</f>
        <v>0</v>
      </c>
      <c r="AG88" s="23" t="s">
        <v>6</v>
      </c>
      <c r="AM88" s="27">
        <f>F88*AE88</f>
        <v>0</v>
      </c>
      <c r="AN88" s="27">
        <f>F88*AF88</f>
        <v>0</v>
      </c>
      <c r="AO88" s="28" t="s">
        <v>490</v>
      </c>
      <c r="AP88" s="28" t="s">
        <v>520</v>
      </c>
      <c r="AQ88" s="20" t="s">
        <v>530</v>
      </c>
      <c r="AS88" s="27">
        <f>AM88+AN88</f>
        <v>0</v>
      </c>
      <c r="AT88" s="27">
        <f>G88/(100-AU88)*100</f>
        <v>0</v>
      </c>
      <c r="AU88" s="27">
        <v>0</v>
      </c>
      <c r="AV88" s="27">
        <f>L88</f>
        <v>0.27688</v>
      </c>
    </row>
    <row r="89" spans="2:13" ht="12">
      <c r="B89" s="54"/>
      <c r="C89" s="54"/>
      <c r="D89" s="66" t="s">
        <v>323</v>
      </c>
      <c r="E89" s="54"/>
      <c r="F89" s="54"/>
      <c r="G89" s="54"/>
      <c r="H89" s="54"/>
      <c r="I89" s="54"/>
      <c r="J89" s="54"/>
      <c r="K89" s="54"/>
      <c r="L89" s="54"/>
      <c r="M89" s="54"/>
    </row>
    <row r="90" spans="1:37" ht="12.75">
      <c r="A90" s="5"/>
      <c r="B90" s="55"/>
      <c r="C90" s="55" t="s">
        <v>50</v>
      </c>
      <c r="D90" s="72" t="s">
        <v>324</v>
      </c>
      <c r="E90" s="73"/>
      <c r="F90" s="73"/>
      <c r="G90" s="73"/>
      <c r="H90" s="56">
        <f>SUM(H91:H91)</f>
        <v>0</v>
      </c>
      <c r="I90" s="56">
        <f>SUM(I91:I91)</f>
        <v>0</v>
      </c>
      <c r="J90" s="56">
        <f>H90+I90</f>
        <v>0</v>
      </c>
      <c r="K90" s="57"/>
      <c r="L90" s="56">
        <f>SUM(L91:L91)</f>
        <v>149.06830680000002</v>
      </c>
      <c r="M90" s="57"/>
      <c r="Y90" s="20"/>
      <c r="AI90" s="29">
        <f>SUM(Z91:Z91)</f>
        <v>0</v>
      </c>
      <c r="AJ90" s="29">
        <f>SUM(AA91:AA91)</f>
        <v>0</v>
      </c>
      <c r="AK90" s="29">
        <f>SUM(AB91:AB91)</f>
        <v>0</v>
      </c>
    </row>
    <row r="91" spans="1:48" ht="12.75">
      <c r="A91" s="4" t="s">
        <v>40</v>
      </c>
      <c r="B91" s="51"/>
      <c r="C91" s="51" t="s">
        <v>158</v>
      </c>
      <c r="D91" s="51" t="s">
        <v>325</v>
      </c>
      <c r="E91" s="51" t="s">
        <v>451</v>
      </c>
      <c r="F91" s="52">
        <v>78.84</v>
      </c>
      <c r="G91" s="52"/>
      <c r="H91" s="52">
        <f>F91*AE91</f>
        <v>0</v>
      </c>
      <c r="I91" s="52">
        <f>J91-H91</f>
        <v>0</v>
      </c>
      <c r="J91" s="52">
        <f>F91*G91</f>
        <v>0</v>
      </c>
      <c r="K91" s="52">
        <v>1.89077</v>
      </c>
      <c r="L91" s="52">
        <f>F91*K91</f>
        <v>149.06830680000002</v>
      </c>
      <c r="M91" s="53" t="s">
        <v>469</v>
      </c>
      <c r="P91" s="27">
        <f>IF(AG91="5",J91,0)</f>
        <v>0</v>
      </c>
      <c r="R91" s="27">
        <f>IF(AG91="1",H91,0)</f>
        <v>0</v>
      </c>
      <c r="S91" s="27">
        <f>IF(AG91="1",I91,0)</f>
        <v>0</v>
      </c>
      <c r="T91" s="27">
        <f>IF(AG91="7",H91,0)</f>
        <v>0</v>
      </c>
      <c r="U91" s="27">
        <f>IF(AG91="7",I91,0)</f>
        <v>0</v>
      </c>
      <c r="V91" s="27">
        <f>IF(AG91="2",H91,0)</f>
        <v>0</v>
      </c>
      <c r="W91" s="27">
        <f>IF(AG91="2",I91,0)</f>
        <v>0</v>
      </c>
      <c r="X91" s="27">
        <f>IF(AG91="0",J91,0)</f>
        <v>0</v>
      </c>
      <c r="Y91" s="20"/>
      <c r="Z91" s="13">
        <f>IF(AD91=0,J91,0)</f>
        <v>0</v>
      </c>
      <c r="AA91" s="13">
        <f>IF(AD91=15,J91,0)</f>
        <v>0</v>
      </c>
      <c r="AB91" s="13">
        <f>IF(AD91=21,J91,0)</f>
        <v>0</v>
      </c>
      <c r="AD91" s="27">
        <v>15</v>
      </c>
      <c r="AE91" s="27">
        <f>G91*0.570804162724692</f>
        <v>0</v>
      </c>
      <c r="AF91" s="27">
        <f>G91*(1-0.570804162724692)</f>
        <v>0</v>
      </c>
      <c r="AG91" s="23" t="s">
        <v>6</v>
      </c>
      <c r="AM91" s="27">
        <f>F91*AE91</f>
        <v>0</v>
      </c>
      <c r="AN91" s="27">
        <f>F91*AF91</f>
        <v>0</v>
      </c>
      <c r="AO91" s="28" t="s">
        <v>491</v>
      </c>
      <c r="AP91" s="28" t="s">
        <v>520</v>
      </c>
      <c r="AQ91" s="20" t="s">
        <v>530</v>
      </c>
      <c r="AS91" s="27">
        <f>AM91+AN91</f>
        <v>0</v>
      </c>
      <c r="AT91" s="27">
        <f>G91/(100-AU91)*100</f>
        <v>0</v>
      </c>
      <c r="AU91" s="27">
        <v>0</v>
      </c>
      <c r="AV91" s="27">
        <f>L91</f>
        <v>149.06830680000002</v>
      </c>
    </row>
    <row r="92" spans="2:13" ht="12">
      <c r="B92" s="54"/>
      <c r="C92" s="54"/>
      <c r="D92" s="66" t="s">
        <v>326</v>
      </c>
      <c r="E92" s="54"/>
      <c r="F92" s="54"/>
      <c r="G92" s="54"/>
      <c r="H92" s="54"/>
      <c r="I92" s="54"/>
      <c r="J92" s="54"/>
      <c r="K92" s="54"/>
      <c r="L92" s="54"/>
      <c r="M92" s="54"/>
    </row>
    <row r="93" spans="1:37" ht="12.75">
      <c r="A93" s="5"/>
      <c r="B93" s="55"/>
      <c r="C93" s="55" t="s">
        <v>61</v>
      </c>
      <c r="D93" s="72" t="s">
        <v>327</v>
      </c>
      <c r="E93" s="73"/>
      <c r="F93" s="73"/>
      <c r="G93" s="73"/>
      <c r="H93" s="56">
        <f>SUM(H94:H94)</f>
        <v>0</v>
      </c>
      <c r="I93" s="56">
        <f>SUM(I94:I94)</f>
        <v>0</v>
      </c>
      <c r="J93" s="56">
        <f>H93+I93</f>
        <v>0</v>
      </c>
      <c r="K93" s="57"/>
      <c r="L93" s="56">
        <f>SUM(L94:L94)</f>
        <v>73.96708</v>
      </c>
      <c r="M93" s="57"/>
      <c r="Y93" s="20"/>
      <c r="AI93" s="29">
        <f>SUM(Z94:Z94)</f>
        <v>0</v>
      </c>
      <c r="AJ93" s="29">
        <f>SUM(AA94:AA94)</f>
        <v>0</v>
      </c>
      <c r="AK93" s="29">
        <f>SUM(AB94:AB94)</f>
        <v>0</v>
      </c>
    </row>
    <row r="94" spans="1:48" ht="12.75">
      <c r="A94" s="4" t="s">
        <v>41</v>
      </c>
      <c r="B94" s="51"/>
      <c r="C94" s="51" t="s">
        <v>159</v>
      </c>
      <c r="D94" s="51" t="s">
        <v>328</v>
      </c>
      <c r="E94" s="51" t="s">
        <v>448</v>
      </c>
      <c r="F94" s="52">
        <v>365.45</v>
      </c>
      <c r="G94" s="52"/>
      <c r="H94" s="52">
        <f>F94*AE94</f>
        <v>0</v>
      </c>
      <c r="I94" s="52">
        <f>J94-H94</f>
        <v>0</v>
      </c>
      <c r="J94" s="52">
        <f>F94*G94</f>
        <v>0</v>
      </c>
      <c r="K94" s="52">
        <v>0.2024</v>
      </c>
      <c r="L94" s="52">
        <f>F94*K94</f>
        <v>73.96708</v>
      </c>
      <c r="M94" s="53" t="s">
        <v>469</v>
      </c>
      <c r="P94" s="27">
        <f>IF(AG94="5",J94,0)</f>
        <v>0</v>
      </c>
      <c r="R94" s="27">
        <f>IF(AG94="1",H94,0)</f>
        <v>0</v>
      </c>
      <c r="S94" s="27">
        <f>IF(AG94="1",I94,0)</f>
        <v>0</v>
      </c>
      <c r="T94" s="27">
        <f>IF(AG94="7",H94,0)</f>
        <v>0</v>
      </c>
      <c r="U94" s="27">
        <f>IF(AG94="7",I94,0)</f>
        <v>0</v>
      </c>
      <c r="V94" s="27">
        <f>IF(AG94="2",H94,0)</f>
        <v>0</v>
      </c>
      <c r="W94" s="27">
        <f>IF(AG94="2",I94,0)</f>
        <v>0</v>
      </c>
      <c r="X94" s="27">
        <f>IF(AG94="0",J94,0)</f>
        <v>0</v>
      </c>
      <c r="Y94" s="20"/>
      <c r="Z94" s="13">
        <f>IF(AD94=0,J94,0)</f>
        <v>0</v>
      </c>
      <c r="AA94" s="13">
        <f>IF(AD94=15,J94,0)</f>
        <v>0</v>
      </c>
      <c r="AB94" s="13">
        <f>IF(AD94=21,J94,0)</f>
        <v>0</v>
      </c>
      <c r="AD94" s="27">
        <v>15</v>
      </c>
      <c r="AE94" s="27">
        <f>G94*0.835211267605634</f>
        <v>0</v>
      </c>
      <c r="AF94" s="27">
        <f>G94*(1-0.835211267605634)</f>
        <v>0</v>
      </c>
      <c r="AG94" s="23" t="s">
        <v>6</v>
      </c>
      <c r="AM94" s="27">
        <f>F94*AE94</f>
        <v>0</v>
      </c>
      <c r="AN94" s="27">
        <f>F94*AF94</f>
        <v>0</v>
      </c>
      <c r="AO94" s="28" t="s">
        <v>492</v>
      </c>
      <c r="AP94" s="28" t="s">
        <v>521</v>
      </c>
      <c r="AQ94" s="20" t="s">
        <v>530</v>
      </c>
      <c r="AS94" s="27">
        <f>AM94+AN94</f>
        <v>0</v>
      </c>
      <c r="AT94" s="27">
        <f>G94/(100-AU94)*100</f>
        <v>0</v>
      </c>
      <c r="AU94" s="27">
        <v>0</v>
      </c>
      <c r="AV94" s="27">
        <f>L94</f>
        <v>73.96708</v>
      </c>
    </row>
    <row r="95" spans="2:13" ht="12">
      <c r="B95" s="54"/>
      <c r="C95" s="54"/>
      <c r="D95" s="66" t="s">
        <v>595</v>
      </c>
      <c r="E95" s="54"/>
      <c r="F95" s="54"/>
      <c r="G95" s="54"/>
      <c r="H95" s="54"/>
      <c r="I95" s="54"/>
      <c r="J95" s="54"/>
      <c r="K95" s="54"/>
      <c r="L95" s="54"/>
      <c r="M95" s="54"/>
    </row>
    <row r="96" spans="1:37" ht="12.75">
      <c r="A96" s="5"/>
      <c r="B96" s="55"/>
      <c r="C96" s="55" t="s">
        <v>64</v>
      </c>
      <c r="D96" s="72" t="s">
        <v>329</v>
      </c>
      <c r="E96" s="73"/>
      <c r="F96" s="73"/>
      <c r="G96" s="73"/>
      <c r="H96" s="56">
        <f>SUM(H97:H97)</f>
        <v>0</v>
      </c>
      <c r="I96" s="56">
        <f>SUM(I97:I97)</f>
        <v>0</v>
      </c>
      <c r="J96" s="56">
        <f>H96+I96</f>
        <v>0</v>
      </c>
      <c r="K96" s="57"/>
      <c r="L96" s="56">
        <f>SUM(L97:L97)</f>
        <v>26.312399999999997</v>
      </c>
      <c r="M96" s="57"/>
      <c r="Y96" s="20"/>
      <c r="AI96" s="29">
        <f>SUM(Z97:Z97)</f>
        <v>0</v>
      </c>
      <c r="AJ96" s="29">
        <f>SUM(AA97:AA97)</f>
        <v>0</v>
      </c>
      <c r="AK96" s="29">
        <f>SUM(AB97:AB97)</f>
        <v>0</v>
      </c>
    </row>
    <row r="97" spans="1:48" ht="12.75">
      <c r="A97" s="4" t="s">
        <v>42</v>
      </c>
      <c r="B97" s="51"/>
      <c r="C97" s="51" t="s">
        <v>160</v>
      </c>
      <c r="D97" s="51" t="s">
        <v>330</v>
      </c>
      <c r="E97" s="51" t="s">
        <v>448</v>
      </c>
      <c r="F97" s="52">
        <v>365.45</v>
      </c>
      <c r="G97" s="52"/>
      <c r="H97" s="52">
        <f>F97*AE97</f>
        <v>0</v>
      </c>
      <c r="I97" s="52">
        <f>J97-H97</f>
        <v>0</v>
      </c>
      <c r="J97" s="52">
        <f>F97*G97</f>
        <v>0</v>
      </c>
      <c r="K97" s="52">
        <v>0.072</v>
      </c>
      <c r="L97" s="52">
        <f>F97*K97</f>
        <v>26.312399999999997</v>
      </c>
      <c r="M97" s="53" t="s">
        <v>469</v>
      </c>
      <c r="P97" s="27">
        <f>IF(AG97="5",J97,0)</f>
        <v>0</v>
      </c>
      <c r="R97" s="27">
        <f>IF(AG97="1",H97,0)</f>
        <v>0</v>
      </c>
      <c r="S97" s="27">
        <f>IF(AG97="1",I97,0)</f>
        <v>0</v>
      </c>
      <c r="T97" s="27">
        <f>IF(AG97="7",H97,0)</f>
        <v>0</v>
      </c>
      <c r="U97" s="27">
        <f>IF(AG97="7",I97,0)</f>
        <v>0</v>
      </c>
      <c r="V97" s="27">
        <f>IF(AG97="2",H97,0)</f>
        <v>0</v>
      </c>
      <c r="W97" s="27">
        <f>IF(AG97="2",I97,0)</f>
        <v>0</v>
      </c>
      <c r="X97" s="27">
        <f>IF(AG97="0",J97,0)</f>
        <v>0</v>
      </c>
      <c r="Y97" s="20"/>
      <c r="Z97" s="13">
        <f>IF(AD97=0,J97,0)</f>
        <v>0</v>
      </c>
      <c r="AA97" s="13">
        <f>IF(AD97=15,J97,0)</f>
        <v>0</v>
      </c>
      <c r="AB97" s="13">
        <f>IF(AD97=21,J97,0)</f>
        <v>0</v>
      </c>
      <c r="AD97" s="27">
        <v>15</v>
      </c>
      <c r="AE97" s="27">
        <f>G97*0.153866666666667</f>
        <v>0</v>
      </c>
      <c r="AF97" s="27">
        <f>G97*(1-0.153866666666667)</f>
        <v>0</v>
      </c>
      <c r="AG97" s="23" t="s">
        <v>6</v>
      </c>
      <c r="AM97" s="27">
        <f>F97*AE97</f>
        <v>0</v>
      </c>
      <c r="AN97" s="27">
        <f>F97*AF97</f>
        <v>0</v>
      </c>
      <c r="AO97" s="28" t="s">
        <v>493</v>
      </c>
      <c r="AP97" s="28" t="s">
        <v>521</v>
      </c>
      <c r="AQ97" s="20" t="s">
        <v>530</v>
      </c>
      <c r="AS97" s="27">
        <f>AM97+AN97</f>
        <v>0</v>
      </c>
      <c r="AT97" s="27">
        <f>G97/(100-AU97)*100</f>
        <v>0</v>
      </c>
      <c r="AU97" s="27">
        <v>0</v>
      </c>
      <c r="AV97" s="27">
        <f>L97</f>
        <v>26.312399999999997</v>
      </c>
    </row>
    <row r="98" spans="2:13" ht="12">
      <c r="B98" s="54"/>
      <c r="C98" s="54"/>
      <c r="D98" s="66" t="s">
        <v>574</v>
      </c>
      <c r="E98" s="54"/>
      <c r="F98" s="54"/>
      <c r="G98" s="54"/>
      <c r="H98" s="54"/>
      <c r="I98" s="54"/>
      <c r="J98" s="54"/>
      <c r="K98" s="54"/>
      <c r="L98" s="54"/>
      <c r="M98" s="54"/>
    </row>
    <row r="99" spans="1:37" ht="12.75">
      <c r="A99" s="5"/>
      <c r="B99" s="55"/>
      <c r="C99" s="55" t="s">
        <v>67</v>
      </c>
      <c r="D99" s="72" t="s">
        <v>331</v>
      </c>
      <c r="E99" s="73"/>
      <c r="F99" s="73"/>
      <c r="G99" s="73"/>
      <c r="H99" s="56">
        <f>SUM(H100:H121)</f>
        <v>0</v>
      </c>
      <c r="I99" s="56">
        <f>SUM(I100:I121)</f>
        <v>0</v>
      </c>
      <c r="J99" s="56">
        <f>H99+I99</f>
        <v>0</v>
      </c>
      <c r="K99" s="57"/>
      <c r="L99" s="56">
        <f>SUM(L100:L121)</f>
        <v>30.2605772</v>
      </c>
      <c r="M99" s="57"/>
      <c r="Y99" s="20"/>
      <c r="AI99" s="29">
        <f>SUM(Z100:Z121)</f>
        <v>0</v>
      </c>
      <c r="AJ99" s="29">
        <f>SUM(AA100:AA121)</f>
        <v>0</v>
      </c>
      <c r="AK99" s="29">
        <f>SUM(AB100:AB121)</f>
        <v>0</v>
      </c>
    </row>
    <row r="100" spans="1:48" ht="12.75">
      <c r="A100" s="4" t="s">
        <v>43</v>
      </c>
      <c r="B100" s="51"/>
      <c r="C100" s="51" t="s">
        <v>161</v>
      </c>
      <c r="D100" s="51" t="s">
        <v>605</v>
      </c>
      <c r="E100" s="51" t="s">
        <v>448</v>
      </c>
      <c r="F100" s="52">
        <v>260</v>
      </c>
      <c r="G100" s="52"/>
      <c r="H100" s="52">
        <f>F100*AE100</f>
        <v>0</v>
      </c>
      <c r="I100" s="52">
        <f>J100-H100</f>
        <v>0</v>
      </c>
      <c r="J100" s="52">
        <f>F100*G100</f>
        <v>0</v>
      </c>
      <c r="K100" s="52">
        <v>0.01374</v>
      </c>
      <c r="L100" s="52">
        <f>F100*K100</f>
        <v>3.5724</v>
      </c>
      <c r="M100" s="53" t="s">
        <v>469</v>
      </c>
      <c r="P100" s="27">
        <f>IF(AG100="5",J100,0)</f>
        <v>0</v>
      </c>
      <c r="R100" s="27">
        <f>IF(AG100="1",H100,0)</f>
        <v>0</v>
      </c>
      <c r="S100" s="27">
        <f>IF(AG100="1",I100,0)</f>
        <v>0</v>
      </c>
      <c r="T100" s="27">
        <f>IF(AG100="7",H100,0)</f>
        <v>0</v>
      </c>
      <c r="U100" s="27">
        <f>IF(AG100="7",I100,0)</f>
        <v>0</v>
      </c>
      <c r="V100" s="27">
        <f>IF(AG100="2",H100,0)</f>
        <v>0</v>
      </c>
      <c r="W100" s="27">
        <f>IF(AG100="2",I100,0)</f>
        <v>0</v>
      </c>
      <c r="X100" s="27">
        <f>IF(AG100="0",J100,0)</f>
        <v>0</v>
      </c>
      <c r="Y100" s="20"/>
      <c r="Z100" s="13">
        <f>IF(AD100=0,J100,0)</f>
        <v>0</v>
      </c>
      <c r="AA100" s="13">
        <f>IF(AD100=15,J100,0)</f>
        <v>0</v>
      </c>
      <c r="AB100" s="13">
        <f>IF(AD100=21,J100,0)</f>
        <v>0</v>
      </c>
      <c r="AD100" s="27">
        <v>15</v>
      </c>
      <c r="AE100" s="27">
        <f>G100*0.532795421684311</f>
        <v>0</v>
      </c>
      <c r="AF100" s="27">
        <f>G100*(1-0.532795421684311)</f>
        <v>0</v>
      </c>
      <c r="AG100" s="23" t="s">
        <v>6</v>
      </c>
      <c r="AM100" s="27">
        <f>F100*AE100</f>
        <v>0</v>
      </c>
      <c r="AN100" s="27">
        <f>F100*AF100</f>
        <v>0</v>
      </c>
      <c r="AO100" s="28" t="s">
        <v>494</v>
      </c>
      <c r="AP100" s="28" t="s">
        <v>522</v>
      </c>
      <c r="AQ100" s="20" t="s">
        <v>530</v>
      </c>
      <c r="AS100" s="27">
        <f>AM100+AN100</f>
        <v>0</v>
      </c>
      <c r="AT100" s="27">
        <f>G100/(100-AU100)*100</f>
        <v>0</v>
      </c>
      <c r="AU100" s="27">
        <v>0</v>
      </c>
      <c r="AV100" s="27">
        <f>L100</f>
        <v>3.5724</v>
      </c>
    </row>
    <row r="101" spans="2:13" ht="12">
      <c r="B101" s="54"/>
      <c r="C101" s="54"/>
      <c r="D101" s="66" t="s">
        <v>332</v>
      </c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48" ht="12.75">
      <c r="A102" s="4" t="s">
        <v>44</v>
      </c>
      <c r="B102" s="51"/>
      <c r="C102" s="51" t="s">
        <v>162</v>
      </c>
      <c r="D102" s="51" t="s">
        <v>606</v>
      </c>
      <c r="E102" s="51" t="s">
        <v>448</v>
      </c>
      <c r="F102" s="52">
        <v>18</v>
      </c>
      <c r="G102" s="52"/>
      <c r="H102" s="52">
        <f>F102*AE102</f>
        <v>0</v>
      </c>
      <c r="I102" s="52">
        <f>J102-H102</f>
        <v>0</v>
      </c>
      <c r="J102" s="52">
        <f>F102*G102</f>
        <v>0</v>
      </c>
      <c r="K102" s="52">
        <v>0.01302</v>
      </c>
      <c r="L102" s="52">
        <f>F102*K102</f>
        <v>0.23436</v>
      </c>
      <c r="M102" s="53" t="s">
        <v>469</v>
      </c>
      <c r="P102" s="27">
        <f>IF(AG102="5",J102,0)</f>
        <v>0</v>
      </c>
      <c r="R102" s="27">
        <f>IF(AG102="1",H102,0)</f>
        <v>0</v>
      </c>
      <c r="S102" s="27">
        <f>IF(AG102="1",I102,0)</f>
        <v>0</v>
      </c>
      <c r="T102" s="27">
        <f>IF(AG102="7",H102,0)</f>
        <v>0</v>
      </c>
      <c r="U102" s="27">
        <f>IF(AG102="7",I102,0)</f>
        <v>0</v>
      </c>
      <c r="V102" s="27">
        <f>IF(AG102="2",H102,0)</f>
        <v>0</v>
      </c>
      <c r="W102" s="27">
        <f>IF(AG102="2",I102,0)</f>
        <v>0</v>
      </c>
      <c r="X102" s="27">
        <f>IF(AG102="0",J102,0)</f>
        <v>0</v>
      </c>
      <c r="Y102" s="20"/>
      <c r="Z102" s="13">
        <f>IF(AD102=0,J102,0)</f>
        <v>0</v>
      </c>
      <c r="AA102" s="13">
        <f>IF(AD102=15,J102,0)</f>
        <v>0</v>
      </c>
      <c r="AB102" s="13">
        <f>IF(AD102=21,J102,0)</f>
        <v>0</v>
      </c>
      <c r="AD102" s="27">
        <v>15</v>
      </c>
      <c r="AE102" s="27">
        <f>G102*0.506340744222818</f>
        <v>0</v>
      </c>
      <c r="AF102" s="27">
        <f>G102*(1-0.506340744222818)</f>
        <v>0</v>
      </c>
      <c r="AG102" s="23" t="s">
        <v>6</v>
      </c>
      <c r="AM102" s="27">
        <f>F102*AE102</f>
        <v>0</v>
      </c>
      <c r="AN102" s="27">
        <f>F102*AF102</f>
        <v>0</v>
      </c>
      <c r="AO102" s="28" t="s">
        <v>494</v>
      </c>
      <c r="AP102" s="28" t="s">
        <v>522</v>
      </c>
      <c r="AQ102" s="20" t="s">
        <v>530</v>
      </c>
      <c r="AS102" s="27">
        <f>AM102+AN102</f>
        <v>0</v>
      </c>
      <c r="AT102" s="27">
        <f>G102/(100-AU102)*100</f>
        <v>0</v>
      </c>
      <c r="AU102" s="27">
        <v>0</v>
      </c>
      <c r="AV102" s="27">
        <f>L102</f>
        <v>0.23436</v>
      </c>
    </row>
    <row r="103" spans="2:13" ht="12">
      <c r="B103" s="54"/>
      <c r="C103" s="54"/>
      <c r="D103" s="66" t="s">
        <v>575</v>
      </c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48" ht="12.75">
      <c r="A104" s="4" t="s">
        <v>45</v>
      </c>
      <c r="B104" s="51"/>
      <c r="C104" s="51" t="s">
        <v>163</v>
      </c>
      <c r="D104" s="51" t="s">
        <v>333</v>
      </c>
      <c r="E104" s="51" t="s">
        <v>448</v>
      </c>
      <c r="F104" s="52">
        <v>148</v>
      </c>
      <c r="G104" s="52"/>
      <c r="H104" s="52">
        <f>F104*AE104</f>
        <v>0</v>
      </c>
      <c r="I104" s="52">
        <f>J104-H104</f>
        <v>0</v>
      </c>
      <c r="J104" s="52">
        <f>F104*G104</f>
        <v>0</v>
      </c>
      <c r="K104" s="52">
        <v>4E-05</v>
      </c>
      <c r="L104" s="52">
        <f>F104*K104</f>
        <v>0.005920000000000001</v>
      </c>
      <c r="M104" s="53" t="s">
        <v>469</v>
      </c>
      <c r="P104" s="27">
        <f>IF(AG104="5",J104,0)</f>
        <v>0</v>
      </c>
      <c r="R104" s="27">
        <f>IF(AG104="1",H104,0)</f>
        <v>0</v>
      </c>
      <c r="S104" s="27">
        <f>IF(AG104="1",I104,0)</f>
        <v>0</v>
      </c>
      <c r="T104" s="27">
        <f>IF(AG104="7",H104,0)</f>
        <v>0</v>
      </c>
      <c r="U104" s="27">
        <f>IF(AG104="7",I104,0)</f>
        <v>0</v>
      </c>
      <c r="V104" s="27">
        <f>IF(AG104="2",H104,0)</f>
        <v>0</v>
      </c>
      <c r="W104" s="27">
        <f>IF(AG104="2",I104,0)</f>
        <v>0</v>
      </c>
      <c r="X104" s="27">
        <f>IF(AG104="0",J104,0)</f>
        <v>0</v>
      </c>
      <c r="Y104" s="20"/>
      <c r="Z104" s="13">
        <f>IF(AD104=0,J104,0)</f>
        <v>0</v>
      </c>
      <c r="AA104" s="13">
        <f>IF(AD104=15,J104,0)</f>
        <v>0</v>
      </c>
      <c r="AB104" s="13">
        <f>IF(AD104=21,J104,0)</f>
        <v>0</v>
      </c>
      <c r="AD104" s="27">
        <v>15</v>
      </c>
      <c r="AE104" s="27">
        <f>G104*0.34750656167979</f>
        <v>0</v>
      </c>
      <c r="AF104" s="27">
        <f>G104*(1-0.34750656167979)</f>
        <v>0</v>
      </c>
      <c r="AG104" s="23" t="s">
        <v>6</v>
      </c>
      <c r="AM104" s="27">
        <f>F104*AE104</f>
        <v>0</v>
      </c>
      <c r="AN104" s="27">
        <f>F104*AF104</f>
        <v>0</v>
      </c>
      <c r="AO104" s="28" t="s">
        <v>494</v>
      </c>
      <c r="AP104" s="28" t="s">
        <v>522</v>
      </c>
      <c r="AQ104" s="20" t="s">
        <v>530</v>
      </c>
      <c r="AS104" s="27">
        <f>AM104+AN104</f>
        <v>0</v>
      </c>
      <c r="AT104" s="27">
        <f>G104/(100-AU104)*100</f>
        <v>0</v>
      </c>
      <c r="AU104" s="27">
        <v>0</v>
      </c>
      <c r="AV104" s="27">
        <f>L104</f>
        <v>0.005920000000000001</v>
      </c>
    </row>
    <row r="105" spans="2:13" ht="12">
      <c r="B105" s="54"/>
      <c r="C105" s="54"/>
      <c r="D105" s="66" t="s">
        <v>334</v>
      </c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48" ht="12.75">
      <c r="A106" s="4" t="s">
        <v>46</v>
      </c>
      <c r="B106" s="51"/>
      <c r="C106" s="51" t="s">
        <v>164</v>
      </c>
      <c r="D106" s="51" t="s">
        <v>335</v>
      </c>
      <c r="E106" s="51" t="s">
        <v>448</v>
      </c>
      <c r="F106" s="52">
        <v>748</v>
      </c>
      <c r="G106" s="52"/>
      <c r="H106" s="52">
        <f>F106*AE106</f>
        <v>0</v>
      </c>
      <c r="I106" s="52">
        <f>J106-H106</f>
        <v>0</v>
      </c>
      <c r="J106" s="52">
        <f>F106*G106</f>
        <v>0</v>
      </c>
      <c r="K106" s="52">
        <v>0.008</v>
      </c>
      <c r="L106" s="52">
        <f>F106*K106</f>
        <v>5.984</v>
      </c>
      <c r="M106" s="53" t="s">
        <v>469</v>
      </c>
      <c r="P106" s="27">
        <f>IF(AG106="5",J106,0)</f>
        <v>0</v>
      </c>
      <c r="R106" s="27">
        <f>IF(AG106="1",H106,0)</f>
        <v>0</v>
      </c>
      <c r="S106" s="27">
        <f>IF(AG106="1",I106,0)</f>
        <v>0</v>
      </c>
      <c r="T106" s="27">
        <f>IF(AG106="7",H106,0)</f>
        <v>0</v>
      </c>
      <c r="U106" s="27">
        <f>IF(AG106="7",I106,0)</f>
        <v>0</v>
      </c>
      <c r="V106" s="27">
        <f>IF(AG106="2",H106,0)</f>
        <v>0</v>
      </c>
      <c r="W106" s="27">
        <f>IF(AG106="2",I106,0)</f>
        <v>0</v>
      </c>
      <c r="X106" s="27">
        <f>IF(AG106="0",J106,0)</f>
        <v>0</v>
      </c>
      <c r="Y106" s="20"/>
      <c r="Z106" s="13">
        <f>IF(AD106=0,J106,0)</f>
        <v>0</v>
      </c>
      <c r="AA106" s="13">
        <f>IF(AD106=15,J106,0)</f>
        <v>0</v>
      </c>
      <c r="AB106" s="13">
        <f>IF(AD106=21,J106,0)</f>
        <v>0</v>
      </c>
      <c r="AD106" s="27">
        <v>15</v>
      </c>
      <c r="AE106" s="27">
        <f>G106*0.571812224728757</f>
        <v>0</v>
      </c>
      <c r="AF106" s="27">
        <f>G106*(1-0.571812224728757)</f>
        <v>0</v>
      </c>
      <c r="AG106" s="23" t="s">
        <v>6</v>
      </c>
      <c r="AM106" s="27">
        <f>F106*AE106</f>
        <v>0</v>
      </c>
      <c r="AN106" s="27">
        <f>F106*AF106</f>
        <v>0</v>
      </c>
      <c r="AO106" s="28" t="s">
        <v>494</v>
      </c>
      <c r="AP106" s="28" t="s">
        <v>522</v>
      </c>
      <c r="AQ106" s="20" t="s">
        <v>530</v>
      </c>
      <c r="AS106" s="27">
        <f>AM106+AN106</f>
        <v>0</v>
      </c>
      <c r="AT106" s="27">
        <f>G106/(100-AU106)*100</f>
        <v>0</v>
      </c>
      <c r="AU106" s="27">
        <v>0</v>
      </c>
      <c r="AV106" s="27">
        <f>L106</f>
        <v>5.984</v>
      </c>
    </row>
    <row r="107" spans="2:13" ht="12">
      <c r="B107" s="54"/>
      <c r="C107" s="54"/>
      <c r="D107" s="66" t="s">
        <v>607</v>
      </c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48" ht="12.75">
      <c r="A108" s="4" t="s">
        <v>47</v>
      </c>
      <c r="B108" s="51"/>
      <c r="C108" s="51" t="s">
        <v>165</v>
      </c>
      <c r="D108" s="51" t="s">
        <v>336</v>
      </c>
      <c r="E108" s="51" t="s">
        <v>449</v>
      </c>
      <c r="F108" s="52">
        <v>114</v>
      </c>
      <c r="G108" s="52"/>
      <c r="H108" s="52">
        <f>F108*AE108</f>
        <v>0</v>
      </c>
      <c r="I108" s="52">
        <f>J108-H108</f>
        <v>0</v>
      </c>
      <c r="J108" s="52">
        <f>F108*G108</f>
        <v>0</v>
      </c>
      <c r="K108" s="52">
        <v>0.00011</v>
      </c>
      <c r="L108" s="52">
        <f>F108*K108</f>
        <v>0.01254</v>
      </c>
      <c r="M108" s="53" t="s">
        <v>469</v>
      </c>
      <c r="P108" s="27">
        <f>IF(AG108="5",J108,0)</f>
        <v>0</v>
      </c>
      <c r="R108" s="27">
        <f>IF(AG108="1",H108,0)</f>
        <v>0</v>
      </c>
      <c r="S108" s="27">
        <f>IF(AG108="1",I108,0)</f>
        <v>0</v>
      </c>
      <c r="T108" s="27">
        <f>IF(AG108="7",H108,0)</f>
        <v>0</v>
      </c>
      <c r="U108" s="27">
        <f>IF(AG108="7",I108,0)</f>
        <v>0</v>
      </c>
      <c r="V108" s="27">
        <f>IF(AG108="2",H108,0)</f>
        <v>0</v>
      </c>
      <c r="W108" s="27">
        <f>IF(AG108="2",I108,0)</f>
        <v>0</v>
      </c>
      <c r="X108" s="27">
        <f>IF(AG108="0",J108,0)</f>
        <v>0</v>
      </c>
      <c r="Y108" s="20"/>
      <c r="Z108" s="13">
        <f>IF(AD108=0,J108,0)</f>
        <v>0</v>
      </c>
      <c r="AA108" s="13">
        <f>IF(AD108=15,J108,0)</f>
        <v>0</v>
      </c>
      <c r="AB108" s="13">
        <f>IF(AD108=21,J108,0)</f>
        <v>0</v>
      </c>
      <c r="AD108" s="27">
        <v>15</v>
      </c>
      <c r="AE108" s="27">
        <f>G108*0.737803001812028</f>
        <v>0</v>
      </c>
      <c r="AF108" s="27">
        <f>G108*(1-0.737803001812028)</f>
        <v>0</v>
      </c>
      <c r="AG108" s="23" t="s">
        <v>6</v>
      </c>
      <c r="AM108" s="27">
        <f>F108*AE108</f>
        <v>0</v>
      </c>
      <c r="AN108" s="27">
        <f>F108*AF108</f>
        <v>0</v>
      </c>
      <c r="AO108" s="28" t="s">
        <v>494</v>
      </c>
      <c r="AP108" s="28" t="s">
        <v>522</v>
      </c>
      <c r="AQ108" s="20" t="s">
        <v>530</v>
      </c>
      <c r="AS108" s="27">
        <f>AM108+AN108</f>
        <v>0</v>
      </c>
      <c r="AT108" s="27">
        <f>G108/(100-AU108)*100</f>
        <v>0</v>
      </c>
      <c r="AU108" s="27">
        <v>0</v>
      </c>
      <c r="AV108" s="27">
        <f>L108</f>
        <v>0.01254</v>
      </c>
    </row>
    <row r="109" spans="2:13" ht="12">
      <c r="B109" s="54"/>
      <c r="C109" s="54"/>
      <c r="D109" s="66" t="s">
        <v>337</v>
      </c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48" ht="12.75">
      <c r="A110" s="4" t="s">
        <v>48</v>
      </c>
      <c r="B110" s="51"/>
      <c r="C110" s="51" t="s">
        <v>166</v>
      </c>
      <c r="D110" s="51" t="s">
        <v>608</v>
      </c>
      <c r="E110" s="51" t="s">
        <v>448</v>
      </c>
      <c r="F110" s="52">
        <v>165.44</v>
      </c>
      <c r="G110" s="52"/>
      <c r="H110" s="52">
        <f>F110*AE110</f>
        <v>0</v>
      </c>
      <c r="I110" s="52">
        <f>J110-H110</f>
        <v>0</v>
      </c>
      <c r="J110" s="52">
        <f>F110*G110</f>
        <v>0</v>
      </c>
      <c r="K110" s="52">
        <v>0.01642</v>
      </c>
      <c r="L110" s="52">
        <f>F110*K110</f>
        <v>2.7165248</v>
      </c>
      <c r="M110" s="53" t="s">
        <v>469</v>
      </c>
      <c r="P110" s="27">
        <f>IF(AG110="5",J110,0)</f>
        <v>0</v>
      </c>
      <c r="R110" s="27">
        <f>IF(AG110="1",H110,0)</f>
        <v>0</v>
      </c>
      <c r="S110" s="27">
        <f>IF(AG110="1",I110,0)</f>
        <v>0</v>
      </c>
      <c r="T110" s="27">
        <f>IF(AG110="7",H110,0)</f>
        <v>0</v>
      </c>
      <c r="U110" s="27">
        <f>IF(AG110="7",I110,0)</f>
        <v>0</v>
      </c>
      <c r="V110" s="27">
        <f>IF(AG110="2",H110,0)</f>
        <v>0</v>
      </c>
      <c r="W110" s="27">
        <f>IF(AG110="2",I110,0)</f>
        <v>0</v>
      </c>
      <c r="X110" s="27">
        <f>IF(AG110="0",J110,0)</f>
        <v>0</v>
      </c>
      <c r="Y110" s="20"/>
      <c r="Z110" s="13">
        <f>IF(AD110=0,J110,0)</f>
        <v>0</v>
      </c>
      <c r="AA110" s="13">
        <f>IF(AD110=15,J110,0)</f>
        <v>0</v>
      </c>
      <c r="AB110" s="13">
        <f>IF(AD110=21,J110,0)</f>
        <v>0</v>
      </c>
      <c r="AD110" s="27">
        <v>15</v>
      </c>
      <c r="AE110" s="27">
        <f>G110*0.615265484883556</f>
        <v>0</v>
      </c>
      <c r="AF110" s="27">
        <f>G110*(1-0.615265484883556)</f>
        <v>0</v>
      </c>
      <c r="AG110" s="23" t="s">
        <v>6</v>
      </c>
      <c r="AM110" s="27">
        <f>F110*AE110</f>
        <v>0</v>
      </c>
      <c r="AN110" s="27">
        <f>F110*AF110</f>
        <v>0</v>
      </c>
      <c r="AO110" s="28" t="s">
        <v>494</v>
      </c>
      <c r="AP110" s="28" t="s">
        <v>522</v>
      </c>
      <c r="AQ110" s="20" t="s">
        <v>530</v>
      </c>
      <c r="AS110" s="27">
        <f>AM110+AN110</f>
        <v>0</v>
      </c>
      <c r="AT110" s="27">
        <f>G110/(100-AU110)*100</f>
        <v>0</v>
      </c>
      <c r="AU110" s="27">
        <v>0</v>
      </c>
      <c r="AV110" s="27">
        <f>L110</f>
        <v>2.7165248</v>
      </c>
    </row>
    <row r="111" spans="2:13" ht="12">
      <c r="B111" s="54"/>
      <c r="C111" s="54"/>
      <c r="D111" s="66" t="s">
        <v>338</v>
      </c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48" ht="12.75">
      <c r="A112" s="4" t="s">
        <v>49</v>
      </c>
      <c r="B112" s="51"/>
      <c r="C112" s="51" t="s">
        <v>167</v>
      </c>
      <c r="D112" s="51" t="s">
        <v>576</v>
      </c>
      <c r="E112" s="51" t="s">
        <v>448</v>
      </c>
      <c r="F112" s="52">
        <v>68.36</v>
      </c>
      <c r="G112" s="52"/>
      <c r="H112" s="52">
        <f>F112*AE112</f>
        <v>0</v>
      </c>
      <c r="I112" s="52">
        <f>J112-H112</f>
        <v>0</v>
      </c>
      <c r="J112" s="52">
        <f>F112*G112</f>
        <v>0</v>
      </c>
      <c r="K112" s="52">
        <v>0.01354</v>
      </c>
      <c r="L112" s="52">
        <f>F112*K112</f>
        <v>0.9255944</v>
      </c>
      <c r="M112" s="53" t="s">
        <v>469</v>
      </c>
      <c r="P112" s="27">
        <f>IF(AG112="5",J112,0)</f>
        <v>0</v>
      </c>
      <c r="R112" s="27">
        <f>IF(AG112="1",H112,0)</f>
        <v>0</v>
      </c>
      <c r="S112" s="27">
        <f>IF(AG112="1",I112,0)</f>
        <v>0</v>
      </c>
      <c r="T112" s="27">
        <f>IF(AG112="7",H112,0)</f>
        <v>0</v>
      </c>
      <c r="U112" s="27">
        <f>IF(AG112="7",I112,0)</f>
        <v>0</v>
      </c>
      <c r="V112" s="27">
        <f>IF(AG112="2",H112,0)</f>
        <v>0</v>
      </c>
      <c r="W112" s="27">
        <f>IF(AG112="2",I112,0)</f>
        <v>0</v>
      </c>
      <c r="X112" s="27">
        <f>IF(AG112="0",J112,0)</f>
        <v>0</v>
      </c>
      <c r="Y112" s="20"/>
      <c r="Z112" s="13">
        <f>IF(AD112=0,J112,0)</f>
        <v>0</v>
      </c>
      <c r="AA112" s="13">
        <f>IF(AD112=15,J112,0)</f>
        <v>0</v>
      </c>
      <c r="AB112" s="13">
        <f>IF(AD112=21,J112,0)</f>
        <v>0</v>
      </c>
      <c r="AD112" s="27">
        <v>15</v>
      </c>
      <c r="AE112" s="27">
        <f>G112*0.328657378087397</f>
        <v>0</v>
      </c>
      <c r="AF112" s="27">
        <f>G112*(1-0.328657378087397)</f>
        <v>0</v>
      </c>
      <c r="AG112" s="23" t="s">
        <v>6</v>
      </c>
      <c r="AM112" s="27">
        <f>F112*AE112</f>
        <v>0</v>
      </c>
      <c r="AN112" s="27">
        <f>F112*AF112</f>
        <v>0</v>
      </c>
      <c r="AO112" s="28" t="s">
        <v>494</v>
      </c>
      <c r="AP112" s="28" t="s">
        <v>522</v>
      </c>
      <c r="AQ112" s="20" t="s">
        <v>530</v>
      </c>
      <c r="AS112" s="27">
        <f>AM112+AN112</f>
        <v>0</v>
      </c>
      <c r="AT112" s="27">
        <f>G112/(100-AU112)*100</f>
        <v>0</v>
      </c>
      <c r="AU112" s="27">
        <v>0</v>
      </c>
      <c r="AV112" s="27">
        <f>L112</f>
        <v>0.9255944</v>
      </c>
    </row>
    <row r="113" spans="1:48" ht="12.75">
      <c r="A113" s="4" t="s">
        <v>50</v>
      </c>
      <c r="B113" s="51"/>
      <c r="C113" s="51" t="s">
        <v>168</v>
      </c>
      <c r="D113" s="51" t="s">
        <v>611</v>
      </c>
      <c r="E113" s="51" t="s">
        <v>448</v>
      </c>
      <c r="F113" s="52">
        <v>924</v>
      </c>
      <c r="G113" s="52"/>
      <c r="H113" s="52">
        <f>F113*AE113</f>
        <v>0</v>
      </c>
      <c r="I113" s="52">
        <f>J113-H113</f>
        <v>0</v>
      </c>
      <c r="J113" s="52">
        <f>F113*G113</f>
        <v>0</v>
      </c>
      <c r="K113" s="52">
        <v>0.01316</v>
      </c>
      <c r="L113" s="52">
        <f>F113*K113</f>
        <v>12.159839999999999</v>
      </c>
      <c r="M113" s="53" t="s">
        <v>469</v>
      </c>
      <c r="P113" s="27">
        <f>IF(AG113="5",J113,0)</f>
        <v>0</v>
      </c>
      <c r="R113" s="27">
        <f>IF(AG113="1",H113,0)</f>
        <v>0</v>
      </c>
      <c r="S113" s="27">
        <f>IF(AG113="1",I113,0)</f>
        <v>0</v>
      </c>
      <c r="T113" s="27">
        <f>IF(AG113="7",H113,0)</f>
        <v>0</v>
      </c>
      <c r="U113" s="27">
        <f>IF(AG113="7",I113,0)</f>
        <v>0</v>
      </c>
      <c r="V113" s="27">
        <f>IF(AG113="2",H113,0)</f>
        <v>0</v>
      </c>
      <c r="W113" s="27">
        <f>IF(AG113="2",I113,0)</f>
        <v>0</v>
      </c>
      <c r="X113" s="27">
        <f>IF(AG113="0",J113,0)</f>
        <v>0</v>
      </c>
      <c r="Y113" s="20"/>
      <c r="Z113" s="13">
        <f>IF(AD113=0,J113,0)</f>
        <v>0</v>
      </c>
      <c r="AA113" s="13">
        <f>IF(AD113=15,J113,0)</f>
        <v>0</v>
      </c>
      <c r="AB113" s="13">
        <f>IF(AD113=21,J113,0)</f>
        <v>0</v>
      </c>
      <c r="AD113" s="27">
        <v>15</v>
      </c>
      <c r="AE113" s="27">
        <f>G113*0.565319235002493</f>
        <v>0</v>
      </c>
      <c r="AF113" s="27">
        <f>G113*(1-0.565319235002493)</f>
        <v>0</v>
      </c>
      <c r="AG113" s="23" t="s">
        <v>6</v>
      </c>
      <c r="AM113" s="27">
        <f>F113*AE113</f>
        <v>0</v>
      </c>
      <c r="AN113" s="27">
        <f>F113*AF113</f>
        <v>0</v>
      </c>
      <c r="AO113" s="28" t="s">
        <v>494</v>
      </c>
      <c r="AP113" s="28" t="s">
        <v>522</v>
      </c>
      <c r="AQ113" s="20" t="s">
        <v>530</v>
      </c>
      <c r="AS113" s="27">
        <f>AM113+AN113</f>
        <v>0</v>
      </c>
      <c r="AT113" s="27">
        <f>G113/(100-AU113)*100</f>
        <v>0</v>
      </c>
      <c r="AU113" s="27">
        <v>0</v>
      </c>
      <c r="AV113" s="27">
        <f>L113</f>
        <v>12.159839999999999</v>
      </c>
    </row>
    <row r="114" spans="2:13" ht="12">
      <c r="B114" s="54"/>
      <c r="C114" s="54"/>
      <c r="D114" s="66" t="s">
        <v>577</v>
      </c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48" ht="12.75">
      <c r="A115" s="4" t="s">
        <v>51</v>
      </c>
      <c r="B115" s="51"/>
      <c r="C115" s="51" t="s">
        <v>169</v>
      </c>
      <c r="D115" s="51" t="s">
        <v>339</v>
      </c>
      <c r="E115" s="51" t="s">
        <v>448</v>
      </c>
      <c r="F115" s="52">
        <v>148.8</v>
      </c>
      <c r="G115" s="52"/>
      <c r="H115" s="52">
        <f>F115*AE115</f>
        <v>0</v>
      </c>
      <c r="I115" s="52">
        <f>J115-H115</f>
        <v>0</v>
      </c>
      <c r="J115" s="52">
        <f>F115*G115</f>
        <v>0</v>
      </c>
      <c r="K115" s="52">
        <v>0.01295</v>
      </c>
      <c r="L115" s="52">
        <f>F115*K115</f>
        <v>1.92696</v>
      </c>
      <c r="M115" s="53" t="s">
        <v>469</v>
      </c>
      <c r="P115" s="27">
        <f>IF(AG115="5",J115,0)</f>
        <v>0</v>
      </c>
      <c r="R115" s="27">
        <f>IF(AG115="1",H115,0)</f>
        <v>0</v>
      </c>
      <c r="S115" s="27">
        <f>IF(AG115="1",I115,0)</f>
        <v>0</v>
      </c>
      <c r="T115" s="27">
        <f>IF(AG115="7",H115,0)</f>
        <v>0</v>
      </c>
      <c r="U115" s="27">
        <f>IF(AG115="7",I115,0)</f>
        <v>0</v>
      </c>
      <c r="V115" s="27">
        <f>IF(AG115="2",H115,0)</f>
        <v>0</v>
      </c>
      <c r="W115" s="27">
        <f>IF(AG115="2",I115,0)</f>
        <v>0</v>
      </c>
      <c r="X115" s="27">
        <f>IF(AG115="0",J115,0)</f>
        <v>0</v>
      </c>
      <c r="Y115" s="20"/>
      <c r="Z115" s="13">
        <f>IF(AD115=0,J115,0)</f>
        <v>0</v>
      </c>
      <c r="AA115" s="13">
        <f>IF(AD115=15,J115,0)</f>
        <v>0</v>
      </c>
      <c r="AB115" s="13">
        <f>IF(AD115=21,J115,0)</f>
        <v>0</v>
      </c>
      <c r="AD115" s="27">
        <v>15</v>
      </c>
      <c r="AE115" s="27">
        <f>G115*0.339120947630923</f>
        <v>0</v>
      </c>
      <c r="AF115" s="27">
        <f>G115*(1-0.339120947630923)</f>
        <v>0</v>
      </c>
      <c r="AG115" s="23" t="s">
        <v>6</v>
      </c>
      <c r="AM115" s="27">
        <f>F115*AE115</f>
        <v>0</v>
      </c>
      <c r="AN115" s="27">
        <f>F115*AF115</f>
        <v>0</v>
      </c>
      <c r="AO115" s="28" t="s">
        <v>494</v>
      </c>
      <c r="AP115" s="28" t="s">
        <v>522</v>
      </c>
      <c r="AQ115" s="20" t="s">
        <v>530</v>
      </c>
      <c r="AS115" s="27">
        <f>AM115+AN115</f>
        <v>0</v>
      </c>
      <c r="AT115" s="27">
        <f>G115/(100-AU115)*100</f>
        <v>0</v>
      </c>
      <c r="AU115" s="27">
        <v>0</v>
      </c>
      <c r="AV115" s="27">
        <f>L115</f>
        <v>1.92696</v>
      </c>
    </row>
    <row r="116" spans="2:13" ht="12">
      <c r="B116" s="54"/>
      <c r="C116" s="54"/>
      <c r="D116" s="66" t="s">
        <v>340</v>
      </c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48" ht="12.75">
      <c r="A117" s="4" t="s">
        <v>52</v>
      </c>
      <c r="B117" s="51"/>
      <c r="C117" s="51" t="s">
        <v>170</v>
      </c>
      <c r="D117" s="51" t="s">
        <v>590</v>
      </c>
      <c r="E117" s="51" t="s">
        <v>448</v>
      </c>
      <c r="F117" s="52">
        <v>94</v>
      </c>
      <c r="G117" s="52"/>
      <c r="H117" s="52">
        <f>F117*AE117</f>
        <v>0</v>
      </c>
      <c r="I117" s="52">
        <f>J117-H117</f>
        <v>0</v>
      </c>
      <c r="J117" s="52">
        <f>F117*G117</f>
        <v>0</v>
      </c>
      <c r="K117" s="52">
        <v>0.01912</v>
      </c>
      <c r="L117" s="52">
        <f>F117*K117</f>
        <v>1.7972800000000002</v>
      </c>
      <c r="M117" s="53" t="s">
        <v>469</v>
      </c>
      <c r="P117" s="27">
        <f>IF(AG117="5",J117,0)</f>
        <v>0</v>
      </c>
      <c r="R117" s="27">
        <f>IF(AG117="1",H117,0)</f>
        <v>0</v>
      </c>
      <c r="S117" s="27">
        <f>IF(AG117="1",I117,0)</f>
        <v>0</v>
      </c>
      <c r="T117" s="27">
        <f>IF(AG117="7",H117,0)</f>
        <v>0</v>
      </c>
      <c r="U117" s="27">
        <f>IF(AG117="7",I117,0)</f>
        <v>0</v>
      </c>
      <c r="V117" s="27">
        <f>IF(AG117="2",H117,0)</f>
        <v>0</v>
      </c>
      <c r="W117" s="27">
        <f>IF(AG117="2",I117,0)</f>
        <v>0</v>
      </c>
      <c r="X117" s="27">
        <f>IF(AG117="0",J117,0)</f>
        <v>0</v>
      </c>
      <c r="Y117" s="20"/>
      <c r="Z117" s="13">
        <f>IF(AD117=0,J117,0)</f>
        <v>0</v>
      </c>
      <c r="AA117" s="13">
        <f>IF(AD117=15,J117,0)</f>
        <v>0</v>
      </c>
      <c r="AB117" s="13">
        <f>IF(AD117=21,J117,0)</f>
        <v>0</v>
      </c>
      <c r="AD117" s="27">
        <v>15</v>
      </c>
      <c r="AE117" s="27">
        <f>G117*0.382730356133409</f>
        <v>0</v>
      </c>
      <c r="AF117" s="27">
        <f>G117*(1-0.382730356133409)</f>
        <v>0</v>
      </c>
      <c r="AG117" s="23" t="s">
        <v>6</v>
      </c>
      <c r="AM117" s="27">
        <f>F117*AE117</f>
        <v>0</v>
      </c>
      <c r="AN117" s="27">
        <f>F117*AF117</f>
        <v>0</v>
      </c>
      <c r="AO117" s="28" t="s">
        <v>494</v>
      </c>
      <c r="AP117" s="28" t="s">
        <v>522</v>
      </c>
      <c r="AQ117" s="20" t="s">
        <v>530</v>
      </c>
      <c r="AS117" s="27">
        <f>AM117+AN117</f>
        <v>0</v>
      </c>
      <c r="AT117" s="27">
        <f>G117/(100-AU117)*100</f>
        <v>0</v>
      </c>
      <c r="AU117" s="27">
        <v>0</v>
      </c>
      <c r="AV117" s="27">
        <f>L117</f>
        <v>1.7972800000000002</v>
      </c>
    </row>
    <row r="118" spans="2:13" ht="12">
      <c r="B118" s="54"/>
      <c r="C118" s="54"/>
      <c r="D118" s="66" t="s">
        <v>341</v>
      </c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1:48" ht="12.75">
      <c r="A119" s="4" t="s">
        <v>53</v>
      </c>
      <c r="B119" s="51"/>
      <c r="C119" s="51" t="s">
        <v>171</v>
      </c>
      <c r="D119" s="51" t="s">
        <v>342</v>
      </c>
      <c r="E119" s="51" t="s">
        <v>448</v>
      </c>
      <c r="F119" s="52">
        <v>88.6</v>
      </c>
      <c r="G119" s="52"/>
      <c r="H119" s="52">
        <f>F119*AE119</f>
        <v>0</v>
      </c>
      <c r="I119" s="52">
        <f>J119-H119</f>
        <v>0</v>
      </c>
      <c r="J119" s="52">
        <f>F119*G119</f>
        <v>0</v>
      </c>
      <c r="K119" s="52">
        <v>0.01017</v>
      </c>
      <c r="L119" s="52">
        <f>F119*K119</f>
        <v>0.9010619999999999</v>
      </c>
      <c r="M119" s="53" t="s">
        <v>469</v>
      </c>
      <c r="P119" s="27">
        <f>IF(AG119="5",J119,0)</f>
        <v>0</v>
      </c>
      <c r="R119" s="27">
        <f>IF(AG119="1",H119,0)</f>
        <v>0</v>
      </c>
      <c r="S119" s="27">
        <f>IF(AG119="1",I119,0)</f>
        <v>0</v>
      </c>
      <c r="T119" s="27">
        <f>IF(AG119="7",H119,0)</f>
        <v>0</v>
      </c>
      <c r="U119" s="27">
        <f>IF(AG119="7",I119,0)</f>
        <v>0</v>
      </c>
      <c r="V119" s="27">
        <f>IF(AG119="2",H119,0)</f>
        <v>0</v>
      </c>
      <c r="W119" s="27">
        <f>IF(AG119="2",I119,0)</f>
        <v>0</v>
      </c>
      <c r="X119" s="27">
        <f>IF(AG119="0",J119,0)</f>
        <v>0</v>
      </c>
      <c r="Y119" s="20"/>
      <c r="Z119" s="13">
        <f>IF(AD119=0,J119,0)</f>
        <v>0</v>
      </c>
      <c r="AA119" s="13">
        <f>IF(AD119=15,J119,0)</f>
        <v>0</v>
      </c>
      <c r="AB119" s="13">
        <f>IF(AD119=21,J119,0)</f>
        <v>0</v>
      </c>
      <c r="AD119" s="27">
        <v>15</v>
      </c>
      <c r="AE119" s="27">
        <f>G119*0.454325423728814</f>
        <v>0</v>
      </c>
      <c r="AF119" s="27">
        <f>G119*(1-0.454325423728814)</f>
        <v>0</v>
      </c>
      <c r="AG119" s="23" t="s">
        <v>6</v>
      </c>
      <c r="AM119" s="27">
        <f>F119*AE119</f>
        <v>0</v>
      </c>
      <c r="AN119" s="27">
        <f>F119*AF119</f>
        <v>0</v>
      </c>
      <c r="AO119" s="28" t="s">
        <v>494</v>
      </c>
      <c r="AP119" s="28" t="s">
        <v>522</v>
      </c>
      <c r="AQ119" s="20" t="s">
        <v>530</v>
      </c>
      <c r="AS119" s="27">
        <f>AM119+AN119</f>
        <v>0</v>
      </c>
      <c r="AT119" s="27">
        <f>G119/(100-AU119)*100</f>
        <v>0</v>
      </c>
      <c r="AU119" s="27">
        <v>0</v>
      </c>
      <c r="AV119" s="27">
        <f>L119</f>
        <v>0.9010619999999999</v>
      </c>
    </row>
    <row r="120" spans="2:13" ht="12">
      <c r="B120" s="54"/>
      <c r="C120" s="54"/>
      <c r="D120" s="66" t="s">
        <v>343</v>
      </c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48" ht="12.75">
      <c r="A121" s="4" t="s">
        <v>54</v>
      </c>
      <c r="B121" s="51"/>
      <c r="C121" s="51" t="s">
        <v>172</v>
      </c>
      <c r="D121" s="51" t="s">
        <v>344</v>
      </c>
      <c r="E121" s="51" t="s">
        <v>448</v>
      </c>
      <c r="F121" s="52">
        <v>1204.8</v>
      </c>
      <c r="G121" s="52"/>
      <c r="H121" s="52">
        <f>F121*AE121</f>
        <v>0</v>
      </c>
      <c r="I121" s="52">
        <f>J121-H121</f>
        <v>0</v>
      </c>
      <c r="J121" s="52">
        <f>F121*G121</f>
        <v>0</v>
      </c>
      <c r="K121" s="52">
        <v>2E-05</v>
      </c>
      <c r="L121" s="52">
        <f>F121*K121</f>
        <v>0.024096</v>
      </c>
      <c r="M121" s="53" t="s">
        <v>469</v>
      </c>
      <c r="P121" s="27">
        <f>IF(AG121="5",J121,0)</f>
        <v>0</v>
      </c>
      <c r="R121" s="27">
        <f>IF(AG121="1",H121,0)</f>
        <v>0</v>
      </c>
      <c r="S121" s="27">
        <f>IF(AG121="1",I121,0)</f>
        <v>0</v>
      </c>
      <c r="T121" s="27">
        <f>IF(AG121="7",H121,0)</f>
        <v>0</v>
      </c>
      <c r="U121" s="27">
        <f>IF(AG121="7",I121,0)</f>
        <v>0</v>
      </c>
      <c r="V121" s="27">
        <f>IF(AG121="2",H121,0)</f>
        <v>0</v>
      </c>
      <c r="W121" s="27">
        <f>IF(AG121="2",I121,0)</f>
        <v>0</v>
      </c>
      <c r="X121" s="27">
        <f>IF(AG121="0",J121,0)</f>
        <v>0</v>
      </c>
      <c r="Y121" s="20"/>
      <c r="Z121" s="13">
        <f>IF(AD121=0,J121,0)</f>
        <v>0</v>
      </c>
      <c r="AA121" s="13">
        <f>IF(AD121=15,J121,0)</f>
        <v>0</v>
      </c>
      <c r="AB121" s="13">
        <f>IF(AD121=21,J121,0)</f>
        <v>0</v>
      </c>
      <c r="AD121" s="27">
        <v>15</v>
      </c>
      <c r="AE121" s="27">
        <f>G121*0.0775160599571734</f>
        <v>0</v>
      </c>
      <c r="AF121" s="27">
        <f>G121*(1-0.0775160599571734)</f>
        <v>0</v>
      </c>
      <c r="AG121" s="23" t="s">
        <v>6</v>
      </c>
      <c r="AM121" s="27">
        <f>F121*AE121</f>
        <v>0</v>
      </c>
      <c r="AN121" s="27">
        <f>F121*AF121</f>
        <v>0</v>
      </c>
      <c r="AO121" s="28" t="s">
        <v>494</v>
      </c>
      <c r="AP121" s="28" t="s">
        <v>522</v>
      </c>
      <c r="AQ121" s="20" t="s">
        <v>530</v>
      </c>
      <c r="AS121" s="27">
        <f>AM121+AN121</f>
        <v>0</v>
      </c>
      <c r="AT121" s="27">
        <f>G121/(100-AU121)*100</f>
        <v>0</v>
      </c>
      <c r="AU121" s="27">
        <v>0</v>
      </c>
      <c r="AV121" s="27">
        <f>L121</f>
        <v>0.024096</v>
      </c>
    </row>
    <row r="122" spans="1:37" ht="12.75">
      <c r="A122" s="5"/>
      <c r="B122" s="55"/>
      <c r="C122" s="55" t="s">
        <v>173</v>
      </c>
      <c r="D122" s="72" t="s">
        <v>345</v>
      </c>
      <c r="E122" s="73"/>
      <c r="F122" s="73"/>
      <c r="G122" s="73"/>
      <c r="H122" s="56">
        <f>SUM(H123:H131)</f>
        <v>0</v>
      </c>
      <c r="I122" s="56">
        <f>SUM(I123:I131)</f>
        <v>0</v>
      </c>
      <c r="J122" s="56">
        <f>H122+I122</f>
        <v>0</v>
      </c>
      <c r="K122" s="57"/>
      <c r="L122" s="56">
        <f>SUM(L123:L131)</f>
        <v>0.6798799999999999</v>
      </c>
      <c r="M122" s="57"/>
      <c r="Y122" s="20"/>
      <c r="AI122" s="29">
        <f>SUM(Z123:Z131)</f>
        <v>0</v>
      </c>
      <c r="AJ122" s="29">
        <f>SUM(AA123:AA131)</f>
        <v>0</v>
      </c>
      <c r="AK122" s="29">
        <f>SUM(AB123:AB131)</f>
        <v>0</v>
      </c>
    </row>
    <row r="123" spans="1:48" ht="12.75">
      <c r="A123" s="4" t="s">
        <v>55</v>
      </c>
      <c r="B123" s="51"/>
      <c r="C123" s="51" t="s">
        <v>174</v>
      </c>
      <c r="D123" s="51" t="s">
        <v>346</v>
      </c>
      <c r="E123" s="51" t="s">
        <v>448</v>
      </c>
      <c r="F123" s="52">
        <v>397</v>
      </c>
      <c r="G123" s="52"/>
      <c r="H123" s="52">
        <f>F123*AE123</f>
        <v>0</v>
      </c>
      <c r="I123" s="52">
        <f>J123-H123</f>
        <v>0</v>
      </c>
      <c r="J123" s="52">
        <f>F123*G123</f>
        <v>0</v>
      </c>
      <c r="K123" s="52">
        <v>0.00058</v>
      </c>
      <c r="L123" s="52">
        <f>F123*K123</f>
        <v>0.23026</v>
      </c>
      <c r="M123" s="53" t="s">
        <v>469</v>
      </c>
      <c r="P123" s="27">
        <f>IF(AG123="5",J123,0)</f>
        <v>0</v>
      </c>
      <c r="R123" s="27">
        <f>IF(AG123="1",H123,0)</f>
        <v>0</v>
      </c>
      <c r="S123" s="27">
        <f>IF(AG123="1",I123,0)</f>
        <v>0</v>
      </c>
      <c r="T123" s="27">
        <f>IF(AG123="7",H123,0)</f>
        <v>0</v>
      </c>
      <c r="U123" s="27">
        <f>IF(AG123="7",I123,0)</f>
        <v>0</v>
      </c>
      <c r="V123" s="27">
        <f>IF(AG123="2",H123,0)</f>
        <v>0</v>
      </c>
      <c r="W123" s="27">
        <f>IF(AG123="2",I123,0)</f>
        <v>0</v>
      </c>
      <c r="X123" s="27">
        <f>IF(AG123="0",J123,0)</f>
        <v>0</v>
      </c>
      <c r="Y123" s="20"/>
      <c r="Z123" s="13">
        <f>IF(AD123=0,J123,0)</f>
        <v>0</v>
      </c>
      <c r="AA123" s="13">
        <f>IF(AD123=15,J123,0)</f>
        <v>0</v>
      </c>
      <c r="AB123" s="13">
        <f>IF(AD123=21,J123,0)</f>
        <v>0</v>
      </c>
      <c r="AD123" s="27">
        <v>15</v>
      </c>
      <c r="AE123" s="27">
        <f>G123*0.116231884057971</f>
        <v>0</v>
      </c>
      <c r="AF123" s="27">
        <f>G123*(1-0.116231884057971)</f>
        <v>0</v>
      </c>
      <c r="AG123" s="23" t="s">
        <v>12</v>
      </c>
      <c r="AM123" s="27">
        <f>F123*AE123</f>
        <v>0</v>
      </c>
      <c r="AN123" s="27">
        <f>F123*AF123</f>
        <v>0</v>
      </c>
      <c r="AO123" s="28" t="s">
        <v>495</v>
      </c>
      <c r="AP123" s="28" t="s">
        <v>523</v>
      </c>
      <c r="AQ123" s="20" t="s">
        <v>530</v>
      </c>
      <c r="AS123" s="27">
        <f>AM123+AN123</f>
        <v>0</v>
      </c>
      <c r="AT123" s="27">
        <f>G123/(100-AU123)*100</f>
        <v>0</v>
      </c>
      <c r="AU123" s="27">
        <v>0</v>
      </c>
      <c r="AV123" s="27">
        <f>L123</f>
        <v>0.23026</v>
      </c>
    </row>
    <row r="124" spans="2:13" ht="12">
      <c r="B124" s="54"/>
      <c r="C124" s="54"/>
      <c r="D124" s="66" t="s">
        <v>578</v>
      </c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1:48" ht="12.75">
      <c r="A125" s="4" t="s">
        <v>56</v>
      </c>
      <c r="B125" s="51"/>
      <c r="C125" s="51" t="s">
        <v>175</v>
      </c>
      <c r="D125" s="51" t="s">
        <v>347</v>
      </c>
      <c r="E125" s="51" t="s">
        <v>448</v>
      </c>
      <c r="F125" s="52">
        <v>224</v>
      </c>
      <c r="G125" s="52"/>
      <c r="H125" s="52">
        <f>F125*AE125</f>
        <v>0</v>
      </c>
      <c r="I125" s="52">
        <f>J125-H125</f>
        <v>0</v>
      </c>
      <c r="J125" s="52">
        <f>F125*G125</f>
        <v>0</v>
      </c>
      <c r="K125" s="52">
        <v>0.00052</v>
      </c>
      <c r="L125" s="52">
        <f>F125*K125</f>
        <v>0.11647999999999999</v>
      </c>
      <c r="M125" s="53" t="s">
        <v>469</v>
      </c>
      <c r="P125" s="27">
        <f>IF(AG125="5",J125,0)</f>
        <v>0</v>
      </c>
      <c r="R125" s="27">
        <f>IF(AG125="1",H125,0)</f>
        <v>0</v>
      </c>
      <c r="S125" s="27">
        <f>IF(AG125="1",I125,0)</f>
        <v>0</v>
      </c>
      <c r="T125" s="27">
        <f>IF(AG125="7",H125,0)</f>
        <v>0</v>
      </c>
      <c r="U125" s="27">
        <f>IF(AG125="7",I125,0)</f>
        <v>0</v>
      </c>
      <c r="V125" s="27">
        <f>IF(AG125="2",H125,0)</f>
        <v>0</v>
      </c>
      <c r="W125" s="27">
        <f>IF(AG125="2",I125,0)</f>
        <v>0</v>
      </c>
      <c r="X125" s="27">
        <f>IF(AG125="0",J125,0)</f>
        <v>0</v>
      </c>
      <c r="Y125" s="20"/>
      <c r="Z125" s="13">
        <f>IF(AD125=0,J125,0)</f>
        <v>0</v>
      </c>
      <c r="AA125" s="13">
        <f>IF(AD125=15,J125,0)</f>
        <v>0</v>
      </c>
      <c r="AB125" s="13">
        <f>IF(AD125=21,J125,0)</f>
        <v>0</v>
      </c>
      <c r="AD125" s="27">
        <v>15</v>
      </c>
      <c r="AE125" s="27">
        <f>G125*0.535195530726257</f>
        <v>0</v>
      </c>
      <c r="AF125" s="27">
        <f>G125*(1-0.535195530726257)</f>
        <v>0</v>
      </c>
      <c r="AG125" s="23" t="s">
        <v>12</v>
      </c>
      <c r="AM125" s="27">
        <f>F125*AE125</f>
        <v>0</v>
      </c>
      <c r="AN125" s="27">
        <f>F125*AF125</f>
        <v>0</v>
      </c>
      <c r="AO125" s="28" t="s">
        <v>495</v>
      </c>
      <c r="AP125" s="28" t="s">
        <v>523</v>
      </c>
      <c r="AQ125" s="20" t="s">
        <v>530</v>
      </c>
      <c r="AS125" s="27">
        <f>AM125+AN125</f>
        <v>0</v>
      </c>
      <c r="AT125" s="27">
        <f>G125/(100-AU125)*100</f>
        <v>0</v>
      </c>
      <c r="AU125" s="27">
        <v>0</v>
      </c>
      <c r="AV125" s="27">
        <f>L125</f>
        <v>0.11647999999999999</v>
      </c>
    </row>
    <row r="126" spans="2:13" ht="12">
      <c r="B126" s="54"/>
      <c r="C126" s="54"/>
      <c r="D126" s="66" t="s">
        <v>348</v>
      </c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1:48" ht="12.75">
      <c r="A127" s="4" t="s">
        <v>57</v>
      </c>
      <c r="B127" s="51"/>
      <c r="C127" s="51" t="s">
        <v>176</v>
      </c>
      <c r="D127" s="51" t="s">
        <v>349</v>
      </c>
      <c r="E127" s="51" t="s">
        <v>448</v>
      </c>
      <c r="F127" s="52">
        <v>218</v>
      </c>
      <c r="G127" s="52"/>
      <c r="H127" s="52">
        <f>F127*AE127</f>
        <v>0</v>
      </c>
      <c r="I127" s="52">
        <f>J127-H127</f>
        <v>0</v>
      </c>
      <c r="J127" s="52">
        <f>F127*G127</f>
        <v>0</v>
      </c>
      <c r="K127" s="52">
        <v>0.00071</v>
      </c>
      <c r="L127" s="52">
        <f>F127*K127</f>
        <v>0.15478</v>
      </c>
      <c r="M127" s="53" t="s">
        <v>469</v>
      </c>
      <c r="P127" s="27">
        <f>IF(AG127="5",J127,0)</f>
        <v>0</v>
      </c>
      <c r="R127" s="27">
        <f>IF(AG127="1",H127,0)</f>
        <v>0</v>
      </c>
      <c r="S127" s="27">
        <f>IF(AG127="1",I127,0)</f>
        <v>0</v>
      </c>
      <c r="T127" s="27">
        <f>IF(AG127="7",H127,0)</f>
        <v>0</v>
      </c>
      <c r="U127" s="27">
        <f>IF(AG127="7",I127,0)</f>
        <v>0</v>
      </c>
      <c r="V127" s="27">
        <f>IF(AG127="2",H127,0)</f>
        <v>0</v>
      </c>
      <c r="W127" s="27">
        <f>IF(AG127="2",I127,0)</f>
        <v>0</v>
      </c>
      <c r="X127" s="27">
        <f>IF(AG127="0",J127,0)</f>
        <v>0</v>
      </c>
      <c r="Y127" s="20"/>
      <c r="Z127" s="13">
        <f>IF(AD127=0,J127,0)</f>
        <v>0</v>
      </c>
      <c r="AA127" s="13">
        <f>IF(AD127=15,J127,0)</f>
        <v>0</v>
      </c>
      <c r="AB127" s="13">
        <f>IF(AD127=21,J127,0)</f>
        <v>0</v>
      </c>
      <c r="AD127" s="27">
        <v>15</v>
      </c>
      <c r="AE127" s="27">
        <f>G127*0.512751937984496</f>
        <v>0</v>
      </c>
      <c r="AF127" s="27">
        <f>G127*(1-0.512751937984496)</f>
        <v>0</v>
      </c>
      <c r="AG127" s="23" t="s">
        <v>12</v>
      </c>
      <c r="AM127" s="27">
        <f>F127*AE127</f>
        <v>0</v>
      </c>
      <c r="AN127" s="27">
        <f>F127*AF127</f>
        <v>0</v>
      </c>
      <c r="AO127" s="28" t="s">
        <v>495</v>
      </c>
      <c r="AP127" s="28" t="s">
        <v>523</v>
      </c>
      <c r="AQ127" s="20" t="s">
        <v>530</v>
      </c>
      <c r="AS127" s="27">
        <f>AM127+AN127</f>
        <v>0</v>
      </c>
      <c r="AT127" s="27">
        <f>G127/(100-AU127)*100</f>
        <v>0</v>
      </c>
      <c r="AU127" s="27">
        <v>0</v>
      </c>
      <c r="AV127" s="27">
        <f>L127</f>
        <v>0.15478</v>
      </c>
    </row>
    <row r="128" spans="2:13" ht="12">
      <c r="B128" s="54"/>
      <c r="C128" s="54"/>
      <c r="D128" s="66" t="s">
        <v>350</v>
      </c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1:48" ht="12.75">
      <c r="A129" s="4" t="s">
        <v>58</v>
      </c>
      <c r="B129" s="51"/>
      <c r="C129" s="51" t="s">
        <v>177</v>
      </c>
      <c r="D129" s="51" t="s">
        <v>351</v>
      </c>
      <c r="E129" s="51" t="s">
        <v>448</v>
      </c>
      <c r="F129" s="52">
        <v>364</v>
      </c>
      <c r="G129" s="52"/>
      <c r="H129" s="52">
        <f>F129*AE129</f>
        <v>0</v>
      </c>
      <c r="I129" s="52">
        <f>J129-H129</f>
        <v>0</v>
      </c>
      <c r="J129" s="52">
        <f>F129*G129</f>
        <v>0</v>
      </c>
      <c r="K129" s="52">
        <v>0.00049</v>
      </c>
      <c r="L129" s="52">
        <f>F129*K129</f>
        <v>0.17836</v>
      </c>
      <c r="M129" s="53" t="s">
        <v>469</v>
      </c>
      <c r="P129" s="27">
        <f>IF(AG129="5",J129,0)</f>
        <v>0</v>
      </c>
      <c r="R129" s="27">
        <f>IF(AG129="1",H129,0)</f>
        <v>0</v>
      </c>
      <c r="S129" s="27">
        <f>IF(AG129="1",I129,0)</f>
        <v>0</v>
      </c>
      <c r="T129" s="27">
        <f>IF(AG129="7",H129,0)</f>
        <v>0</v>
      </c>
      <c r="U129" s="27">
        <f>IF(AG129="7",I129,0)</f>
        <v>0</v>
      </c>
      <c r="V129" s="27">
        <f>IF(AG129="2",H129,0)</f>
        <v>0</v>
      </c>
      <c r="W129" s="27">
        <f>IF(AG129="2",I129,0)</f>
        <v>0</v>
      </c>
      <c r="X129" s="27">
        <f>IF(AG129="0",J129,0)</f>
        <v>0</v>
      </c>
      <c r="Y129" s="20"/>
      <c r="Z129" s="13">
        <f>IF(AD129=0,J129,0)</f>
        <v>0</v>
      </c>
      <c r="AA129" s="13">
        <f>IF(AD129=15,J129,0)</f>
        <v>0</v>
      </c>
      <c r="AB129" s="13">
        <f>IF(AD129=21,J129,0)</f>
        <v>0</v>
      </c>
      <c r="AD129" s="27">
        <v>15</v>
      </c>
      <c r="AE129" s="27">
        <f>G129*0.290070093457944</f>
        <v>0</v>
      </c>
      <c r="AF129" s="27">
        <f>G129*(1-0.290070093457944)</f>
        <v>0</v>
      </c>
      <c r="AG129" s="23" t="s">
        <v>12</v>
      </c>
      <c r="AM129" s="27">
        <f>F129*AE129</f>
        <v>0</v>
      </c>
      <c r="AN129" s="27">
        <f>F129*AF129</f>
        <v>0</v>
      </c>
      <c r="AO129" s="28" t="s">
        <v>495</v>
      </c>
      <c r="AP129" s="28" t="s">
        <v>523</v>
      </c>
      <c r="AQ129" s="20" t="s">
        <v>530</v>
      </c>
      <c r="AS129" s="27">
        <f>AM129+AN129</f>
        <v>0</v>
      </c>
      <c r="AT129" s="27">
        <f>G129/(100-AU129)*100</f>
        <v>0</v>
      </c>
      <c r="AU129" s="27">
        <v>0</v>
      </c>
      <c r="AV129" s="27">
        <f>L129</f>
        <v>0.17836</v>
      </c>
    </row>
    <row r="130" spans="2:13" ht="12">
      <c r="B130" s="54"/>
      <c r="C130" s="54"/>
      <c r="D130" s="66" t="s">
        <v>596</v>
      </c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1:48" ht="12.75">
      <c r="A131" s="4" t="s">
        <v>59</v>
      </c>
      <c r="B131" s="51"/>
      <c r="C131" s="51" t="s">
        <v>178</v>
      </c>
      <c r="D131" s="51" t="s">
        <v>352</v>
      </c>
      <c r="E131" s="51" t="s">
        <v>448</v>
      </c>
      <c r="F131" s="52">
        <v>0</v>
      </c>
      <c r="G131" s="52"/>
      <c r="H131" s="52">
        <f>F131*AE131</f>
        <v>0</v>
      </c>
      <c r="I131" s="52">
        <f>J131-H131</f>
        <v>0</v>
      </c>
      <c r="J131" s="52">
        <f>F131*G131</f>
        <v>0</v>
      </c>
      <c r="K131" s="52">
        <v>0.0103</v>
      </c>
      <c r="L131" s="52">
        <f>F131*K131</f>
        <v>0</v>
      </c>
      <c r="M131" s="53" t="s">
        <v>469</v>
      </c>
      <c r="P131" s="27">
        <f>IF(AG131="5",J131,0)</f>
        <v>0</v>
      </c>
      <c r="R131" s="27">
        <f>IF(AG131="1",H131,0)</f>
        <v>0</v>
      </c>
      <c r="S131" s="27">
        <f>IF(AG131="1",I131,0)</f>
        <v>0</v>
      </c>
      <c r="T131" s="27">
        <f>IF(AG131="7",H131,0)</f>
        <v>0</v>
      </c>
      <c r="U131" s="27">
        <f>IF(AG131="7",I131,0)</f>
        <v>0</v>
      </c>
      <c r="V131" s="27">
        <f>IF(AG131="2",H131,0)</f>
        <v>0</v>
      </c>
      <c r="W131" s="27">
        <f>IF(AG131="2",I131,0)</f>
        <v>0</v>
      </c>
      <c r="X131" s="27">
        <f>IF(AG131="0",J131,0)</f>
        <v>0</v>
      </c>
      <c r="Y131" s="20"/>
      <c r="Z131" s="13">
        <f>IF(AD131=0,J131,0)</f>
        <v>0</v>
      </c>
      <c r="AA131" s="13">
        <f>IF(AD131=15,J131,0)</f>
        <v>0</v>
      </c>
      <c r="AB131" s="13">
        <f>IF(AD131=21,J131,0)</f>
        <v>0</v>
      </c>
      <c r="AD131" s="27">
        <v>15</v>
      </c>
      <c r="AE131" s="27">
        <f>G131*0</f>
        <v>0</v>
      </c>
      <c r="AF131" s="27">
        <f>G131*(1-0)</f>
        <v>0</v>
      </c>
      <c r="AG131" s="23" t="s">
        <v>12</v>
      </c>
      <c r="AM131" s="27">
        <f>F131*AE131</f>
        <v>0</v>
      </c>
      <c r="AN131" s="27">
        <f>F131*AF131</f>
        <v>0</v>
      </c>
      <c r="AO131" s="28" t="s">
        <v>495</v>
      </c>
      <c r="AP131" s="28" t="s">
        <v>523</v>
      </c>
      <c r="AQ131" s="20" t="s">
        <v>530</v>
      </c>
      <c r="AS131" s="27">
        <f>AM131+AN131</f>
        <v>0</v>
      </c>
      <c r="AT131" s="27">
        <f>G131/(100-AU131)*100</f>
        <v>0</v>
      </c>
      <c r="AU131" s="27">
        <v>0</v>
      </c>
      <c r="AV131" s="27">
        <f>L131</f>
        <v>0</v>
      </c>
    </row>
    <row r="132" spans="2:13" ht="12">
      <c r="B132" s="54"/>
      <c r="C132" s="54"/>
      <c r="D132" s="66" t="s">
        <v>353</v>
      </c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1:37" ht="12.75">
      <c r="A133" s="5"/>
      <c r="B133" s="55"/>
      <c r="C133" s="55" t="s">
        <v>179</v>
      </c>
      <c r="D133" s="72" t="s">
        <v>354</v>
      </c>
      <c r="E133" s="73"/>
      <c r="F133" s="73"/>
      <c r="G133" s="73"/>
      <c r="H133" s="56">
        <f>SUM(H134:H136)</f>
        <v>0</v>
      </c>
      <c r="I133" s="56">
        <f>SUM(I134:I136)</f>
        <v>0</v>
      </c>
      <c r="J133" s="56">
        <f>H133+I133</f>
        <v>0</v>
      </c>
      <c r="K133" s="57"/>
      <c r="L133" s="56">
        <f>SUM(L134:L136)</f>
        <v>0</v>
      </c>
      <c r="M133" s="57"/>
      <c r="Y133" s="20"/>
      <c r="AI133" s="29">
        <f>SUM(Z134:Z136)</f>
        <v>0</v>
      </c>
      <c r="AJ133" s="29">
        <f>SUM(AA134:AA136)</f>
        <v>0</v>
      </c>
      <c r="AK133" s="29">
        <f>SUM(AB134:AB136)</f>
        <v>0</v>
      </c>
    </row>
    <row r="134" spans="1:48" ht="12.75">
      <c r="A134" s="4" t="s">
        <v>60</v>
      </c>
      <c r="B134" s="51"/>
      <c r="C134" s="51" t="s">
        <v>180</v>
      </c>
      <c r="D134" s="51" t="s">
        <v>609</v>
      </c>
      <c r="E134" s="51" t="s">
        <v>448</v>
      </c>
      <c r="F134" s="52"/>
      <c r="G134" s="52"/>
      <c r="H134" s="52">
        <f>F134*AE134</f>
        <v>0</v>
      </c>
      <c r="I134" s="52">
        <f>J134-H134</f>
        <v>0</v>
      </c>
      <c r="J134" s="52">
        <f>F134*G134</f>
        <v>0</v>
      </c>
      <c r="K134" s="52">
        <v>1.68</v>
      </c>
      <c r="L134" s="52">
        <f>F134*K134</f>
        <v>0</v>
      </c>
      <c r="M134" s="53" t="s">
        <v>469</v>
      </c>
      <c r="P134" s="27">
        <f>IF(AG134="5",J134,0)</f>
        <v>0</v>
      </c>
      <c r="R134" s="27">
        <f>IF(AG134="1",H134,0)</f>
        <v>0</v>
      </c>
      <c r="S134" s="27">
        <f>IF(AG134="1",I134,0)</f>
        <v>0</v>
      </c>
      <c r="T134" s="27">
        <f>IF(AG134="7",H134,0)</f>
        <v>0</v>
      </c>
      <c r="U134" s="27">
        <f>IF(AG134="7",I134,0)</f>
        <v>0</v>
      </c>
      <c r="V134" s="27">
        <f>IF(AG134="2",H134,0)</f>
        <v>0</v>
      </c>
      <c r="W134" s="27">
        <f>IF(AG134="2",I134,0)</f>
        <v>0</v>
      </c>
      <c r="X134" s="27">
        <f>IF(AG134="0",J134,0)</f>
        <v>0</v>
      </c>
      <c r="Y134" s="20"/>
      <c r="Z134" s="13">
        <f>IF(AD134=0,J134,0)</f>
        <v>0</v>
      </c>
      <c r="AA134" s="13">
        <f>IF(AD134=15,J134,0)</f>
        <v>0</v>
      </c>
      <c r="AB134" s="13">
        <f>IF(AD134=21,J134,0)</f>
        <v>0</v>
      </c>
      <c r="AD134" s="27">
        <v>15</v>
      </c>
      <c r="AE134" s="27">
        <f>G134*0</f>
        <v>0</v>
      </c>
      <c r="AF134" s="27">
        <f>G134*(1-0)</f>
        <v>0</v>
      </c>
      <c r="AG134" s="23" t="s">
        <v>12</v>
      </c>
      <c r="AM134" s="27">
        <f>F134*AE134</f>
        <v>0</v>
      </c>
      <c r="AN134" s="27">
        <f>F134*AF134</f>
        <v>0</v>
      </c>
      <c r="AO134" s="28" t="s">
        <v>496</v>
      </c>
      <c r="AP134" s="28" t="s">
        <v>523</v>
      </c>
      <c r="AQ134" s="20" t="s">
        <v>530</v>
      </c>
      <c r="AS134" s="27">
        <f>AM134+AN134</f>
        <v>0</v>
      </c>
      <c r="AT134" s="27">
        <f>G134/(100-AU134)*100</f>
        <v>0</v>
      </c>
      <c r="AU134" s="27">
        <v>0</v>
      </c>
      <c r="AV134" s="27">
        <f>L134</f>
        <v>0</v>
      </c>
    </row>
    <row r="135" spans="2:13" ht="12">
      <c r="B135" s="54"/>
      <c r="C135" s="54"/>
      <c r="D135" s="66" t="s">
        <v>579</v>
      </c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1:48" ht="12.75">
      <c r="A136" s="4" t="s">
        <v>61</v>
      </c>
      <c r="B136" s="51"/>
      <c r="C136" s="51" t="s">
        <v>181</v>
      </c>
      <c r="D136" s="51" t="s">
        <v>355</v>
      </c>
      <c r="E136" s="51" t="s">
        <v>448</v>
      </c>
      <c r="F136" s="52"/>
      <c r="G136" s="52"/>
      <c r="H136" s="52">
        <f>F136*AE136</f>
        <v>0</v>
      </c>
      <c r="I136" s="52">
        <f>J136-H136</f>
        <v>0</v>
      </c>
      <c r="J136" s="52">
        <f>F136*G136</f>
        <v>0</v>
      </c>
      <c r="K136" s="52">
        <v>0.25</v>
      </c>
      <c r="L136" s="52">
        <f>F136*K136</f>
        <v>0</v>
      </c>
      <c r="M136" s="53" t="s">
        <v>469</v>
      </c>
      <c r="P136" s="27">
        <f>IF(AG136="5",J136,0)</f>
        <v>0</v>
      </c>
      <c r="R136" s="27">
        <f>IF(AG136="1",H136,0)</f>
        <v>0</v>
      </c>
      <c r="S136" s="27">
        <f>IF(AG136="1",I136,0)</f>
        <v>0</v>
      </c>
      <c r="T136" s="27">
        <f>IF(AG136="7",H136,0)</f>
        <v>0</v>
      </c>
      <c r="U136" s="27">
        <f>IF(AG136="7",I136,0)</f>
        <v>0</v>
      </c>
      <c r="V136" s="27">
        <f>IF(AG136="2",H136,0)</f>
        <v>0</v>
      </c>
      <c r="W136" s="27">
        <f>IF(AG136="2",I136,0)</f>
        <v>0</v>
      </c>
      <c r="X136" s="27">
        <f>IF(AG136="0",J136,0)</f>
        <v>0</v>
      </c>
      <c r="Y136" s="20"/>
      <c r="Z136" s="13">
        <f>IF(AD136=0,J136,0)</f>
        <v>0</v>
      </c>
      <c r="AA136" s="13">
        <f>IF(AD136=15,J136,0)</f>
        <v>0</v>
      </c>
      <c r="AB136" s="13">
        <f>IF(AD136=21,J136,0)</f>
        <v>0</v>
      </c>
      <c r="AD136" s="27">
        <v>15</v>
      </c>
      <c r="AE136" s="27">
        <f>G136*0</f>
        <v>0</v>
      </c>
      <c r="AF136" s="27">
        <f>G136*(1-0)</f>
        <v>0</v>
      </c>
      <c r="AG136" s="23" t="s">
        <v>12</v>
      </c>
      <c r="AM136" s="27">
        <f>F136*AE136</f>
        <v>0</v>
      </c>
      <c r="AN136" s="27">
        <f>F136*AF136</f>
        <v>0</v>
      </c>
      <c r="AO136" s="28" t="s">
        <v>496</v>
      </c>
      <c r="AP136" s="28" t="s">
        <v>523</v>
      </c>
      <c r="AQ136" s="20" t="s">
        <v>530</v>
      </c>
      <c r="AS136" s="27">
        <f>AM136+AN136</f>
        <v>0</v>
      </c>
      <c r="AT136" s="27">
        <f>G136/(100-AU136)*100</f>
        <v>0</v>
      </c>
      <c r="AU136" s="27">
        <v>0</v>
      </c>
      <c r="AV136" s="27">
        <f>L136</f>
        <v>0</v>
      </c>
    </row>
    <row r="137" spans="2:13" ht="12">
      <c r="B137" s="54"/>
      <c r="C137" s="54"/>
      <c r="D137" s="66" t="s">
        <v>610</v>
      </c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37" ht="12.75">
      <c r="A138" s="5"/>
      <c r="B138" s="55"/>
      <c r="C138" s="55" t="s">
        <v>182</v>
      </c>
      <c r="D138" s="72" t="s">
        <v>356</v>
      </c>
      <c r="E138" s="73"/>
      <c r="F138" s="73"/>
      <c r="G138" s="73"/>
      <c r="H138" s="56">
        <f>SUM(H139:H139)</f>
        <v>0</v>
      </c>
      <c r="I138" s="56">
        <f>SUM(I139:I139)</f>
        <v>0</v>
      </c>
      <c r="J138" s="56">
        <f>H138+I138</f>
        <v>0</v>
      </c>
      <c r="K138" s="57"/>
      <c r="L138" s="56">
        <f>SUM(L139:L139)</f>
        <v>0</v>
      </c>
      <c r="M138" s="57"/>
      <c r="Y138" s="20"/>
      <c r="AI138" s="29">
        <f>SUM(Z139:Z139)</f>
        <v>0</v>
      </c>
      <c r="AJ138" s="29">
        <f>SUM(AA139:AA139)</f>
        <v>0</v>
      </c>
      <c r="AK138" s="29">
        <f>SUM(AB139:AB139)</f>
        <v>0</v>
      </c>
    </row>
    <row r="139" spans="1:48" ht="12.75">
      <c r="A139" s="4" t="s">
        <v>62</v>
      </c>
      <c r="B139" s="51"/>
      <c r="C139" s="51" t="s">
        <v>183</v>
      </c>
      <c r="D139" s="51" t="s">
        <v>620</v>
      </c>
      <c r="E139" s="51" t="s">
        <v>449</v>
      </c>
      <c r="F139" s="52">
        <v>0</v>
      </c>
      <c r="G139" s="52"/>
      <c r="H139" s="52">
        <f>F139*AE139</f>
        <v>0</v>
      </c>
      <c r="I139" s="52">
        <f>J139-H139</f>
        <v>0</v>
      </c>
      <c r="J139" s="52">
        <f>F139*G139</f>
        <v>0</v>
      </c>
      <c r="K139" s="52">
        <v>0</v>
      </c>
      <c r="L139" s="52">
        <f>F139*K139</f>
        <v>0</v>
      </c>
      <c r="M139" s="53" t="s">
        <v>469</v>
      </c>
      <c r="P139" s="27">
        <f>IF(AG139="5",J139,0)</f>
        <v>0</v>
      </c>
      <c r="R139" s="27">
        <f>IF(AG139="1",H139,0)</f>
        <v>0</v>
      </c>
      <c r="S139" s="27">
        <f>IF(AG139="1",I139,0)</f>
        <v>0</v>
      </c>
      <c r="T139" s="27">
        <f>IF(AG139="7",H139,0)</f>
        <v>0</v>
      </c>
      <c r="U139" s="27">
        <f>IF(AG139="7",I139,0)</f>
        <v>0</v>
      </c>
      <c r="V139" s="27">
        <f>IF(AG139="2",H139,0)</f>
        <v>0</v>
      </c>
      <c r="W139" s="27">
        <f>IF(AG139="2",I139,0)</f>
        <v>0</v>
      </c>
      <c r="X139" s="27">
        <f>IF(AG139="0",J139,0)</f>
        <v>0</v>
      </c>
      <c r="Y139" s="20"/>
      <c r="Z139" s="13">
        <f>IF(AD139=0,J139,0)</f>
        <v>0</v>
      </c>
      <c r="AA139" s="13">
        <f>IF(AD139=15,J139,0)</f>
        <v>0</v>
      </c>
      <c r="AB139" s="13">
        <f>IF(AD139=21,J139,0)</f>
        <v>0</v>
      </c>
      <c r="AD139" s="27">
        <v>15</v>
      </c>
      <c r="AE139" s="27">
        <f>G139*0.0929166666666667</f>
        <v>0</v>
      </c>
      <c r="AF139" s="27">
        <f>G139*(1-0.0929166666666667)</f>
        <v>0</v>
      </c>
      <c r="AG139" s="23" t="s">
        <v>12</v>
      </c>
      <c r="AM139" s="27">
        <f>F139*AE139</f>
        <v>0</v>
      </c>
      <c r="AN139" s="27">
        <f>F139*AF139</f>
        <v>0</v>
      </c>
      <c r="AO139" s="28" t="s">
        <v>497</v>
      </c>
      <c r="AP139" s="28" t="s">
        <v>524</v>
      </c>
      <c r="AQ139" s="20" t="s">
        <v>530</v>
      </c>
      <c r="AS139" s="27">
        <f>AM139+AN139</f>
        <v>0</v>
      </c>
      <c r="AT139" s="27">
        <f>G139/(100-AU139)*100</f>
        <v>0</v>
      </c>
      <c r="AU139" s="27">
        <v>0</v>
      </c>
      <c r="AV139" s="27">
        <f>L139</f>
        <v>0</v>
      </c>
    </row>
    <row r="140" spans="1:37" ht="12.75">
      <c r="A140" s="5"/>
      <c r="B140" s="55"/>
      <c r="C140" s="55" t="s">
        <v>184</v>
      </c>
      <c r="D140" s="72" t="s">
        <v>357</v>
      </c>
      <c r="E140" s="73"/>
      <c r="F140" s="73"/>
      <c r="G140" s="73"/>
      <c r="H140" s="56">
        <f>SUM(H141:H141)</f>
        <v>0</v>
      </c>
      <c r="I140" s="56">
        <f>SUM(I141:I141)</f>
        <v>0</v>
      </c>
      <c r="J140" s="56">
        <f>H140+I140</f>
        <v>0</v>
      </c>
      <c r="K140" s="57"/>
      <c r="L140" s="56">
        <f>SUM(L141:L141)</f>
        <v>0</v>
      </c>
      <c r="M140" s="57"/>
      <c r="Y140" s="20"/>
      <c r="AI140" s="29">
        <f>SUM(Z141:Z141)</f>
        <v>0</v>
      </c>
      <c r="AJ140" s="29">
        <f>SUM(AA141:AA141)</f>
        <v>0</v>
      </c>
      <c r="AK140" s="29">
        <f>SUM(AB141:AB141)</f>
        <v>0</v>
      </c>
    </row>
    <row r="141" spans="1:48" ht="12.75">
      <c r="A141" s="4" t="s">
        <v>63</v>
      </c>
      <c r="B141" s="51"/>
      <c r="C141" s="51" t="s">
        <v>185</v>
      </c>
      <c r="D141" s="51" t="s">
        <v>358</v>
      </c>
      <c r="E141" s="51" t="s">
        <v>450</v>
      </c>
      <c r="F141" s="52">
        <v>0</v>
      </c>
      <c r="G141" s="52"/>
      <c r="H141" s="52">
        <f>F141*AE141</f>
        <v>0</v>
      </c>
      <c r="I141" s="52">
        <f>J141-H141</f>
        <v>0</v>
      </c>
      <c r="J141" s="52">
        <f>F141*G141</f>
        <v>0</v>
      </c>
      <c r="K141" s="52">
        <v>0.0007</v>
      </c>
      <c r="L141" s="52">
        <f>F141*K141</f>
        <v>0</v>
      </c>
      <c r="M141" s="53" t="s">
        <v>469</v>
      </c>
      <c r="P141" s="27">
        <f>IF(AG141="5",J141,0)</f>
        <v>0</v>
      </c>
      <c r="R141" s="27">
        <f>IF(AG141="1",H141,0)</f>
        <v>0</v>
      </c>
      <c r="S141" s="27">
        <f>IF(AG141="1",I141,0)</f>
        <v>0</v>
      </c>
      <c r="T141" s="27">
        <f>IF(AG141="7",H141,0)</f>
        <v>0</v>
      </c>
      <c r="U141" s="27">
        <f>IF(AG141="7",I141,0)</f>
        <v>0</v>
      </c>
      <c r="V141" s="27">
        <f>IF(AG141="2",H141,0)</f>
        <v>0</v>
      </c>
      <c r="W141" s="27">
        <f>IF(AG141="2",I141,0)</f>
        <v>0</v>
      </c>
      <c r="X141" s="27">
        <f>IF(AG141="0",J141,0)</f>
        <v>0</v>
      </c>
      <c r="Y141" s="20"/>
      <c r="Z141" s="13">
        <f>IF(AD141=0,J141,0)</f>
        <v>0</v>
      </c>
      <c r="AA141" s="13">
        <f>IF(AD141=15,J141,0)</f>
        <v>0</v>
      </c>
      <c r="AB141" s="13">
        <f>IF(AD141=21,J141,0)</f>
        <v>0</v>
      </c>
      <c r="AD141" s="27">
        <v>15</v>
      </c>
      <c r="AE141" s="27">
        <f>G141*0.458178217821782</f>
        <v>0</v>
      </c>
      <c r="AF141" s="27">
        <f>G141*(1-0.458178217821782)</f>
        <v>0</v>
      </c>
      <c r="AG141" s="23" t="s">
        <v>12</v>
      </c>
      <c r="AM141" s="27">
        <f>F141*AE141</f>
        <v>0</v>
      </c>
      <c r="AN141" s="27">
        <f>F141*AF141</f>
        <v>0</v>
      </c>
      <c r="AO141" s="28" t="s">
        <v>498</v>
      </c>
      <c r="AP141" s="28" t="s">
        <v>524</v>
      </c>
      <c r="AQ141" s="20" t="s">
        <v>530</v>
      </c>
      <c r="AS141" s="27">
        <f>AM141+AN141</f>
        <v>0</v>
      </c>
      <c r="AT141" s="27">
        <f>G141/(100-AU141)*100</f>
        <v>0</v>
      </c>
      <c r="AU141" s="27">
        <v>0</v>
      </c>
      <c r="AV141" s="27">
        <f>L141</f>
        <v>0</v>
      </c>
    </row>
    <row r="142" spans="2:13" ht="12">
      <c r="B142" s="54"/>
      <c r="C142" s="54"/>
      <c r="D142" s="66" t="s">
        <v>359</v>
      </c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1:37" ht="12.75">
      <c r="A143" s="5"/>
      <c r="B143" s="55"/>
      <c r="C143" s="55" t="s">
        <v>186</v>
      </c>
      <c r="D143" s="72" t="s">
        <v>360</v>
      </c>
      <c r="E143" s="73"/>
      <c r="F143" s="73"/>
      <c r="G143" s="73"/>
      <c r="H143" s="56">
        <f>SUM(H144:H144)</f>
        <v>0</v>
      </c>
      <c r="I143" s="56">
        <f>SUM(I144:I144)</f>
        <v>0</v>
      </c>
      <c r="J143" s="56">
        <f>H143+I143</f>
        <v>0</v>
      </c>
      <c r="K143" s="57"/>
      <c r="L143" s="56">
        <f>SUM(L144:L144)</f>
        <v>0</v>
      </c>
      <c r="M143" s="57"/>
      <c r="Y143" s="20"/>
      <c r="AI143" s="29">
        <f>SUM(Z144:Z144)</f>
        <v>0</v>
      </c>
      <c r="AJ143" s="29">
        <f>SUM(AA144:AA144)</f>
        <v>0</v>
      </c>
      <c r="AK143" s="29">
        <f>SUM(AB144:AB144)</f>
        <v>0</v>
      </c>
    </row>
    <row r="144" spans="1:48" ht="12.75">
      <c r="A144" s="4" t="s">
        <v>64</v>
      </c>
      <c r="B144" s="51"/>
      <c r="C144" s="51" t="s">
        <v>616</v>
      </c>
      <c r="D144" s="51" t="s">
        <v>612</v>
      </c>
      <c r="E144" s="51" t="s">
        <v>448</v>
      </c>
      <c r="F144" s="52">
        <v>0</v>
      </c>
      <c r="G144" s="52"/>
      <c r="H144" s="52">
        <f>F144*AE144</f>
        <v>0</v>
      </c>
      <c r="I144" s="52">
        <f>J144-H144</f>
        <v>0</v>
      </c>
      <c r="J144" s="52">
        <f>F144*G144</f>
        <v>0</v>
      </c>
      <c r="K144" s="52">
        <v>42</v>
      </c>
      <c r="L144" s="52">
        <f>F144*K144</f>
        <v>0</v>
      </c>
      <c r="M144" s="53" t="s">
        <v>469</v>
      </c>
      <c r="P144" s="27">
        <f>IF(AG144="5",J144,0)</f>
        <v>0</v>
      </c>
      <c r="R144" s="27">
        <f>IF(AG144="1",H144,0)</f>
        <v>0</v>
      </c>
      <c r="S144" s="27">
        <f>IF(AG144="1",I144,0)</f>
        <v>0</v>
      </c>
      <c r="T144" s="27">
        <f>IF(AG144="7",H144,0)</f>
        <v>0</v>
      </c>
      <c r="U144" s="27">
        <f>IF(AG144="7",I144,0)</f>
        <v>0</v>
      </c>
      <c r="V144" s="27">
        <f>IF(AG144="2",H144,0)</f>
        <v>0</v>
      </c>
      <c r="W144" s="27">
        <f>IF(AG144="2",I144,0)</f>
        <v>0</v>
      </c>
      <c r="X144" s="27">
        <f>IF(AG144="0",J144,0)</f>
        <v>0</v>
      </c>
      <c r="Y144" s="20"/>
      <c r="Z144" s="13">
        <f>IF(AD144=0,J144,0)</f>
        <v>0</v>
      </c>
      <c r="AA144" s="13">
        <f>IF(AD144=15,J144,0)</f>
        <v>0</v>
      </c>
      <c r="AB144" s="13">
        <f>IF(AD144=21,J144,0)</f>
        <v>0</v>
      </c>
      <c r="AD144" s="27">
        <v>15</v>
      </c>
      <c r="AE144" s="27">
        <f>G144*0</f>
        <v>0</v>
      </c>
      <c r="AF144" s="27">
        <f>G144*(1-0)</f>
        <v>0</v>
      </c>
      <c r="AG144" s="23" t="s">
        <v>12</v>
      </c>
      <c r="AM144" s="27">
        <f>F144*AE144</f>
        <v>0</v>
      </c>
      <c r="AN144" s="27">
        <f>F144*AF144</f>
        <v>0</v>
      </c>
      <c r="AO144" s="28" t="s">
        <v>499</v>
      </c>
      <c r="AP144" s="28" t="s">
        <v>525</v>
      </c>
      <c r="AQ144" s="20" t="s">
        <v>530</v>
      </c>
      <c r="AS144" s="27">
        <f>AM144+AN144</f>
        <v>0</v>
      </c>
      <c r="AT144" s="27">
        <f>G144/(100-AU144)*100</f>
        <v>0</v>
      </c>
      <c r="AU144" s="27">
        <v>0</v>
      </c>
      <c r="AV144" s="27">
        <f>L144</f>
        <v>0</v>
      </c>
    </row>
    <row r="145" spans="2:13" ht="12">
      <c r="B145" s="54"/>
      <c r="C145" s="54"/>
      <c r="D145" s="66" t="s">
        <v>613</v>
      </c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1:37" ht="12.75">
      <c r="A146" s="5"/>
      <c r="B146" s="55"/>
      <c r="C146" s="55" t="s">
        <v>187</v>
      </c>
      <c r="D146" s="72" t="s">
        <v>361</v>
      </c>
      <c r="E146" s="73"/>
      <c r="F146" s="73"/>
      <c r="G146" s="73"/>
      <c r="H146" s="56">
        <f>SUM(H147:H164)</f>
        <v>0</v>
      </c>
      <c r="I146" s="56">
        <f>SUM(I147:I164)</f>
        <v>0</v>
      </c>
      <c r="J146" s="56">
        <f>H146+I146</f>
        <v>0</v>
      </c>
      <c r="K146" s="57"/>
      <c r="L146" s="56">
        <f>SUM(L147:L164)</f>
        <v>1768.3365000000001</v>
      </c>
      <c r="M146" s="57"/>
      <c r="Y146" s="20"/>
      <c r="AI146" s="29">
        <f>SUM(Z147:Z164)</f>
        <v>0</v>
      </c>
      <c r="AJ146" s="29">
        <f>SUM(AA147:AA164)</f>
        <v>0</v>
      </c>
      <c r="AK146" s="29">
        <f>SUM(AB147:AB164)</f>
        <v>0</v>
      </c>
    </row>
    <row r="147" spans="1:48" ht="12.75">
      <c r="A147" s="4" t="s">
        <v>65</v>
      </c>
      <c r="B147" s="51"/>
      <c r="C147" s="51" t="s">
        <v>188</v>
      </c>
      <c r="D147" s="51" t="s">
        <v>362</v>
      </c>
      <c r="E147" s="51" t="s">
        <v>448</v>
      </c>
      <c r="F147" s="52">
        <v>14.2</v>
      </c>
      <c r="G147" s="52"/>
      <c r="H147" s="52">
        <f>F147*AE147</f>
        <v>0</v>
      </c>
      <c r="I147" s="52">
        <f>J147-H147</f>
        <v>0</v>
      </c>
      <c r="J147" s="52">
        <f>F147*G147</f>
        <v>0</v>
      </c>
      <c r="K147" s="52">
        <v>0.01884</v>
      </c>
      <c r="L147" s="52">
        <f>F147*K147</f>
        <v>0.267528</v>
      </c>
      <c r="M147" s="53" t="s">
        <v>469</v>
      </c>
      <c r="P147" s="27">
        <f>IF(AG147="5",J147,0)</f>
        <v>0</v>
      </c>
      <c r="R147" s="27">
        <f>IF(AG147="1",H147,0)</f>
        <v>0</v>
      </c>
      <c r="S147" s="27">
        <f>IF(AG147="1",I147,0)</f>
        <v>0</v>
      </c>
      <c r="T147" s="27">
        <f>IF(AG147="7",H147,0)</f>
        <v>0</v>
      </c>
      <c r="U147" s="27">
        <f>IF(AG147="7",I147,0)</f>
        <v>0</v>
      </c>
      <c r="V147" s="27">
        <f>IF(AG147="2",H147,0)</f>
        <v>0</v>
      </c>
      <c r="W147" s="27">
        <f>IF(AG147="2",I147,0)</f>
        <v>0</v>
      </c>
      <c r="X147" s="27">
        <f>IF(AG147="0",J147,0)</f>
        <v>0</v>
      </c>
      <c r="Y147" s="20"/>
      <c r="Z147" s="13">
        <f>IF(AD147=0,J147,0)</f>
        <v>0</v>
      </c>
      <c r="AA147" s="13">
        <f>IF(AD147=15,J147,0)</f>
        <v>0</v>
      </c>
      <c r="AB147" s="13">
        <f>IF(AD147=21,J147,0)</f>
        <v>0</v>
      </c>
      <c r="AD147" s="27">
        <v>15</v>
      </c>
      <c r="AE147" s="27">
        <f>G147*0.526521492816631</f>
        <v>0</v>
      </c>
      <c r="AF147" s="27">
        <f>G147*(1-0.526521492816631)</f>
        <v>0</v>
      </c>
      <c r="AG147" s="23" t="s">
        <v>12</v>
      </c>
      <c r="AM147" s="27">
        <f>F147*AE147</f>
        <v>0</v>
      </c>
      <c r="AN147" s="27">
        <f>F147*AF147</f>
        <v>0</v>
      </c>
      <c r="AO147" s="28" t="s">
        <v>500</v>
      </c>
      <c r="AP147" s="28" t="s">
        <v>525</v>
      </c>
      <c r="AQ147" s="20" t="s">
        <v>530</v>
      </c>
      <c r="AS147" s="27">
        <f>AM147+AN147</f>
        <v>0</v>
      </c>
      <c r="AT147" s="27">
        <f>G147/(100-AU147)*100</f>
        <v>0</v>
      </c>
      <c r="AU147" s="27">
        <v>0</v>
      </c>
      <c r="AV147" s="27">
        <f>L147</f>
        <v>0.267528</v>
      </c>
    </row>
    <row r="148" spans="2:13" ht="12">
      <c r="B148" s="54"/>
      <c r="C148" s="54"/>
      <c r="D148" s="66" t="s">
        <v>363</v>
      </c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1:48" ht="12.75">
      <c r="A149" s="4" t="s">
        <v>66</v>
      </c>
      <c r="B149" s="51"/>
      <c r="C149" s="51" t="s">
        <v>189</v>
      </c>
      <c r="D149" s="51" t="s">
        <v>364</v>
      </c>
      <c r="E149" s="51" t="s">
        <v>449</v>
      </c>
      <c r="F149" s="52">
        <v>106</v>
      </c>
      <c r="G149" s="52"/>
      <c r="H149" s="52">
        <f>F149*AE149</f>
        <v>0</v>
      </c>
      <c r="I149" s="52">
        <f>J149-H149</f>
        <v>0</v>
      </c>
      <c r="J149" s="52">
        <f>F149*G149</f>
        <v>0</v>
      </c>
      <c r="K149" s="52">
        <v>0.00333</v>
      </c>
      <c r="L149" s="52">
        <f>F149*K149</f>
        <v>0.35298</v>
      </c>
      <c r="M149" s="53" t="s">
        <v>469</v>
      </c>
      <c r="P149" s="27">
        <f>IF(AG149="5",J149,0)</f>
        <v>0</v>
      </c>
      <c r="R149" s="27">
        <f>IF(AG149="1",H149,0)</f>
        <v>0</v>
      </c>
      <c r="S149" s="27">
        <f>IF(AG149="1",I149,0)</f>
        <v>0</v>
      </c>
      <c r="T149" s="27">
        <f>IF(AG149="7",H149,0)</f>
        <v>0</v>
      </c>
      <c r="U149" s="27">
        <f>IF(AG149="7",I149,0)</f>
        <v>0</v>
      </c>
      <c r="V149" s="27">
        <f>IF(AG149="2",H149,0)</f>
        <v>0</v>
      </c>
      <c r="W149" s="27">
        <f>IF(AG149="2",I149,0)</f>
        <v>0</v>
      </c>
      <c r="X149" s="27">
        <f>IF(AG149="0",J149,0)</f>
        <v>0</v>
      </c>
      <c r="Y149" s="20"/>
      <c r="Z149" s="13">
        <f>IF(AD149=0,J149,0)</f>
        <v>0</v>
      </c>
      <c r="AA149" s="13">
        <f>IF(AD149=15,J149,0)</f>
        <v>0</v>
      </c>
      <c r="AB149" s="13">
        <f>IF(AD149=21,J149,0)</f>
        <v>0</v>
      </c>
      <c r="AD149" s="27">
        <v>15</v>
      </c>
      <c r="AE149" s="27">
        <f>G149*0.531080461011093</f>
        <v>0</v>
      </c>
      <c r="AF149" s="27">
        <f>G149*(1-0.531080461011093)</f>
        <v>0</v>
      </c>
      <c r="AG149" s="23" t="s">
        <v>12</v>
      </c>
      <c r="AM149" s="27">
        <f>F149*AE149</f>
        <v>0</v>
      </c>
      <c r="AN149" s="27">
        <f>F149*AF149</f>
        <v>0</v>
      </c>
      <c r="AO149" s="28" t="s">
        <v>500</v>
      </c>
      <c r="AP149" s="28" t="s">
        <v>525</v>
      </c>
      <c r="AQ149" s="20" t="s">
        <v>530</v>
      </c>
      <c r="AS149" s="27">
        <f>AM149+AN149</f>
        <v>0</v>
      </c>
      <c r="AT149" s="27">
        <f>G149/(100-AU149)*100</f>
        <v>0</v>
      </c>
      <c r="AU149" s="27">
        <v>0</v>
      </c>
      <c r="AV149" s="27">
        <f>L149</f>
        <v>0.35298</v>
      </c>
    </row>
    <row r="150" spans="2:13" ht="12">
      <c r="B150" s="54"/>
      <c r="C150" s="54"/>
      <c r="D150" s="66" t="s">
        <v>365</v>
      </c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48" ht="12.75">
      <c r="A151" s="4" t="s">
        <v>67</v>
      </c>
      <c r="B151" s="51"/>
      <c r="C151" s="51" t="s">
        <v>190</v>
      </c>
      <c r="D151" s="51" t="s">
        <v>366</v>
      </c>
      <c r="E151" s="51" t="s">
        <v>450</v>
      </c>
      <c r="F151" s="52">
        <v>6</v>
      </c>
      <c r="G151" s="52"/>
      <c r="H151" s="52">
        <f>F151*AE151</f>
        <v>0</v>
      </c>
      <c r="I151" s="52">
        <f>J151-H151</f>
        <v>0</v>
      </c>
      <c r="J151" s="52">
        <f>F151*G151</f>
        <v>0</v>
      </c>
      <c r="K151" s="52">
        <v>0.00406</v>
      </c>
      <c r="L151" s="52">
        <f>F151*K151</f>
        <v>0.02436</v>
      </c>
      <c r="M151" s="53" t="s">
        <v>469</v>
      </c>
      <c r="P151" s="27">
        <f>IF(AG151="5",J151,0)</f>
        <v>0</v>
      </c>
      <c r="R151" s="27">
        <f>IF(AG151="1",H151,0)</f>
        <v>0</v>
      </c>
      <c r="S151" s="27">
        <f>IF(AG151="1",I151,0)</f>
        <v>0</v>
      </c>
      <c r="T151" s="27">
        <f>IF(AG151="7",H151,0)</f>
        <v>0</v>
      </c>
      <c r="U151" s="27">
        <f>IF(AG151="7",I151,0)</f>
        <v>0</v>
      </c>
      <c r="V151" s="27">
        <f>IF(AG151="2",H151,0)</f>
        <v>0</v>
      </c>
      <c r="W151" s="27">
        <f>IF(AG151="2",I151,0)</f>
        <v>0</v>
      </c>
      <c r="X151" s="27">
        <f>IF(AG151="0",J151,0)</f>
        <v>0</v>
      </c>
      <c r="Y151" s="20"/>
      <c r="Z151" s="13">
        <f>IF(AD151=0,J151,0)</f>
        <v>0</v>
      </c>
      <c r="AA151" s="13">
        <f>IF(AD151=15,J151,0)</f>
        <v>0</v>
      </c>
      <c r="AB151" s="13">
        <f>IF(AD151=21,J151,0)</f>
        <v>0</v>
      </c>
      <c r="AD151" s="27">
        <v>15</v>
      </c>
      <c r="AE151" s="27">
        <f>G151*0.52213785046729</f>
        <v>0</v>
      </c>
      <c r="AF151" s="27">
        <f>G151*(1-0.52213785046729)</f>
        <v>0</v>
      </c>
      <c r="AG151" s="23" t="s">
        <v>12</v>
      </c>
      <c r="AM151" s="27">
        <f>F151*AE151</f>
        <v>0</v>
      </c>
      <c r="AN151" s="27">
        <f>F151*AF151</f>
        <v>0</v>
      </c>
      <c r="AO151" s="28" t="s">
        <v>500</v>
      </c>
      <c r="AP151" s="28" t="s">
        <v>525</v>
      </c>
      <c r="AQ151" s="20" t="s">
        <v>530</v>
      </c>
      <c r="AS151" s="27">
        <f>AM151+AN151</f>
        <v>0</v>
      </c>
      <c r="AT151" s="27">
        <f>G151/(100-AU151)*100</f>
        <v>0</v>
      </c>
      <c r="AU151" s="27">
        <v>0</v>
      </c>
      <c r="AV151" s="27">
        <f>L151</f>
        <v>0.02436</v>
      </c>
    </row>
    <row r="152" spans="2:13" ht="12">
      <c r="B152" s="54"/>
      <c r="C152" s="54"/>
      <c r="D152" s="66" t="s">
        <v>365</v>
      </c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1:48" ht="12.75">
      <c r="A153" s="4" t="s">
        <v>68</v>
      </c>
      <c r="B153" s="51"/>
      <c r="C153" s="51" t="s">
        <v>188</v>
      </c>
      <c r="D153" s="51" t="s">
        <v>362</v>
      </c>
      <c r="E153" s="51" t="s">
        <v>448</v>
      </c>
      <c r="F153" s="52">
        <v>484</v>
      </c>
      <c r="G153" s="52"/>
      <c r="H153" s="52">
        <f>F153*AE153</f>
        <v>0</v>
      </c>
      <c r="I153" s="52">
        <f>J153-H153</f>
        <v>0</v>
      </c>
      <c r="J153" s="52">
        <f>F153*G153</f>
        <v>0</v>
      </c>
      <c r="K153" s="52">
        <v>3.65</v>
      </c>
      <c r="L153" s="52">
        <f>F153*K153</f>
        <v>1766.6</v>
      </c>
      <c r="M153" s="53" t="s">
        <v>469</v>
      </c>
      <c r="P153" s="27">
        <f>IF(AG153="5",J153,0)</f>
        <v>0</v>
      </c>
      <c r="R153" s="27">
        <f>IF(AG153="1",H153,0)</f>
        <v>0</v>
      </c>
      <c r="S153" s="27">
        <f>IF(AG153="1",I153,0)</f>
        <v>0</v>
      </c>
      <c r="T153" s="27">
        <f>IF(AG153="7",H153,0)</f>
        <v>0</v>
      </c>
      <c r="U153" s="27">
        <f>IF(AG153="7",I153,0)</f>
        <v>0</v>
      </c>
      <c r="V153" s="27">
        <f>IF(AG153="2",H153,0)</f>
        <v>0</v>
      </c>
      <c r="W153" s="27">
        <f>IF(AG153="2",I153,0)</f>
        <v>0</v>
      </c>
      <c r="X153" s="27">
        <f>IF(AG153="0",J153,0)</f>
        <v>0</v>
      </c>
      <c r="Y153" s="20"/>
      <c r="Z153" s="13">
        <f>IF(AD153=0,J153,0)</f>
        <v>0</v>
      </c>
      <c r="AA153" s="13">
        <f>IF(AD153=15,J153,0)</f>
        <v>0</v>
      </c>
      <c r="AB153" s="13">
        <f>IF(AD153=21,J153,0)</f>
        <v>0</v>
      </c>
      <c r="AD153" s="27">
        <v>15</v>
      </c>
      <c r="AE153" s="27">
        <f>G153*0.526521492816632</f>
        <v>0</v>
      </c>
      <c r="AF153" s="27">
        <f>G153*(1-0.526521492816632)</f>
        <v>0</v>
      </c>
      <c r="AG153" s="23" t="s">
        <v>12</v>
      </c>
      <c r="AM153" s="27">
        <f>F153*AE153</f>
        <v>0</v>
      </c>
      <c r="AN153" s="27">
        <f>F153*AF153</f>
        <v>0</v>
      </c>
      <c r="AO153" s="28" t="s">
        <v>500</v>
      </c>
      <c r="AP153" s="28" t="s">
        <v>525</v>
      </c>
      <c r="AQ153" s="20" t="s">
        <v>530</v>
      </c>
      <c r="AS153" s="27">
        <f>AM153+AN153</f>
        <v>0</v>
      </c>
      <c r="AT153" s="27">
        <f>G153/(100-AU153)*100</f>
        <v>0</v>
      </c>
      <c r="AU153" s="27">
        <v>0</v>
      </c>
      <c r="AV153" s="27">
        <f>L153</f>
        <v>1766.6</v>
      </c>
    </row>
    <row r="154" spans="2:13" ht="12">
      <c r="B154" s="54"/>
      <c r="C154" s="54"/>
      <c r="D154" s="66" t="s">
        <v>614</v>
      </c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1:48" ht="12.75">
      <c r="A155" s="4" t="s">
        <v>69</v>
      </c>
      <c r="B155" s="51"/>
      <c r="C155" s="51" t="s">
        <v>191</v>
      </c>
      <c r="D155" s="51" t="s">
        <v>367</v>
      </c>
      <c r="E155" s="51" t="s">
        <v>449</v>
      </c>
      <c r="F155" s="52">
        <v>145</v>
      </c>
      <c r="G155" s="52"/>
      <c r="H155" s="52">
        <f>F155*AE155</f>
        <v>0</v>
      </c>
      <c r="I155" s="52">
        <f>J155-H155</f>
        <v>0</v>
      </c>
      <c r="J155" s="52">
        <f>F155*G155</f>
        <v>0</v>
      </c>
      <c r="K155" s="52">
        <v>0.00208</v>
      </c>
      <c r="L155" s="52">
        <f>F155*K155</f>
        <v>0.3016</v>
      </c>
      <c r="M155" s="53" t="s">
        <v>469</v>
      </c>
      <c r="P155" s="27">
        <f>IF(AG155="5",J155,0)</f>
        <v>0</v>
      </c>
      <c r="R155" s="27">
        <f>IF(AG155="1",H155,0)</f>
        <v>0</v>
      </c>
      <c r="S155" s="27">
        <f>IF(AG155="1",I155,0)</f>
        <v>0</v>
      </c>
      <c r="T155" s="27">
        <f>IF(AG155="7",H155,0)</f>
        <v>0</v>
      </c>
      <c r="U155" s="27">
        <f>IF(AG155="7",I155,0)</f>
        <v>0</v>
      </c>
      <c r="V155" s="27">
        <f>IF(AG155="2",H155,0)</f>
        <v>0</v>
      </c>
      <c r="W155" s="27">
        <f>IF(AG155="2",I155,0)</f>
        <v>0</v>
      </c>
      <c r="X155" s="27">
        <f>IF(AG155="0",J155,0)</f>
        <v>0</v>
      </c>
      <c r="Y155" s="20"/>
      <c r="Z155" s="13">
        <f>IF(AD155=0,J155,0)</f>
        <v>0</v>
      </c>
      <c r="AA155" s="13">
        <f>IF(AD155=15,J155,0)</f>
        <v>0</v>
      </c>
      <c r="AB155" s="13">
        <f>IF(AD155=21,J155,0)</f>
        <v>0</v>
      </c>
      <c r="AD155" s="27">
        <v>15</v>
      </c>
      <c r="AE155" s="27">
        <f>G155*0.401018867924528</f>
        <v>0</v>
      </c>
      <c r="AF155" s="27">
        <f>G155*(1-0.401018867924528)</f>
        <v>0</v>
      </c>
      <c r="AG155" s="23" t="s">
        <v>12</v>
      </c>
      <c r="AM155" s="27">
        <f>F155*AE155</f>
        <v>0</v>
      </c>
      <c r="AN155" s="27">
        <f>F155*AF155</f>
        <v>0</v>
      </c>
      <c r="AO155" s="28" t="s">
        <v>500</v>
      </c>
      <c r="AP155" s="28" t="s">
        <v>525</v>
      </c>
      <c r="AQ155" s="20" t="s">
        <v>530</v>
      </c>
      <c r="AS155" s="27">
        <f>AM155+AN155</f>
        <v>0</v>
      </c>
      <c r="AT155" s="27">
        <f>G155/(100-AU155)*100</f>
        <v>0</v>
      </c>
      <c r="AU155" s="27">
        <v>0</v>
      </c>
      <c r="AV155" s="27">
        <f>L155</f>
        <v>0.3016</v>
      </c>
    </row>
    <row r="156" spans="2:13" ht="12">
      <c r="B156" s="54"/>
      <c r="C156" s="54"/>
      <c r="D156" s="66" t="s">
        <v>368</v>
      </c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48" ht="12.75">
      <c r="A157" s="4" t="s">
        <v>70</v>
      </c>
      <c r="B157" s="51"/>
      <c r="C157" s="51" t="s">
        <v>192</v>
      </c>
      <c r="D157" s="51" t="s">
        <v>369</v>
      </c>
      <c r="E157" s="51" t="s">
        <v>449</v>
      </c>
      <c r="F157" s="52">
        <v>78</v>
      </c>
      <c r="G157" s="52"/>
      <c r="H157" s="52">
        <f>F157*AE157</f>
        <v>0</v>
      </c>
      <c r="I157" s="52">
        <f>J157-H157</f>
        <v>0</v>
      </c>
      <c r="J157" s="52">
        <f>F157*G157</f>
        <v>0</v>
      </c>
      <c r="K157" s="52">
        <v>0.00308</v>
      </c>
      <c r="L157" s="52">
        <f>F157*K157</f>
        <v>0.24023999999999998</v>
      </c>
      <c r="M157" s="53" t="s">
        <v>469</v>
      </c>
      <c r="P157" s="27">
        <f>IF(AG157="5",J157,0)</f>
        <v>0</v>
      </c>
      <c r="R157" s="27">
        <f>IF(AG157="1",H157,0)</f>
        <v>0</v>
      </c>
      <c r="S157" s="27">
        <f>IF(AG157="1",I157,0)</f>
        <v>0</v>
      </c>
      <c r="T157" s="27">
        <f>IF(AG157="7",H157,0)</f>
        <v>0</v>
      </c>
      <c r="U157" s="27">
        <f>IF(AG157="7",I157,0)</f>
        <v>0</v>
      </c>
      <c r="V157" s="27">
        <f>IF(AG157="2",H157,0)</f>
        <v>0</v>
      </c>
      <c r="W157" s="27">
        <f>IF(AG157="2",I157,0)</f>
        <v>0</v>
      </c>
      <c r="X157" s="27">
        <f>IF(AG157="0",J157,0)</f>
        <v>0</v>
      </c>
      <c r="Y157" s="20"/>
      <c r="Z157" s="13">
        <f>IF(AD157=0,J157,0)</f>
        <v>0</v>
      </c>
      <c r="AA157" s="13">
        <f>IF(AD157=15,J157,0)</f>
        <v>0</v>
      </c>
      <c r="AB157" s="13">
        <f>IF(AD157=21,J157,0)</f>
        <v>0</v>
      </c>
      <c r="AD157" s="27">
        <v>15</v>
      </c>
      <c r="AE157" s="27">
        <f>G157*0.581506736622731</f>
        <v>0</v>
      </c>
      <c r="AF157" s="27">
        <f>G157*(1-0.581506736622731)</f>
        <v>0</v>
      </c>
      <c r="AG157" s="23" t="s">
        <v>12</v>
      </c>
      <c r="AM157" s="27">
        <f>F157*AE157</f>
        <v>0</v>
      </c>
      <c r="AN157" s="27">
        <f>F157*AF157</f>
        <v>0</v>
      </c>
      <c r="AO157" s="28" t="s">
        <v>500</v>
      </c>
      <c r="AP157" s="28" t="s">
        <v>525</v>
      </c>
      <c r="AQ157" s="20" t="s">
        <v>530</v>
      </c>
      <c r="AS157" s="27">
        <f>AM157+AN157</f>
        <v>0</v>
      </c>
      <c r="AT157" s="27">
        <f>G157/(100-AU157)*100</f>
        <v>0</v>
      </c>
      <c r="AU157" s="27">
        <v>0</v>
      </c>
      <c r="AV157" s="27">
        <f>L157</f>
        <v>0.24023999999999998</v>
      </c>
    </row>
    <row r="158" spans="2:13" ht="12">
      <c r="B158" s="54"/>
      <c r="C158" s="54"/>
      <c r="D158" s="66" t="s">
        <v>370</v>
      </c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1:48" ht="12.75">
      <c r="A159" s="4" t="s">
        <v>71</v>
      </c>
      <c r="B159" s="51"/>
      <c r="C159" s="51" t="s">
        <v>193</v>
      </c>
      <c r="D159" s="51" t="s">
        <v>371</v>
      </c>
      <c r="E159" s="51" t="s">
        <v>448</v>
      </c>
      <c r="F159" s="52">
        <v>14.2</v>
      </c>
      <c r="G159" s="52"/>
      <c r="H159" s="52">
        <f>F159*AE159</f>
        <v>0</v>
      </c>
      <c r="I159" s="52">
        <f>J159-H159</f>
        <v>0</v>
      </c>
      <c r="J159" s="52">
        <f>F159*G159</f>
        <v>0</v>
      </c>
      <c r="K159" s="52">
        <v>0.00751</v>
      </c>
      <c r="L159" s="52">
        <f>F159*K159</f>
        <v>0.106642</v>
      </c>
      <c r="M159" s="53" t="s">
        <v>469</v>
      </c>
      <c r="P159" s="27">
        <f>IF(AG159="5",J159,0)</f>
        <v>0</v>
      </c>
      <c r="R159" s="27">
        <f>IF(AG159="1",H159,0)</f>
        <v>0</v>
      </c>
      <c r="S159" s="27">
        <f>IF(AG159="1",I159,0)</f>
        <v>0</v>
      </c>
      <c r="T159" s="27">
        <f>IF(AG159="7",H159,0)</f>
        <v>0</v>
      </c>
      <c r="U159" s="27">
        <f>IF(AG159="7",I159,0)</f>
        <v>0</v>
      </c>
      <c r="V159" s="27">
        <f>IF(AG159="2",H159,0)</f>
        <v>0</v>
      </c>
      <c r="W159" s="27">
        <f>IF(AG159="2",I159,0)</f>
        <v>0</v>
      </c>
      <c r="X159" s="27">
        <f>IF(AG159="0",J159,0)</f>
        <v>0</v>
      </c>
      <c r="Y159" s="20"/>
      <c r="Z159" s="13">
        <f>IF(AD159=0,J159,0)</f>
        <v>0</v>
      </c>
      <c r="AA159" s="13">
        <f>IF(AD159=15,J159,0)</f>
        <v>0</v>
      </c>
      <c r="AB159" s="13">
        <f>IF(AD159=21,J159,0)</f>
        <v>0</v>
      </c>
      <c r="AD159" s="27">
        <v>15</v>
      </c>
      <c r="AE159" s="27">
        <f>G159*0</f>
        <v>0</v>
      </c>
      <c r="AF159" s="27">
        <f>G159*(1-0)</f>
        <v>0</v>
      </c>
      <c r="AG159" s="23" t="s">
        <v>12</v>
      </c>
      <c r="AM159" s="27">
        <f>F159*AE159</f>
        <v>0</v>
      </c>
      <c r="AN159" s="27">
        <f>F159*AF159</f>
        <v>0</v>
      </c>
      <c r="AO159" s="28" t="s">
        <v>500</v>
      </c>
      <c r="AP159" s="28" t="s">
        <v>525</v>
      </c>
      <c r="AQ159" s="20" t="s">
        <v>530</v>
      </c>
      <c r="AS159" s="27">
        <f>AM159+AN159</f>
        <v>0</v>
      </c>
      <c r="AT159" s="27">
        <f>G159/(100-AU159)*100</f>
        <v>0</v>
      </c>
      <c r="AU159" s="27">
        <v>0</v>
      </c>
      <c r="AV159" s="27">
        <f>L159</f>
        <v>0.106642</v>
      </c>
    </row>
    <row r="160" spans="2:13" ht="12">
      <c r="B160" s="54"/>
      <c r="C160" s="54"/>
      <c r="D160" s="66" t="s">
        <v>372</v>
      </c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1:48" ht="12.75">
      <c r="A161" s="4" t="s">
        <v>72</v>
      </c>
      <c r="B161" s="51"/>
      <c r="C161" s="51" t="s">
        <v>194</v>
      </c>
      <c r="D161" s="51" t="s">
        <v>373</v>
      </c>
      <c r="E161" s="51" t="s">
        <v>449</v>
      </c>
      <c r="F161" s="52">
        <v>106</v>
      </c>
      <c r="G161" s="52"/>
      <c r="H161" s="52">
        <f>F161*AE161</f>
        <v>0</v>
      </c>
      <c r="I161" s="52">
        <f>J161-H161</f>
        <v>0</v>
      </c>
      <c r="J161" s="52">
        <f>F161*G161</f>
        <v>0</v>
      </c>
      <c r="K161" s="52">
        <v>0.0023</v>
      </c>
      <c r="L161" s="52">
        <f>F161*K161</f>
        <v>0.2438</v>
      </c>
      <c r="M161" s="53" t="s">
        <v>469</v>
      </c>
      <c r="P161" s="27">
        <f>IF(AG161="5",J161,0)</f>
        <v>0</v>
      </c>
      <c r="R161" s="27">
        <f>IF(AG161="1",H161,0)</f>
        <v>0</v>
      </c>
      <c r="S161" s="27">
        <f>IF(AG161="1",I161,0)</f>
        <v>0</v>
      </c>
      <c r="T161" s="27">
        <f>IF(AG161="7",H161,0)</f>
        <v>0</v>
      </c>
      <c r="U161" s="27">
        <f>IF(AG161="7",I161,0)</f>
        <v>0</v>
      </c>
      <c r="V161" s="27">
        <f>IF(AG161="2",H161,0)</f>
        <v>0</v>
      </c>
      <c r="W161" s="27">
        <f>IF(AG161="2",I161,0)</f>
        <v>0</v>
      </c>
      <c r="X161" s="27">
        <f>IF(AG161="0",J161,0)</f>
        <v>0</v>
      </c>
      <c r="Y161" s="20"/>
      <c r="Z161" s="13">
        <f>IF(AD161=0,J161,0)</f>
        <v>0</v>
      </c>
      <c r="AA161" s="13">
        <f>IF(AD161=15,J161,0)</f>
        <v>0</v>
      </c>
      <c r="AB161" s="13">
        <f>IF(AD161=21,J161,0)</f>
        <v>0</v>
      </c>
      <c r="AD161" s="27">
        <v>15</v>
      </c>
      <c r="AE161" s="27">
        <f>G161*0</f>
        <v>0</v>
      </c>
      <c r="AF161" s="27">
        <f>G161*(1-0)</f>
        <v>0</v>
      </c>
      <c r="AG161" s="23" t="s">
        <v>12</v>
      </c>
      <c r="AM161" s="27">
        <f>F161*AE161</f>
        <v>0</v>
      </c>
      <c r="AN161" s="27">
        <f>F161*AF161</f>
        <v>0</v>
      </c>
      <c r="AO161" s="28" t="s">
        <v>500</v>
      </c>
      <c r="AP161" s="28" t="s">
        <v>525</v>
      </c>
      <c r="AQ161" s="20" t="s">
        <v>530</v>
      </c>
      <c r="AS161" s="27">
        <f>AM161+AN161</f>
        <v>0</v>
      </c>
      <c r="AT161" s="27">
        <f>G161/(100-AU161)*100</f>
        <v>0</v>
      </c>
      <c r="AU161" s="27">
        <v>0</v>
      </c>
      <c r="AV161" s="27">
        <f>L161</f>
        <v>0.2438</v>
      </c>
    </row>
    <row r="162" spans="2:13" ht="12">
      <c r="B162" s="54"/>
      <c r="C162" s="54"/>
      <c r="D162" s="66" t="s">
        <v>374</v>
      </c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1:48" ht="12.75">
      <c r="A163" s="4" t="s">
        <v>73</v>
      </c>
      <c r="B163" s="51"/>
      <c r="C163" s="51" t="s">
        <v>195</v>
      </c>
      <c r="D163" s="51" t="s">
        <v>375</v>
      </c>
      <c r="E163" s="51" t="s">
        <v>449</v>
      </c>
      <c r="F163" s="52">
        <v>145</v>
      </c>
      <c r="G163" s="52"/>
      <c r="H163" s="52">
        <f>F163*AE163</f>
        <v>0</v>
      </c>
      <c r="I163" s="52">
        <f>J163-H163</f>
        <v>0</v>
      </c>
      <c r="J163" s="52">
        <f>F163*G163</f>
        <v>0</v>
      </c>
      <c r="K163" s="52">
        <v>0.00135</v>
      </c>
      <c r="L163" s="52">
        <f>F163*K163</f>
        <v>0.19575</v>
      </c>
      <c r="M163" s="53" t="s">
        <v>469</v>
      </c>
      <c r="P163" s="27">
        <f>IF(AG163="5",J163,0)</f>
        <v>0</v>
      </c>
      <c r="R163" s="27">
        <f>IF(AG163="1",H163,0)</f>
        <v>0</v>
      </c>
      <c r="S163" s="27">
        <f>IF(AG163="1",I163,0)</f>
        <v>0</v>
      </c>
      <c r="T163" s="27">
        <f>IF(AG163="7",H163,0)</f>
        <v>0</v>
      </c>
      <c r="U163" s="27">
        <f>IF(AG163="7",I163,0)</f>
        <v>0</v>
      </c>
      <c r="V163" s="27">
        <f>IF(AG163="2",H163,0)</f>
        <v>0</v>
      </c>
      <c r="W163" s="27">
        <f>IF(AG163="2",I163,0)</f>
        <v>0</v>
      </c>
      <c r="X163" s="27">
        <f>IF(AG163="0",J163,0)</f>
        <v>0</v>
      </c>
      <c r="Y163" s="20"/>
      <c r="Z163" s="13">
        <f>IF(AD163=0,J163,0)</f>
        <v>0</v>
      </c>
      <c r="AA163" s="13">
        <f>IF(AD163=15,J163,0)</f>
        <v>0</v>
      </c>
      <c r="AB163" s="13">
        <f>IF(AD163=21,J163,0)</f>
        <v>0</v>
      </c>
      <c r="AD163" s="27">
        <v>15</v>
      </c>
      <c r="AE163" s="27">
        <f>G163*0</f>
        <v>0</v>
      </c>
      <c r="AF163" s="27">
        <f>G163*(1-0)</f>
        <v>0</v>
      </c>
      <c r="AG163" s="23" t="s">
        <v>12</v>
      </c>
      <c r="AM163" s="27">
        <f>F163*AE163</f>
        <v>0</v>
      </c>
      <c r="AN163" s="27">
        <f>F163*AF163</f>
        <v>0</v>
      </c>
      <c r="AO163" s="28" t="s">
        <v>500</v>
      </c>
      <c r="AP163" s="28" t="s">
        <v>525</v>
      </c>
      <c r="AQ163" s="20" t="s">
        <v>530</v>
      </c>
      <c r="AS163" s="27">
        <f>AM163+AN163</f>
        <v>0</v>
      </c>
      <c r="AT163" s="27">
        <f>G163/(100-AU163)*100</f>
        <v>0</v>
      </c>
      <c r="AU163" s="27">
        <v>0</v>
      </c>
      <c r="AV163" s="27">
        <f>L163</f>
        <v>0.19575</v>
      </c>
    </row>
    <row r="164" spans="1:48" ht="12.75">
      <c r="A164" s="4" t="s">
        <v>74</v>
      </c>
      <c r="B164" s="51"/>
      <c r="C164" s="51" t="s">
        <v>196</v>
      </c>
      <c r="D164" s="51" t="s">
        <v>621</v>
      </c>
      <c r="E164" s="51" t="s">
        <v>450</v>
      </c>
      <c r="F164" s="52">
        <v>18</v>
      </c>
      <c r="G164" s="52"/>
      <c r="H164" s="52">
        <f>F164*AE164</f>
        <v>0</v>
      </c>
      <c r="I164" s="52">
        <f>J164-H164</f>
        <v>0</v>
      </c>
      <c r="J164" s="52">
        <f>F164*G164</f>
        <v>0</v>
      </c>
      <c r="K164" s="52">
        <v>0.0002</v>
      </c>
      <c r="L164" s="52">
        <f>F164*K164</f>
        <v>0.0036000000000000003</v>
      </c>
      <c r="M164" s="53" t="s">
        <v>469</v>
      </c>
      <c r="P164" s="27">
        <f>IF(AG164="5",J164,0)</f>
        <v>0</v>
      </c>
      <c r="R164" s="27">
        <f>IF(AG164="1",H164,0)</f>
        <v>0</v>
      </c>
      <c r="S164" s="27">
        <f>IF(AG164="1",I164,0)</f>
        <v>0</v>
      </c>
      <c r="T164" s="27">
        <f>IF(AG164="7",H164,0)</f>
        <v>0</v>
      </c>
      <c r="U164" s="27">
        <f>IF(AG164="7",I164,0)</f>
        <v>0</v>
      </c>
      <c r="V164" s="27">
        <f>IF(AG164="2",H164,0)</f>
        <v>0</v>
      </c>
      <c r="W164" s="27">
        <f>IF(AG164="2",I164,0)</f>
        <v>0</v>
      </c>
      <c r="X164" s="27">
        <f>IF(AG164="0",J164,0)</f>
        <v>0</v>
      </c>
      <c r="Y164" s="20"/>
      <c r="Z164" s="13">
        <f>IF(AD164=0,J164,0)</f>
        <v>0</v>
      </c>
      <c r="AA164" s="13">
        <f>IF(AD164=15,J164,0)</f>
        <v>0</v>
      </c>
      <c r="AB164" s="13">
        <f>IF(AD164=21,J164,0)</f>
        <v>0</v>
      </c>
      <c r="AD164" s="27">
        <v>15</v>
      </c>
      <c r="AE164" s="27">
        <f>G164*0.152434017595308</f>
        <v>0</v>
      </c>
      <c r="AF164" s="27">
        <f>G164*(1-0.152434017595308)</f>
        <v>0</v>
      </c>
      <c r="AG164" s="23" t="s">
        <v>12</v>
      </c>
      <c r="AM164" s="27">
        <f>F164*AE164</f>
        <v>0</v>
      </c>
      <c r="AN164" s="27">
        <f>F164*AF164</f>
        <v>0</v>
      </c>
      <c r="AO164" s="28" t="s">
        <v>500</v>
      </c>
      <c r="AP164" s="28" t="s">
        <v>525</v>
      </c>
      <c r="AQ164" s="20" t="s">
        <v>530</v>
      </c>
      <c r="AS164" s="27">
        <f>AM164+AN164</f>
        <v>0</v>
      </c>
      <c r="AT164" s="27">
        <f>G164/(100-AU164)*100</f>
        <v>0</v>
      </c>
      <c r="AU164" s="27">
        <v>0</v>
      </c>
      <c r="AV164" s="27">
        <f>L164</f>
        <v>0.0036000000000000003</v>
      </c>
    </row>
    <row r="165" spans="2:13" ht="12">
      <c r="B165" s="54"/>
      <c r="C165" s="54"/>
      <c r="D165" s="66" t="s">
        <v>622</v>
      </c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1:37" ht="12.75">
      <c r="A166" s="5"/>
      <c r="B166" s="55"/>
      <c r="C166" s="55" t="s">
        <v>197</v>
      </c>
      <c r="D166" s="72" t="s">
        <v>376</v>
      </c>
      <c r="E166" s="73"/>
      <c r="F166" s="73"/>
      <c r="G166" s="73"/>
      <c r="H166" s="56">
        <f>SUM(H167:H167)</f>
        <v>0</v>
      </c>
      <c r="I166" s="56">
        <f>SUM(I167:I167)</f>
        <v>0</v>
      </c>
      <c r="J166" s="56">
        <f>H166+I166</f>
        <v>0</v>
      </c>
      <c r="K166" s="57"/>
      <c r="L166" s="56">
        <f>SUM(L167:L167)</f>
        <v>0.02664</v>
      </c>
      <c r="M166" s="57"/>
      <c r="Y166" s="20"/>
      <c r="AI166" s="29">
        <f>SUM(Z167:Z167)</f>
        <v>0</v>
      </c>
      <c r="AJ166" s="29">
        <f>SUM(AA167:AA167)</f>
        <v>0</v>
      </c>
      <c r="AK166" s="29">
        <f>SUM(AB167:AB167)</f>
        <v>0</v>
      </c>
    </row>
    <row r="167" spans="1:48" ht="12.75">
      <c r="A167" s="4" t="s">
        <v>75</v>
      </c>
      <c r="B167" s="51"/>
      <c r="C167" s="51" t="s">
        <v>198</v>
      </c>
      <c r="D167" s="51" t="s">
        <v>623</v>
      </c>
      <c r="E167" s="51" t="s">
        <v>450</v>
      </c>
      <c r="F167" s="52">
        <v>18</v>
      </c>
      <c r="G167" s="52"/>
      <c r="H167" s="52">
        <f>F167*AE167</f>
        <v>0</v>
      </c>
      <c r="I167" s="52">
        <f>J167-H167</f>
        <v>0</v>
      </c>
      <c r="J167" s="52">
        <f>F167*G167</f>
        <v>0</v>
      </c>
      <c r="K167" s="52">
        <v>0.00148</v>
      </c>
      <c r="L167" s="52">
        <f>F167*K167</f>
        <v>0.02664</v>
      </c>
      <c r="M167" s="53" t="s">
        <v>469</v>
      </c>
      <c r="P167" s="27">
        <f>IF(AG167="5",J167,0)</f>
        <v>0</v>
      </c>
      <c r="R167" s="27">
        <f>IF(AG167="1",H167,0)</f>
        <v>0</v>
      </c>
      <c r="S167" s="27">
        <f>IF(AG167="1",I167,0)</f>
        <v>0</v>
      </c>
      <c r="T167" s="27">
        <f>IF(AG167="7",H167,0)</f>
        <v>0</v>
      </c>
      <c r="U167" s="27">
        <f>IF(AG167="7",I167,0)</f>
        <v>0</v>
      </c>
      <c r="V167" s="27">
        <f>IF(AG167="2",H167,0)</f>
        <v>0</v>
      </c>
      <c r="W167" s="27">
        <f>IF(AG167="2",I167,0)</f>
        <v>0</v>
      </c>
      <c r="X167" s="27">
        <f>IF(AG167="0",J167,0)</f>
        <v>0</v>
      </c>
      <c r="Y167" s="20"/>
      <c r="Z167" s="13">
        <f>IF(AD167=0,J167,0)</f>
        <v>0</v>
      </c>
      <c r="AA167" s="13">
        <f>IF(AD167=15,J167,0)</f>
        <v>0</v>
      </c>
      <c r="AB167" s="13">
        <f>IF(AD167=21,J167,0)</f>
        <v>0</v>
      </c>
      <c r="AD167" s="27">
        <v>15</v>
      </c>
      <c r="AE167" s="27">
        <f>G167*0.185716395864106</f>
        <v>0</v>
      </c>
      <c r="AF167" s="27">
        <f>G167*(1-0.185716395864106)</f>
        <v>0</v>
      </c>
      <c r="AG167" s="23" t="s">
        <v>12</v>
      </c>
      <c r="AM167" s="27">
        <f>F167*AE167</f>
        <v>0</v>
      </c>
      <c r="AN167" s="27">
        <f>F167*AF167</f>
        <v>0</v>
      </c>
      <c r="AO167" s="28" t="s">
        <v>501</v>
      </c>
      <c r="AP167" s="28" t="s">
        <v>525</v>
      </c>
      <c r="AQ167" s="20" t="s">
        <v>530</v>
      </c>
      <c r="AS167" s="27">
        <f>AM167+AN167</f>
        <v>0</v>
      </c>
      <c r="AT167" s="27">
        <f>G167/(100-AU167)*100</f>
        <v>0</v>
      </c>
      <c r="AU167" s="27">
        <v>0</v>
      </c>
      <c r="AV167" s="27">
        <f>L167</f>
        <v>0.02664</v>
      </c>
    </row>
    <row r="168" spans="2:13" ht="12">
      <c r="B168" s="54"/>
      <c r="C168" s="54"/>
      <c r="D168" s="66" t="s">
        <v>377</v>
      </c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1:37" ht="12.75">
      <c r="A169" s="5"/>
      <c r="B169" s="55"/>
      <c r="C169" s="55" t="s">
        <v>199</v>
      </c>
      <c r="D169" s="72" t="s">
        <v>378</v>
      </c>
      <c r="E169" s="73"/>
      <c r="F169" s="73"/>
      <c r="G169" s="73"/>
      <c r="H169" s="56">
        <f>SUM(H170:H174)</f>
        <v>0</v>
      </c>
      <c r="I169" s="56">
        <f>SUM(I170:I174)</f>
        <v>0</v>
      </c>
      <c r="J169" s="56">
        <f>H169+I169</f>
        <v>0</v>
      </c>
      <c r="K169" s="57"/>
      <c r="L169" s="56">
        <f>SUM(L170:L174)</f>
        <v>0.00511</v>
      </c>
      <c r="M169" s="57"/>
      <c r="Y169" s="20"/>
      <c r="AI169" s="29">
        <f>SUM(Z170:Z174)</f>
        <v>0</v>
      </c>
      <c r="AJ169" s="29">
        <f>SUM(AA170:AA174)</f>
        <v>0</v>
      </c>
      <c r="AK169" s="29">
        <f>SUM(AB170:AB174)</f>
        <v>0</v>
      </c>
    </row>
    <row r="170" spans="1:48" ht="12.75">
      <c r="A170" s="4" t="s">
        <v>76</v>
      </c>
      <c r="B170" s="51"/>
      <c r="C170" s="51" t="s">
        <v>200</v>
      </c>
      <c r="D170" s="51" t="s">
        <v>379</v>
      </c>
      <c r="E170" s="51" t="s">
        <v>448</v>
      </c>
      <c r="F170" s="52">
        <v>4.8</v>
      </c>
      <c r="G170" s="52"/>
      <c r="H170" s="52">
        <f>F170*AE170</f>
        <v>0</v>
      </c>
      <c r="I170" s="52">
        <f>J170-H170</f>
        <v>0</v>
      </c>
      <c r="J170" s="52">
        <f>F170*G170</f>
        <v>0</v>
      </c>
      <c r="K170" s="52">
        <v>0.00087</v>
      </c>
      <c r="L170" s="52">
        <f>F170*K170</f>
        <v>0.004176</v>
      </c>
      <c r="M170" s="53" t="s">
        <v>469</v>
      </c>
      <c r="P170" s="27">
        <f>IF(AG170="5",J170,0)</f>
        <v>0</v>
      </c>
      <c r="R170" s="27">
        <f>IF(AG170="1",H170,0)</f>
        <v>0</v>
      </c>
      <c r="S170" s="27">
        <f>IF(AG170="1",I170,0)</f>
        <v>0</v>
      </c>
      <c r="T170" s="27">
        <f>IF(AG170="7",H170,0)</f>
        <v>0</v>
      </c>
      <c r="U170" s="27">
        <f>IF(AG170="7",I170,0)</f>
        <v>0</v>
      </c>
      <c r="V170" s="27">
        <f>IF(AG170="2",H170,0)</f>
        <v>0</v>
      </c>
      <c r="W170" s="27">
        <f>IF(AG170="2",I170,0)</f>
        <v>0</v>
      </c>
      <c r="X170" s="27">
        <f>IF(AG170="0",J170,0)</f>
        <v>0</v>
      </c>
      <c r="Y170" s="20"/>
      <c r="Z170" s="13">
        <f>IF(AD170=0,J170,0)</f>
        <v>0</v>
      </c>
      <c r="AA170" s="13">
        <f>IF(AD170=15,J170,0)</f>
        <v>0</v>
      </c>
      <c r="AB170" s="13">
        <f>IF(AD170=21,J170,0)</f>
        <v>0</v>
      </c>
      <c r="AD170" s="27">
        <v>15</v>
      </c>
      <c r="AE170" s="27">
        <f>G170*0.350624374983974</f>
        <v>0</v>
      </c>
      <c r="AF170" s="27">
        <f>G170*(1-0.350624374983974)</f>
        <v>0</v>
      </c>
      <c r="AG170" s="23" t="s">
        <v>12</v>
      </c>
      <c r="AM170" s="27">
        <f>F170*AE170</f>
        <v>0</v>
      </c>
      <c r="AN170" s="27">
        <f>F170*AF170</f>
        <v>0</v>
      </c>
      <c r="AO170" s="28" t="s">
        <v>502</v>
      </c>
      <c r="AP170" s="28" t="s">
        <v>526</v>
      </c>
      <c r="AQ170" s="20" t="s">
        <v>530</v>
      </c>
      <c r="AS170" s="27">
        <f>AM170+AN170</f>
        <v>0</v>
      </c>
      <c r="AT170" s="27">
        <f>G170/(100-AU170)*100</f>
        <v>0</v>
      </c>
      <c r="AU170" s="27">
        <v>0</v>
      </c>
      <c r="AV170" s="27">
        <f>L170</f>
        <v>0.004176</v>
      </c>
    </row>
    <row r="171" spans="2:13" ht="12">
      <c r="B171" s="54"/>
      <c r="C171" s="54"/>
      <c r="D171" s="66" t="s">
        <v>581</v>
      </c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1:48" ht="12.75">
      <c r="A172" s="4" t="s">
        <v>77</v>
      </c>
      <c r="B172" s="51"/>
      <c r="C172" s="51" t="s">
        <v>201</v>
      </c>
      <c r="D172" s="51" t="s">
        <v>380</v>
      </c>
      <c r="E172" s="51" t="s">
        <v>448</v>
      </c>
      <c r="F172" s="52">
        <v>5.2</v>
      </c>
      <c r="G172" s="52"/>
      <c r="H172" s="52">
        <f>F172*AE172</f>
        <v>0</v>
      </c>
      <c r="I172" s="52">
        <f>J172-H172</f>
        <v>0</v>
      </c>
      <c r="J172" s="52">
        <f>F172*G172</f>
        <v>0</v>
      </c>
      <c r="K172" s="52">
        <v>1E-05</v>
      </c>
      <c r="L172" s="52">
        <f>F172*K172</f>
        <v>5.2000000000000004E-05</v>
      </c>
      <c r="M172" s="53" t="s">
        <v>469</v>
      </c>
      <c r="P172" s="27">
        <f>IF(AG172="5",J172,0)</f>
        <v>0</v>
      </c>
      <c r="R172" s="27">
        <f>IF(AG172="1",H172,0)</f>
        <v>0</v>
      </c>
      <c r="S172" s="27">
        <f>IF(AG172="1",I172,0)</f>
        <v>0</v>
      </c>
      <c r="T172" s="27">
        <f>IF(AG172="7",H172,0)</f>
        <v>0</v>
      </c>
      <c r="U172" s="27">
        <f>IF(AG172="7",I172,0)</f>
        <v>0</v>
      </c>
      <c r="V172" s="27">
        <f>IF(AG172="2",H172,0)</f>
        <v>0</v>
      </c>
      <c r="W172" s="27">
        <f>IF(AG172="2",I172,0)</f>
        <v>0</v>
      </c>
      <c r="X172" s="27">
        <f>IF(AG172="0",J172,0)</f>
        <v>0</v>
      </c>
      <c r="Y172" s="20"/>
      <c r="Z172" s="13">
        <f>IF(AD172=0,J172,0)</f>
        <v>0</v>
      </c>
      <c r="AA172" s="13">
        <f>IF(AD172=15,J172,0)</f>
        <v>0</v>
      </c>
      <c r="AB172" s="13">
        <f>IF(AD172=21,J172,0)</f>
        <v>0</v>
      </c>
      <c r="AD172" s="27">
        <v>15</v>
      </c>
      <c r="AE172" s="27">
        <f>G172*0.0695528743789922</f>
        <v>0</v>
      </c>
      <c r="AF172" s="27">
        <f>G172*(1-0.0695528743789922)</f>
        <v>0</v>
      </c>
      <c r="AG172" s="23" t="s">
        <v>12</v>
      </c>
      <c r="AM172" s="27">
        <f>F172*AE172</f>
        <v>0</v>
      </c>
      <c r="AN172" s="27">
        <f>F172*AF172</f>
        <v>0</v>
      </c>
      <c r="AO172" s="28" t="s">
        <v>502</v>
      </c>
      <c r="AP172" s="28" t="s">
        <v>526</v>
      </c>
      <c r="AQ172" s="20" t="s">
        <v>530</v>
      </c>
      <c r="AS172" s="27">
        <f>AM172+AN172</f>
        <v>0</v>
      </c>
      <c r="AT172" s="27">
        <f>G172/(100-AU172)*100</f>
        <v>0</v>
      </c>
      <c r="AU172" s="27">
        <v>0</v>
      </c>
      <c r="AV172" s="27">
        <f>L172</f>
        <v>5.2000000000000004E-05</v>
      </c>
    </row>
    <row r="173" spans="2:13" ht="12">
      <c r="B173" s="54"/>
      <c r="C173" s="54"/>
      <c r="D173" s="66" t="s">
        <v>582</v>
      </c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48" ht="12.75">
      <c r="A174" s="4" t="s">
        <v>78</v>
      </c>
      <c r="B174" s="51"/>
      <c r="C174" s="51" t="s">
        <v>202</v>
      </c>
      <c r="D174" s="51" t="s">
        <v>381</v>
      </c>
      <c r="E174" s="51" t="s">
        <v>449</v>
      </c>
      <c r="F174" s="52">
        <v>9.8</v>
      </c>
      <c r="G174" s="52"/>
      <c r="H174" s="52">
        <f>F174*AE174</f>
        <v>0</v>
      </c>
      <c r="I174" s="52">
        <f>J174-H174</f>
        <v>0</v>
      </c>
      <c r="J174" s="52">
        <f>F174*G174</f>
        <v>0</v>
      </c>
      <c r="K174" s="52">
        <v>9E-05</v>
      </c>
      <c r="L174" s="52">
        <f>F174*K174</f>
        <v>0.0008820000000000001</v>
      </c>
      <c r="M174" s="53" t="s">
        <v>469</v>
      </c>
      <c r="P174" s="27">
        <f>IF(AG174="5",J174,0)</f>
        <v>0</v>
      </c>
      <c r="R174" s="27">
        <f>IF(AG174="1",H174,0)</f>
        <v>0</v>
      </c>
      <c r="S174" s="27">
        <f>IF(AG174="1",I174,0)</f>
        <v>0</v>
      </c>
      <c r="T174" s="27">
        <f>IF(AG174="7",H174,0)</f>
        <v>0</v>
      </c>
      <c r="U174" s="27">
        <f>IF(AG174="7",I174,0)</f>
        <v>0</v>
      </c>
      <c r="V174" s="27">
        <f>IF(AG174="2",H174,0)</f>
        <v>0</v>
      </c>
      <c r="W174" s="27">
        <f>IF(AG174="2",I174,0)</f>
        <v>0</v>
      </c>
      <c r="X174" s="27">
        <f>IF(AG174="0",J174,0)</f>
        <v>0</v>
      </c>
      <c r="Y174" s="20"/>
      <c r="Z174" s="13">
        <f>IF(AD174=0,J174,0)</f>
        <v>0</v>
      </c>
      <c r="AA174" s="13">
        <f>IF(AD174=15,J174,0)</f>
        <v>0</v>
      </c>
      <c r="AB174" s="13">
        <f>IF(AD174=21,J174,0)</f>
        <v>0</v>
      </c>
      <c r="AD174" s="27">
        <v>15</v>
      </c>
      <c r="AE174" s="27">
        <f>G174*0.240322876536415</f>
        <v>0</v>
      </c>
      <c r="AF174" s="27">
        <f>G174*(1-0.240322876536415)</f>
        <v>0</v>
      </c>
      <c r="AG174" s="23" t="s">
        <v>12</v>
      </c>
      <c r="AM174" s="27">
        <f>F174*AE174</f>
        <v>0</v>
      </c>
      <c r="AN174" s="27">
        <f>F174*AF174</f>
        <v>0</v>
      </c>
      <c r="AO174" s="28" t="s">
        <v>502</v>
      </c>
      <c r="AP174" s="28" t="s">
        <v>526</v>
      </c>
      <c r="AQ174" s="20" t="s">
        <v>530</v>
      </c>
      <c r="AS174" s="27">
        <f>AM174+AN174</f>
        <v>0</v>
      </c>
      <c r="AT174" s="27">
        <f>G174/(100-AU174)*100</f>
        <v>0</v>
      </c>
      <c r="AU174" s="27">
        <v>0</v>
      </c>
      <c r="AV174" s="27">
        <f>L174</f>
        <v>0.0008820000000000001</v>
      </c>
    </row>
    <row r="175" spans="2:13" ht="12">
      <c r="B175" s="54"/>
      <c r="C175" s="54"/>
      <c r="D175" s="66" t="s">
        <v>580</v>
      </c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37" ht="12.75">
      <c r="A176" s="5"/>
      <c r="B176" s="55"/>
      <c r="C176" s="55" t="s">
        <v>94</v>
      </c>
      <c r="D176" s="72" t="s">
        <v>382</v>
      </c>
      <c r="E176" s="73"/>
      <c r="F176" s="73"/>
      <c r="G176" s="73"/>
      <c r="H176" s="56">
        <f>SUM(H177:H181)</f>
        <v>0</v>
      </c>
      <c r="I176" s="56">
        <f>SUM(I177:I181)</f>
        <v>0</v>
      </c>
      <c r="J176" s="56">
        <f>H176+I176</f>
        <v>0</v>
      </c>
      <c r="K176" s="57"/>
      <c r="L176" s="56">
        <f>SUM(L177:L181)</f>
        <v>21.008</v>
      </c>
      <c r="M176" s="57"/>
      <c r="Y176" s="20"/>
      <c r="AI176" s="29">
        <f>SUM(Z177:Z181)</f>
        <v>0</v>
      </c>
      <c r="AJ176" s="29">
        <f>SUM(AA177:AA181)</f>
        <v>0</v>
      </c>
      <c r="AK176" s="29">
        <f>SUM(AB177:AB181)</f>
        <v>0</v>
      </c>
    </row>
    <row r="177" spans="1:48" ht="12.75">
      <c r="A177" s="4" t="s">
        <v>79</v>
      </c>
      <c r="B177" s="51"/>
      <c r="C177" s="51" t="s">
        <v>203</v>
      </c>
      <c r="D177" s="51" t="s">
        <v>583</v>
      </c>
      <c r="E177" s="51" t="s">
        <v>450</v>
      </c>
      <c r="F177" s="52">
        <v>5</v>
      </c>
      <c r="G177" s="52"/>
      <c r="H177" s="52">
        <f>F177*AE177</f>
        <v>0</v>
      </c>
      <c r="I177" s="52">
        <f>J177-H177</f>
        <v>0</v>
      </c>
      <c r="J177" s="52">
        <f>F177*G177</f>
        <v>0</v>
      </c>
      <c r="K177" s="52">
        <v>0</v>
      </c>
      <c r="L177" s="52">
        <f>F177*K177</f>
        <v>0</v>
      </c>
      <c r="M177" s="53" t="s">
        <v>469</v>
      </c>
      <c r="P177" s="27">
        <f>IF(AG177="5",J177,0)</f>
        <v>0</v>
      </c>
      <c r="R177" s="27">
        <f>IF(AG177="1",H177,0)</f>
        <v>0</v>
      </c>
      <c r="S177" s="27">
        <f>IF(AG177="1",I177,0)</f>
        <v>0</v>
      </c>
      <c r="T177" s="27">
        <f>IF(AG177="7",H177,0)</f>
        <v>0</v>
      </c>
      <c r="U177" s="27">
        <f>IF(AG177="7",I177,0)</f>
        <v>0</v>
      </c>
      <c r="V177" s="27">
        <f>IF(AG177="2",H177,0)</f>
        <v>0</v>
      </c>
      <c r="W177" s="27">
        <f>IF(AG177="2",I177,0)</f>
        <v>0</v>
      </c>
      <c r="X177" s="27">
        <f>IF(AG177="0",J177,0)</f>
        <v>0</v>
      </c>
      <c r="Y177" s="20"/>
      <c r="Z177" s="13">
        <f>IF(AD177=0,J177,0)</f>
        <v>0</v>
      </c>
      <c r="AA177" s="13">
        <f>IF(AD177=15,J177,0)</f>
        <v>0</v>
      </c>
      <c r="AB177" s="13">
        <f>IF(AD177=21,J177,0)</f>
        <v>0</v>
      </c>
      <c r="AD177" s="27">
        <v>15</v>
      </c>
      <c r="AE177" s="27">
        <f>G177*0</f>
        <v>0</v>
      </c>
      <c r="AF177" s="27">
        <f>G177*(1-0)</f>
        <v>0</v>
      </c>
      <c r="AG177" s="23" t="s">
        <v>6</v>
      </c>
      <c r="AM177" s="27">
        <f>F177*AE177</f>
        <v>0</v>
      </c>
      <c r="AN177" s="27">
        <f>F177*AF177</f>
        <v>0</v>
      </c>
      <c r="AO177" s="28" t="s">
        <v>503</v>
      </c>
      <c r="AP177" s="28" t="s">
        <v>527</v>
      </c>
      <c r="AQ177" s="20" t="s">
        <v>530</v>
      </c>
      <c r="AS177" s="27">
        <f>AM177+AN177</f>
        <v>0</v>
      </c>
      <c r="AT177" s="27">
        <f>G177/(100-AU177)*100</f>
        <v>0</v>
      </c>
      <c r="AU177" s="27">
        <v>0</v>
      </c>
      <c r="AV177" s="27">
        <f>L177</f>
        <v>0</v>
      </c>
    </row>
    <row r="178" spans="2:13" ht="12">
      <c r="B178" s="54"/>
      <c r="C178" s="54"/>
      <c r="D178" s="66" t="s">
        <v>383</v>
      </c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48" ht="12.75">
      <c r="A179" s="4" t="s">
        <v>80</v>
      </c>
      <c r="B179" s="51"/>
      <c r="C179" s="51" t="s">
        <v>204</v>
      </c>
      <c r="D179" s="51" t="s">
        <v>384</v>
      </c>
      <c r="E179" s="51" t="s">
        <v>449</v>
      </c>
      <c r="F179" s="52">
        <v>245</v>
      </c>
      <c r="G179" s="52"/>
      <c r="H179" s="52">
        <f>F179*AE179</f>
        <v>0</v>
      </c>
      <c r="I179" s="52">
        <f>J179-H179</f>
        <v>0</v>
      </c>
      <c r="J179" s="52">
        <f>F179*G179</f>
        <v>0</v>
      </c>
      <c r="K179" s="52">
        <v>0</v>
      </c>
      <c r="L179" s="52">
        <f>F179*K179</f>
        <v>0</v>
      </c>
      <c r="M179" s="53" t="s">
        <v>469</v>
      </c>
      <c r="P179" s="27">
        <f>IF(AG179="5",J179,0)</f>
        <v>0</v>
      </c>
      <c r="R179" s="27">
        <f>IF(AG179="1",H179,0)</f>
        <v>0</v>
      </c>
      <c r="S179" s="27">
        <f>IF(AG179="1",I179,0)</f>
        <v>0</v>
      </c>
      <c r="T179" s="27">
        <f>IF(AG179="7",H179,0)</f>
        <v>0</v>
      </c>
      <c r="U179" s="27">
        <f>IF(AG179="7",I179,0)</f>
        <v>0</v>
      </c>
      <c r="V179" s="27">
        <f>IF(AG179="2",H179,0)</f>
        <v>0</v>
      </c>
      <c r="W179" s="27">
        <f>IF(AG179="2",I179,0)</f>
        <v>0</v>
      </c>
      <c r="X179" s="27">
        <f>IF(AG179="0",J179,0)</f>
        <v>0</v>
      </c>
      <c r="Y179" s="20"/>
      <c r="Z179" s="13">
        <f>IF(AD179=0,J179,0)</f>
        <v>0</v>
      </c>
      <c r="AA179" s="13">
        <f>IF(AD179=15,J179,0)</f>
        <v>0</v>
      </c>
      <c r="AB179" s="13">
        <f>IF(AD179=21,J179,0)</f>
        <v>0</v>
      </c>
      <c r="AD179" s="27">
        <v>15</v>
      </c>
      <c r="AE179" s="27">
        <f>G179*0.343396226415094</f>
        <v>0</v>
      </c>
      <c r="AF179" s="27">
        <f>G179*(1-0.343396226415094)</f>
        <v>0</v>
      </c>
      <c r="AG179" s="23" t="s">
        <v>6</v>
      </c>
      <c r="AM179" s="27">
        <f>F179*AE179</f>
        <v>0</v>
      </c>
      <c r="AN179" s="27">
        <f>F179*AF179</f>
        <v>0</v>
      </c>
      <c r="AO179" s="28" t="s">
        <v>503</v>
      </c>
      <c r="AP179" s="28" t="s">
        <v>527</v>
      </c>
      <c r="AQ179" s="20" t="s">
        <v>530</v>
      </c>
      <c r="AS179" s="27">
        <f>AM179+AN179</f>
        <v>0</v>
      </c>
      <c r="AT179" s="27">
        <f>G179/(100-AU179)*100</f>
        <v>0</v>
      </c>
      <c r="AU179" s="27">
        <v>0</v>
      </c>
      <c r="AV179" s="27">
        <f>L179</f>
        <v>0</v>
      </c>
    </row>
    <row r="180" spans="2:13" ht="12">
      <c r="B180" s="54"/>
      <c r="C180" s="54"/>
      <c r="D180" s="66" t="s">
        <v>385</v>
      </c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48" ht="12.75">
      <c r="A181" s="4" t="s">
        <v>81</v>
      </c>
      <c r="B181" s="51"/>
      <c r="C181" s="51" t="s">
        <v>205</v>
      </c>
      <c r="D181" s="51" t="s">
        <v>386</v>
      </c>
      <c r="E181" s="51" t="s">
        <v>451</v>
      </c>
      <c r="F181" s="52">
        <v>8.32</v>
      </c>
      <c r="G181" s="52"/>
      <c r="H181" s="52">
        <f>F181*AE181</f>
        <v>0</v>
      </c>
      <c r="I181" s="52">
        <f>J181-H181</f>
        <v>0</v>
      </c>
      <c r="J181" s="52">
        <f>F181*G181</f>
        <v>0</v>
      </c>
      <c r="K181" s="52">
        <v>2.525</v>
      </c>
      <c r="L181" s="52">
        <f>F181*K181</f>
        <v>21.008</v>
      </c>
      <c r="M181" s="53" t="s">
        <v>469</v>
      </c>
      <c r="P181" s="27">
        <f>IF(AG181="5",J181,0)</f>
        <v>0</v>
      </c>
      <c r="R181" s="27">
        <f>IF(AG181="1",H181,0)</f>
        <v>0</v>
      </c>
      <c r="S181" s="27">
        <f>IF(AG181="1",I181,0)</f>
        <v>0</v>
      </c>
      <c r="T181" s="27">
        <f>IF(AG181="7",H181,0)</f>
        <v>0</v>
      </c>
      <c r="U181" s="27">
        <f>IF(AG181="7",I181,0)</f>
        <v>0</v>
      </c>
      <c r="V181" s="27">
        <f>IF(AG181="2",H181,0)</f>
        <v>0</v>
      </c>
      <c r="W181" s="27">
        <f>IF(AG181="2",I181,0)</f>
        <v>0</v>
      </c>
      <c r="X181" s="27">
        <f>IF(AG181="0",J181,0)</f>
        <v>0</v>
      </c>
      <c r="Y181" s="20"/>
      <c r="Z181" s="13">
        <f>IF(AD181=0,J181,0)</f>
        <v>0</v>
      </c>
      <c r="AA181" s="13">
        <f>IF(AD181=15,J181,0)</f>
        <v>0</v>
      </c>
      <c r="AB181" s="13">
        <f>IF(AD181=21,J181,0)</f>
        <v>0</v>
      </c>
      <c r="AD181" s="27">
        <v>15</v>
      </c>
      <c r="AE181" s="27">
        <f>G181*0.850970085470086</f>
        <v>0</v>
      </c>
      <c r="AF181" s="27">
        <f>G181*(1-0.850970085470086)</f>
        <v>0</v>
      </c>
      <c r="AG181" s="23" t="s">
        <v>6</v>
      </c>
      <c r="AM181" s="27">
        <f>F181*AE181</f>
        <v>0</v>
      </c>
      <c r="AN181" s="27">
        <f>F181*AF181</f>
        <v>0</v>
      </c>
      <c r="AO181" s="28" t="s">
        <v>503</v>
      </c>
      <c r="AP181" s="28" t="s">
        <v>527</v>
      </c>
      <c r="AQ181" s="20" t="s">
        <v>530</v>
      </c>
      <c r="AS181" s="27">
        <f>AM181+AN181</f>
        <v>0</v>
      </c>
      <c r="AT181" s="27">
        <f>G181/(100-AU181)*100</f>
        <v>0</v>
      </c>
      <c r="AU181" s="27">
        <v>0</v>
      </c>
      <c r="AV181" s="27">
        <f>L181</f>
        <v>21.008</v>
      </c>
    </row>
    <row r="182" spans="2:13" ht="12">
      <c r="B182" s="54"/>
      <c r="C182" s="54"/>
      <c r="D182" s="66" t="s">
        <v>387</v>
      </c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37" ht="12.75">
      <c r="A183" s="5"/>
      <c r="B183" s="55"/>
      <c r="C183" s="55" t="s">
        <v>96</v>
      </c>
      <c r="D183" s="72" t="s">
        <v>388</v>
      </c>
      <c r="E183" s="73"/>
      <c r="F183" s="73"/>
      <c r="G183" s="73"/>
      <c r="H183" s="56">
        <f>SUM(H184:H184)</f>
        <v>0</v>
      </c>
      <c r="I183" s="56">
        <f>SUM(I184:I184)</f>
        <v>0</v>
      </c>
      <c r="J183" s="56">
        <f>H183+I183</f>
        <v>0</v>
      </c>
      <c r="K183" s="57"/>
      <c r="L183" s="56">
        <f>SUM(L184:L184)</f>
        <v>11.47424</v>
      </c>
      <c r="M183" s="57"/>
      <c r="Y183" s="20"/>
      <c r="AI183" s="29">
        <f>SUM(Z184:Z184)</f>
        <v>0</v>
      </c>
      <c r="AJ183" s="29">
        <f>SUM(AA184:AA184)</f>
        <v>0</v>
      </c>
      <c r="AK183" s="29">
        <f>SUM(AB184:AB184)</f>
        <v>0</v>
      </c>
    </row>
    <row r="184" spans="1:48" ht="12.75">
      <c r="A184" s="4" t="s">
        <v>82</v>
      </c>
      <c r="B184" s="51"/>
      <c r="C184" s="51" t="s">
        <v>206</v>
      </c>
      <c r="D184" s="51" t="s">
        <v>389</v>
      </c>
      <c r="E184" s="51" t="s">
        <v>449</v>
      </c>
      <c r="F184" s="52">
        <v>92</v>
      </c>
      <c r="G184" s="52"/>
      <c r="H184" s="52">
        <f>F184*AE184</f>
        <v>0</v>
      </c>
      <c r="I184" s="52">
        <f>J184-H184</f>
        <v>0</v>
      </c>
      <c r="J184" s="52">
        <f>F184*G184</f>
        <v>0</v>
      </c>
      <c r="K184" s="52">
        <v>0.12472</v>
      </c>
      <c r="L184" s="52">
        <f>F184*K184</f>
        <v>11.47424</v>
      </c>
      <c r="M184" s="53" t="s">
        <v>469</v>
      </c>
      <c r="P184" s="27">
        <f>IF(AG184="5",J184,0)</f>
        <v>0</v>
      </c>
      <c r="R184" s="27">
        <f>IF(AG184="1",H184,0)</f>
        <v>0</v>
      </c>
      <c r="S184" s="27">
        <f>IF(AG184="1",I184,0)</f>
        <v>0</v>
      </c>
      <c r="T184" s="27">
        <f>IF(AG184="7",H184,0)</f>
        <v>0</v>
      </c>
      <c r="U184" s="27">
        <f>IF(AG184="7",I184,0)</f>
        <v>0</v>
      </c>
      <c r="V184" s="27">
        <f>IF(AG184="2",H184,0)</f>
        <v>0</v>
      </c>
      <c r="W184" s="27">
        <f>IF(AG184="2",I184,0)</f>
        <v>0</v>
      </c>
      <c r="X184" s="27">
        <f>IF(AG184="0",J184,0)</f>
        <v>0</v>
      </c>
      <c r="Y184" s="20"/>
      <c r="Z184" s="13">
        <f>IF(AD184=0,J184,0)</f>
        <v>0</v>
      </c>
      <c r="AA184" s="13">
        <f>IF(AD184=15,J184,0)</f>
        <v>0</v>
      </c>
      <c r="AB184" s="13">
        <f>IF(AD184=21,J184,0)</f>
        <v>0</v>
      </c>
      <c r="AD184" s="27">
        <v>15</v>
      </c>
      <c r="AE184" s="27">
        <f>G184*0.740275378252447</f>
        <v>0</v>
      </c>
      <c r="AF184" s="27">
        <f>G184*(1-0.740275378252447)</f>
        <v>0</v>
      </c>
      <c r="AG184" s="23" t="s">
        <v>6</v>
      </c>
      <c r="AM184" s="27">
        <f>F184*AE184</f>
        <v>0</v>
      </c>
      <c r="AN184" s="27">
        <f>F184*AF184</f>
        <v>0</v>
      </c>
      <c r="AO184" s="28" t="s">
        <v>504</v>
      </c>
      <c r="AP184" s="28" t="s">
        <v>528</v>
      </c>
      <c r="AQ184" s="20" t="s">
        <v>530</v>
      </c>
      <c r="AS184" s="27">
        <f>AM184+AN184</f>
        <v>0</v>
      </c>
      <c r="AT184" s="27">
        <f>G184/(100-AU184)*100</f>
        <v>0</v>
      </c>
      <c r="AU184" s="27">
        <v>0</v>
      </c>
      <c r="AV184" s="27">
        <f>L184</f>
        <v>11.47424</v>
      </c>
    </row>
    <row r="185" spans="2:13" ht="12">
      <c r="B185" s="54"/>
      <c r="C185" s="54"/>
      <c r="D185" s="66" t="s">
        <v>390</v>
      </c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37" ht="12.75">
      <c r="A186" s="5"/>
      <c r="B186" s="55"/>
      <c r="C186" s="55" t="s">
        <v>99</v>
      </c>
      <c r="D186" s="72" t="s">
        <v>391</v>
      </c>
      <c r="E186" s="73"/>
      <c r="F186" s="73"/>
      <c r="G186" s="73"/>
      <c r="H186" s="56">
        <f>SUM(H187:H195)</f>
        <v>0</v>
      </c>
      <c r="I186" s="56">
        <f>SUM(I187:I195)</f>
        <v>0</v>
      </c>
      <c r="J186" s="56">
        <f>H186+I186</f>
        <v>0</v>
      </c>
      <c r="K186" s="57"/>
      <c r="L186" s="56">
        <f>SUM(L187:L195)</f>
        <v>25.587428</v>
      </c>
      <c r="M186" s="57"/>
      <c r="Y186" s="20"/>
      <c r="AI186" s="29">
        <f>SUM(Z187:Z195)</f>
        <v>0</v>
      </c>
      <c r="AJ186" s="29">
        <f>SUM(AA187:AA195)</f>
        <v>0</v>
      </c>
      <c r="AK186" s="29">
        <f>SUM(AB187:AB195)</f>
        <v>0</v>
      </c>
    </row>
    <row r="187" spans="1:48" ht="12.75">
      <c r="A187" s="4" t="s">
        <v>83</v>
      </c>
      <c r="B187" s="51"/>
      <c r="C187" s="51" t="s">
        <v>207</v>
      </c>
      <c r="D187" s="51" t="s">
        <v>392</v>
      </c>
      <c r="E187" s="51" t="s">
        <v>448</v>
      </c>
      <c r="F187" s="52">
        <v>1285</v>
      </c>
      <c r="G187" s="52"/>
      <c r="H187" s="52">
        <f>F187*AE187</f>
        <v>0</v>
      </c>
      <c r="I187" s="52">
        <f>J187-H187</f>
        <v>0</v>
      </c>
      <c r="J187" s="52">
        <f>F187*G187</f>
        <v>0</v>
      </c>
      <c r="K187" s="52">
        <v>0.01838</v>
      </c>
      <c r="L187" s="52">
        <f>F187*K187</f>
        <v>23.6183</v>
      </c>
      <c r="M187" s="53" t="s">
        <v>469</v>
      </c>
      <c r="P187" s="27">
        <f>IF(AG187="5",J187,0)</f>
        <v>0</v>
      </c>
      <c r="R187" s="27">
        <f>IF(AG187="1",H187,0)</f>
        <v>0</v>
      </c>
      <c r="S187" s="27">
        <f>IF(AG187="1",I187,0)</f>
        <v>0</v>
      </c>
      <c r="T187" s="27">
        <f>IF(AG187="7",H187,0)</f>
        <v>0</v>
      </c>
      <c r="U187" s="27">
        <f>IF(AG187="7",I187,0)</f>
        <v>0</v>
      </c>
      <c r="V187" s="27">
        <f>IF(AG187="2",H187,0)</f>
        <v>0</v>
      </c>
      <c r="W187" s="27">
        <f>IF(AG187="2",I187,0)</f>
        <v>0</v>
      </c>
      <c r="X187" s="27">
        <f>IF(AG187="0",J187,0)</f>
        <v>0</v>
      </c>
      <c r="Y187" s="20"/>
      <c r="Z187" s="13">
        <f>IF(AD187=0,J187,0)</f>
        <v>0</v>
      </c>
      <c r="AA187" s="13">
        <f>IF(AD187=15,J187,0)</f>
        <v>0</v>
      </c>
      <c r="AB187" s="13">
        <f>IF(AD187=21,J187,0)</f>
        <v>0</v>
      </c>
      <c r="AD187" s="27">
        <v>15</v>
      </c>
      <c r="AE187" s="27">
        <f>G187*0.000569259962049336</f>
        <v>0</v>
      </c>
      <c r="AF187" s="27">
        <f>G187*(1-0.000569259962049336)</f>
        <v>0</v>
      </c>
      <c r="AG187" s="23" t="s">
        <v>6</v>
      </c>
      <c r="AM187" s="27">
        <f>F187*AE187</f>
        <v>0</v>
      </c>
      <c r="AN187" s="27">
        <f>F187*AF187</f>
        <v>0</v>
      </c>
      <c r="AO187" s="28" t="s">
        <v>505</v>
      </c>
      <c r="AP187" s="28" t="s">
        <v>528</v>
      </c>
      <c r="AQ187" s="20" t="s">
        <v>530</v>
      </c>
      <c r="AS187" s="27">
        <f>AM187+AN187</f>
        <v>0</v>
      </c>
      <c r="AT187" s="27">
        <f>G187/(100-AU187)*100</f>
        <v>0</v>
      </c>
      <c r="AU187" s="27">
        <v>0</v>
      </c>
      <c r="AV187" s="27">
        <f>L187</f>
        <v>23.6183</v>
      </c>
    </row>
    <row r="188" spans="1:48" ht="12.75">
      <c r="A188" s="4" t="s">
        <v>84</v>
      </c>
      <c r="B188" s="51"/>
      <c r="C188" s="51" t="s">
        <v>208</v>
      </c>
      <c r="D188" s="51" t="s">
        <v>393</v>
      </c>
      <c r="E188" s="51" t="s">
        <v>448</v>
      </c>
      <c r="F188" s="52">
        <v>1285</v>
      </c>
      <c r="G188" s="52"/>
      <c r="H188" s="52">
        <f>F188*AE188</f>
        <v>0</v>
      </c>
      <c r="I188" s="52">
        <f>J188-H188</f>
        <v>0</v>
      </c>
      <c r="J188" s="52">
        <f>F188*G188</f>
        <v>0</v>
      </c>
      <c r="K188" s="52">
        <v>0.0008</v>
      </c>
      <c r="L188" s="52">
        <f>F188*K188</f>
        <v>1.028</v>
      </c>
      <c r="M188" s="53" t="s">
        <v>469</v>
      </c>
      <c r="P188" s="27">
        <f>IF(AG188="5",J188,0)</f>
        <v>0</v>
      </c>
      <c r="R188" s="27">
        <f>IF(AG188="1",H188,0)</f>
        <v>0</v>
      </c>
      <c r="S188" s="27">
        <f>IF(AG188="1",I188,0)</f>
        <v>0</v>
      </c>
      <c r="T188" s="27">
        <f>IF(AG188="7",H188,0)</f>
        <v>0</v>
      </c>
      <c r="U188" s="27">
        <f>IF(AG188="7",I188,0)</f>
        <v>0</v>
      </c>
      <c r="V188" s="27">
        <f>IF(AG188="2",H188,0)</f>
        <v>0</v>
      </c>
      <c r="W188" s="27">
        <f>IF(AG188="2",I188,0)</f>
        <v>0</v>
      </c>
      <c r="X188" s="27">
        <f>IF(AG188="0",J188,0)</f>
        <v>0</v>
      </c>
      <c r="Y188" s="20"/>
      <c r="Z188" s="13">
        <f>IF(AD188=0,J188,0)</f>
        <v>0</v>
      </c>
      <c r="AA188" s="13">
        <f>IF(AD188=15,J188,0)</f>
        <v>0</v>
      </c>
      <c r="AB188" s="13">
        <f>IF(AD188=21,J188,0)</f>
        <v>0</v>
      </c>
      <c r="AD188" s="27">
        <v>15</v>
      </c>
      <c r="AE188" s="27">
        <f>G188*0.925724637681159</f>
        <v>0</v>
      </c>
      <c r="AF188" s="27">
        <f>G188*(1-0.925724637681159)</f>
        <v>0</v>
      </c>
      <c r="AG188" s="23" t="s">
        <v>6</v>
      </c>
      <c r="AM188" s="27">
        <f>F188*AE188</f>
        <v>0</v>
      </c>
      <c r="AN188" s="27">
        <f>F188*AF188</f>
        <v>0</v>
      </c>
      <c r="AO188" s="28" t="s">
        <v>505</v>
      </c>
      <c r="AP188" s="28" t="s">
        <v>528</v>
      </c>
      <c r="AQ188" s="20" t="s">
        <v>530</v>
      </c>
      <c r="AS188" s="27">
        <f>AM188+AN188</f>
        <v>0</v>
      </c>
      <c r="AT188" s="27">
        <f>G188/(100-AU188)*100</f>
        <v>0</v>
      </c>
      <c r="AU188" s="27">
        <v>0</v>
      </c>
      <c r="AV188" s="27">
        <f>L188</f>
        <v>1.028</v>
      </c>
    </row>
    <row r="189" spans="2:13" ht="12">
      <c r="B189" s="54"/>
      <c r="C189" s="54"/>
      <c r="D189" s="66" t="s">
        <v>394</v>
      </c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48" ht="12.75">
      <c r="A190" s="4" t="s">
        <v>85</v>
      </c>
      <c r="B190" s="51"/>
      <c r="C190" s="51" t="s">
        <v>209</v>
      </c>
      <c r="D190" s="51" t="s">
        <v>395</v>
      </c>
      <c r="E190" s="51" t="s">
        <v>448</v>
      </c>
      <c r="F190" s="52">
        <v>1285</v>
      </c>
      <c r="G190" s="52"/>
      <c r="H190" s="52">
        <f aca="true" t="shared" si="0" ref="H190:H195">F190*AE190</f>
        <v>0</v>
      </c>
      <c r="I190" s="52">
        <f aca="true" t="shared" si="1" ref="I190:I195">J190-H190</f>
        <v>0</v>
      </c>
      <c r="J190" s="52">
        <f aca="true" t="shared" si="2" ref="J190:J195">F190*G190</f>
        <v>0</v>
      </c>
      <c r="K190" s="52">
        <v>0</v>
      </c>
      <c r="L190" s="52">
        <f aca="true" t="shared" si="3" ref="L190:L195">F190*K190</f>
        <v>0</v>
      </c>
      <c r="M190" s="53" t="s">
        <v>469</v>
      </c>
      <c r="P190" s="27">
        <f aca="true" t="shared" si="4" ref="P190:P195">IF(AG190="5",J190,0)</f>
        <v>0</v>
      </c>
      <c r="R190" s="27">
        <f aca="true" t="shared" si="5" ref="R190:R195">IF(AG190="1",H190,0)</f>
        <v>0</v>
      </c>
      <c r="S190" s="27">
        <f aca="true" t="shared" si="6" ref="S190:S195">IF(AG190="1",I190,0)</f>
        <v>0</v>
      </c>
      <c r="T190" s="27">
        <f aca="true" t="shared" si="7" ref="T190:T195">IF(AG190="7",H190,0)</f>
        <v>0</v>
      </c>
      <c r="U190" s="27">
        <f aca="true" t="shared" si="8" ref="U190:U195">IF(AG190="7",I190,0)</f>
        <v>0</v>
      </c>
      <c r="V190" s="27">
        <f aca="true" t="shared" si="9" ref="V190:V195">IF(AG190="2",H190,0)</f>
        <v>0</v>
      </c>
      <c r="W190" s="27">
        <f aca="true" t="shared" si="10" ref="W190:W195">IF(AG190="2",I190,0)</f>
        <v>0</v>
      </c>
      <c r="X190" s="27">
        <f aca="true" t="shared" si="11" ref="X190:X195">IF(AG190="0",J190,0)</f>
        <v>0</v>
      </c>
      <c r="Y190" s="20"/>
      <c r="Z190" s="13">
        <f aca="true" t="shared" si="12" ref="Z190:Z195">IF(AD190=0,J190,0)</f>
        <v>0</v>
      </c>
      <c r="AA190" s="13">
        <f aca="true" t="shared" si="13" ref="AA190:AA195">IF(AD190=15,J190,0)</f>
        <v>0</v>
      </c>
      <c r="AB190" s="13">
        <f aca="true" t="shared" si="14" ref="AB190:AB195">IF(AD190=21,J190,0)</f>
        <v>0</v>
      </c>
      <c r="AD190" s="27">
        <v>15</v>
      </c>
      <c r="AE190" s="27">
        <f>G190*0</f>
        <v>0</v>
      </c>
      <c r="AF190" s="27">
        <f>G190*(1-0)</f>
        <v>0</v>
      </c>
      <c r="AG190" s="23" t="s">
        <v>6</v>
      </c>
      <c r="AM190" s="27">
        <f aca="true" t="shared" si="15" ref="AM190:AM195">F190*AE190</f>
        <v>0</v>
      </c>
      <c r="AN190" s="27">
        <f aca="true" t="shared" si="16" ref="AN190:AN195">F190*AF190</f>
        <v>0</v>
      </c>
      <c r="AO190" s="28" t="s">
        <v>505</v>
      </c>
      <c r="AP190" s="28" t="s">
        <v>528</v>
      </c>
      <c r="AQ190" s="20" t="s">
        <v>530</v>
      </c>
      <c r="AS190" s="27">
        <f aca="true" t="shared" si="17" ref="AS190:AS195">AM190+AN190</f>
        <v>0</v>
      </c>
      <c r="AT190" s="27">
        <f aca="true" t="shared" si="18" ref="AT190:AT195">G190/(100-AU190)*100</f>
        <v>0</v>
      </c>
      <c r="AU190" s="27">
        <v>0</v>
      </c>
      <c r="AV190" s="27">
        <f aca="true" t="shared" si="19" ref="AV190:AV195">L190</f>
        <v>0</v>
      </c>
    </row>
    <row r="191" spans="1:48" ht="12.75">
      <c r="A191" s="4" t="s">
        <v>86</v>
      </c>
      <c r="B191" s="51"/>
      <c r="C191" s="51" t="s">
        <v>210</v>
      </c>
      <c r="D191" s="51" t="s">
        <v>396</v>
      </c>
      <c r="E191" s="51" t="s">
        <v>448</v>
      </c>
      <c r="F191" s="52">
        <v>1285</v>
      </c>
      <c r="G191" s="52"/>
      <c r="H191" s="52">
        <f t="shared" si="0"/>
        <v>0</v>
      </c>
      <c r="I191" s="52">
        <f t="shared" si="1"/>
        <v>0</v>
      </c>
      <c r="J191" s="52">
        <f t="shared" si="2"/>
        <v>0</v>
      </c>
      <c r="K191" s="52">
        <v>0</v>
      </c>
      <c r="L191" s="52">
        <f t="shared" si="3"/>
        <v>0</v>
      </c>
      <c r="M191" s="53" t="s">
        <v>469</v>
      </c>
      <c r="P191" s="27">
        <f t="shared" si="4"/>
        <v>0</v>
      </c>
      <c r="R191" s="27">
        <f t="shared" si="5"/>
        <v>0</v>
      </c>
      <c r="S191" s="27">
        <f t="shared" si="6"/>
        <v>0</v>
      </c>
      <c r="T191" s="27">
        <f t="shared" si="7"/>
        <v>0</v>
      </c>
      <c r="U191" s="27">
        <f t="shared" si="8"/>
        <v>0</v>
      </c>
      <c r="V191" s="27">
        <f t="shared" si="9"/>
        <v>0</v>
      </c>
      <c r="W191" s="27">
        <f t="shared" si="10"/>
        <v>0</v>
      </c>
      <c r="X191" s="27">
        <f t="shared" si="11"/>
        <v>0</v>
      </c>
      <c r="Y191" s="20"/>
      <c r="Z191" s="13">
        <f t="shared" si="12"/>
        <v>0</v>
      </c>
      <c r="AA191" s="13">
        <f t="shared" si="13"/>
        <v>0</v>
      </c>
      <c r="AB191" s="13">
        <f t="shared" si="14"/>
        <v>0</v>
      </c>
      <c r="AD191" s="27">
        <v>15</v>
      </c>
      <c r="AE191" s="27">
        <f>G191*0</f>
        <v>0</v>
      </c>
      <c r="AF191" s="27">
        <f>G191*(1-0)</f>
        <v>0</v>
      </c>
      <c r="AG191" s="23" t="s">
        <v>6</v>
      </c>
      <c r="AM191" s="27">
        <f t="shared" si="15"/>
        <v>0</v>
      </c>
      <c r="AN191" s="27">
        <f t="shared" si="16"/>
        <v>0</v>
      </c>
      <c r="AO191" s="28" t="s">
        <v>505</v>
      </c>
      <c r="AP191" s="28" t="s">
        <v>528</v>
      </c>
      <c r="AQ191" s="20" t="s">
        <v>530</v>
      </c>
      <c r="AS191" s="27">
        <f t="shared" si="17"/>
        <v>0</v>
      </c>
      <c r="AT191" s="27">
        <f t="shared" si="18"/>
        <v>0</v>
      </c>
      <c r="AU191" s="27">
        <v>0</v>
      </c>
      <c r="AV191" s="27">
        <f t="shared" si="19"/>
        <v>0</v>
      </c>
    </row>
    <row r="192" spans="1:48" ht="12.75">
      <c r="A192" s="4" t="s">
        <v>87</v>
      </c>
      <c r="B192" s="51"/>
      <c r="C192" s="51" t="s">
        <v>211</v>
      </c>
      <c r="D192" s="51" t="s">
        <v>397</v>
      </c>
      <c r="E192" s="51" t="s">
        <v>448</v>
      </c>
      <c r="F192" s="52">
        <v>1285</v>
      </c>
      <c r="G192" s="52"/>
      <c r="H192" s="52">
        <f t="shared" si="0"/>
        <v>0</v>
      </c>
      <c r="I192" s="52">
        <f t="shared" si="1"/>
        <v>0</v>
      </c>
      <c r="J192" s="52">
        <f t="shared" si="2"/>
        <v>0</v>
      </c>
      <c r="K192" s="52">
        <v>0</v>
      </c>
      <c r="L192" s="52">
        <f t="shared" si="3"/>
        <v>0</v>
      </c>
      <c r="M192" s="53" t="s">
        <v>469</v>
      </c>
      <c r="P192" s="27">
        <f t="shared" si="4"/>
        <v>0</v>
      </c>
      <c r="R192" s="27">
        <f t="shared" si="5"/>
        <v>0</v>
      </c>
      <c r="S192" s="27">
        <f t="shared" si="6"/>
        <v>0</v>
      </c>
      <c r="T192" s="27">
        <f t="shared" si="7"/>
        <v>0</v>
      </c>
      <c r="U192" s="27">
        <f t="shared" si="8"/>
        <v>0</v>
      </c>
      <c r="V192" s="27">
        <f t="shared" si="9"/>
        <v>0</v>
      </c>
      <c r="W192" s="27">
        <f t="shared" si="10"/>
        <v>0</v>
      </c>
      <c r="X192" s="27">
        <f t="shared" si="11"/>
        <v>0</v>
      </c>
      <c r="Y192" s="20"/>
      <c r="Z192" s="13">
        <f t="shared" si="12"/>
        <v>0</v>
      </c>
      <c r="AA192" s="13">
        <f t="shared" si="13"/>
        <v>0</v>
      </c>
      <c r="AB192" s="13">
        <f t="shared" si="14"/>
        <v>0</v>
      </c>
      <c r="AD192" s="27">
        <v>15</v>
      </c>
      <c r="AE192" s="27">
        <f>G192*0</f>
        <v>0</v>
      </c>
      <c r="AF192" s="27">
        <f>G192*(1-0)</f>
        <v>0</v>
      </c>
      <c r="AG192" s="23" t="s">
        <v>6</v>
      </c>
      <c r="AM192" s="27">
        <f t="shared" si="15"/>
        <v>0</v>
      </c>
      <c r="AN192" s="27">
        <f t="shared" si="16"/>
        <v>0</v>
      </c>
      <c r="AO192" s="28" t="s">
        <v>505</v>
      </c>
      <c r="AP192" s="28" t="s">
        <v>528</v>
      </c>
      <c r="AQ192" s="20" t="s">
        <v>530</v>
      </c>
      <c r="AS192" s="27">
        <f t="shared" si="17"/>
        <v>0</v>
      </c>
      <c r="AT192" s="27">
        <f t="shared" si="18"/>
        <v>0</v>
      </c>
      <c r="AU192" s="27">
        <v>0</v>
      </c>
      <c r="AV192" s="27">
        <f t="shared" si="19"/>
        <v>0</v>
      </c>
    </row>
    <row r="193" spans="1:48" ht="12.75">
      <c r="A193" s="4" t="s">
        <v>88</v>
      </c>
      <c r="B193" s="51"/>
      <c r="C193" s="51" t="s">
        <v>212</v>
      </c>
      <c r="D193" s="51" t="s">
        <v>398</v>
      </c>
      <c r="E193" s="51" t="s">
        <v>449</v>
      </c>
      <c r="F193" s="52">
        <v>16.8</v>
      </c>
      <c r="G193" s="52"/>
      <c r="H193" s="52">
        <f t="shared" si="0"/>
        <v>0</v>
      </c>
      <c r="I193" s="52">
        <f t="shared" si="1"/>
        <v>0</v>
      </c>
      <c r="J193" s="52">
        <f t="shared" si="2"/>
        <v>0</v>
      </c>
      <c r="K193" s="52">
        <v>0.02279</v>
      </c>
      <c r="L193" s="52">
        <f t="shared" si="3"/>
        <v>0.38287200000000005</v>
      </c>
      <c r="M193" s="53" t="s">
        <v>469</v>
      </c>
      <c r="P193" s="27">
        <f t="shared" si="4"/>
        <v>0</v>
      </c>
      <c r="R193" s="27">
        <f t="shared" si="5"/>
        <v>0</v>
      </c>
      <c r="S193" s="27">
        <f t="shared" si="6"/>
        <v>0</v>
      </c>
      <c r="T193" s="27">
        <f t="shared" si="7"/>
        <v>0</v>
      </c>
      <c r="U193" s="27">
        <f t="shared" si="8"/>
        <v>0</v>
      </c>
      <c r="V193" s="27">
        <f t="shared" si="9"/>
        <v>0</v>
      </c>
      <c r="W193" s="27">
        <f t="shared" si="10"/>
        <v>0</v>
      </c>
      <c r="X193" s="27">
        <f t="shared" si="11"/>
        <v>0</v>
      </c>
      <c r="Y193" s="20"/>
      <c r="Z193" s="13">
        <f t="shared" si="12"/>
        <v>0</v>
      </c>
      <c r="AA193" s="13">
        <f t="shared" si="13"/>
        <v>0</v>
      </c>
      <c r="AB193" s="13">
        <f t="shared" si="14"/>
        <v>0</v>
      </c>
      <c r="AD193" s="27">
        <v>15</v>
      </c>
      <c r="AE193" s="27">
        <f>G193*0.410786516853933</f>
        <v>0</v>
      </c>
      <c r="AF193" s="27">
        <f>G193*(1-0.410786516853933)</f>
        <v>0</v>
      </c>
      <c r="AG193" s="23" t="s">
        <v>6</v>
      </c>
      <c r="AM193" s="27">
        <f t="shared" si="15"/>
        <v>0</v>
      </c>
      <c r="AN193" s="27">
        <f t="shared" si="16"/>
        <v>0</v>
      </c>
      <c r="AO193" s="28" t="s">
        <v>505</v>
      </c>
      <c r="AP193" s="28" t="s">
        <v>528</v>
      </c>
      <c r="AQ193" s="20" t="s">
        <v>530</v>
      </c>
      <c r="AS193" s="27">
        <f t="shared" si="17"/>
        <v>0</v>
      </c>
      <c r="AT193" s="27">
        <f t="shared" si="18"/>
        <v>0</v>
      </c>
      <c r="AU193" s="27">
        <v>0</v>
      </c>
      <c r="AV193" s="27">
        <f t="shared" si="19"/>
        <v>0.38287200000000005</v>
      </c>
    </row>
    <row r="194" spans="1:48" ht="12.75">
      <c r="A194" s="4" t="s">
        <v>89</v>
      </c>
      <c r="B194" s="51"/>
      <c r="C194" s="51" t="s">
        <v>213</v>
      </c>
      <c r="D194" s="51" t="s">
        <v>399</v>
      </c>
      <c r="E194" s="51" t="s">
        <v>449</v>
      </c>
      <c r="F194" s="52">
        <v>16.8</v>
      </c>
      <c r="G194" s="52"/>
      <c r="H194" s="52">
        <f t="shared" si="0"/>
        <v>0</v>
      </c>
      <c r="I194" s="52">
        <f t="shared" si="1"/>
        <v>0</v>
      </c>
      <c r="J194" s="52">
        <f t="shared" si="2"/>
        <v>0</v>
      </c>
      <c r="K194" s="52">
        <v>0</v>
      </c>
      <c r="L194" s="52">
        <f t="shared" si="3"/>
        <v>0</v>
      </c>
      <c r="M194" s="53" t="s">
        <v>469</v>
      </c>
      <c r="P194" s="27">
        <f t="shared" si="4"/>
        <v>0</v>
      </c>
      <c r="R194" s="27">
        <f t="shared" si="5"/>
        <v>0</v>
      </c>
      <c r="S194" s="27">
        <f t="shared" si="6"/>
        <v>0</v>
      </c>
      <c r="T194" s="27">
        <f t="shared" si="7"/>
        <v>0</v>
      </c>
      <c r="U194" s="27">
        <f t="shared" si="8"/>
        <v>0</v>
      </c>
      <c r="V194" s="27">
        <f t="shared" si="9"/>
        <v>0</v>
      </c>
      <c r="W194" s="27">
        <f t="shared" si="10"/>
        <v>0</v>
      </c>
      <c r="X194" s="27">
        <f t="shared" si="11"/>
        <v>0</v>
      </c>
      <c r="Y194" s="20"/>
      <c r="Z194" s="13">
        <f t="shared" si="12"/>
        <v>0</v>
      </c>
      <c r="AA194" s="13">
        <f t="shared" si="13"/>
        <v>0</v>
      </c>
      <c r="AB194" s="13">
        <f t="shared" si="14"/>
        <v>0</v>
      </c>
      <c r="AD194" s="27">
        <v>15</v>
      </c>
      <c r="AE194" s="27">
        <f>G194*0</f>
        <v>0</v>
      </c>
      <c r="AF194" s="27">
        <f>G194*(1-0)</f>
        <v>0</v>
      </c>
      <c r="AG194" s="23" t="s">
        <v>6</v>
      </c>
      <c r="AM194" s="27">
        <f t="shared" si="15"/>
        <v>0</v>
      </c>
      <c r="AN194" s="27">
        <f t="shared" si="16"/>
        <v>0</v>
      </c>
      <c r="AO194" s="28" t="s">
        <v>505</v>
      </c>
      <c r="AP194" s="28" t="s">
        <v>528</v>
      </c>
      <c r="AQ194" s="20" t="s">
        <v>530</v>
      </c>
      <c r="AS194" s="27">
        <f t="shared" si="17"/>
        <v>0</v>
      </c>
      <c r="AT194" s="27">
        <f t="shared" si="18"/>
        <v>0</v>
      </c>
      <c r="AU194" s="27">
        <v>0</v>
      </c>
      <c r="AV194" s="27">
        <f t="shared" si="19"/>
        <v>0</v>
      </c>
    </row>
    <row r="195" spans="1:48" ht="12.75">
      <c r="A195" s="4" t="s">
        <v>90</v>
      </c>
      <c r="B195" s="51"/>
      <c r="C195" s="51" t="s">
        <v>214</v>
      </c>
      <c r="D195" s="51" t="s">
        <v>400</v>
      </c>
      <c r="E195" s="51" t="s">
        <v>448</v>
      </c>
      <c r="F195" s="52">
        <v>94.3</v>
      </c>
      <c r="G195" s="52"/>
      <c r="H195" s="52">
        <f t="shared" si="0"/>
        <v>0</v>
      </c>
      <c r="I195" s="52">
        <f t="shared" si="1"/>
        <v>0</v>
      </c>
      <c r="J195" s="52">
        <f t="shared" si="2"/>
        <v>0</v>
      </c>
      <c r="K195" s="52">
        <v>0.00592</v>
      </c>
      <c r="L195" s="52">
        <f t="shared" si="3"/>
        <v>0.558256</v>
      </c>
      <c r="M195" s="53" t="s">
        <v>469</v>
      </c>
      <c r="P195" s="27">
        <f t="shared" si="4"/>
        <v>0</v>
      </c>
      <c r="R195" s="27">
        <f t="shared" si="5"/>
        <v>0</v>
      </c>
      <c r="S195" s="27">
        <f t="shared" si="6"/>
        <v>0</v>
      </c>
      <c r="T195" s="27">
        <f t="shared" si="7"/>
        <v>0</v>
      </c>
      <c r="U195" s="27">
        <f t="shared" si="8"/>
        <v>0</v>
      </c>
      <c r="V195" s="27">
        <f t="shared" si="9"/>
        <v>0</v>
      </c>
      <c r="W195" s="27">
        <f t="shared" si="10"/>
        <v>0</v>
      </c>
      <c r="X195" s="27">
        <f t="shared" si="11"/>
        <v>0</v>
      </c>
      <c r="Y195" s="20"/>
      <c r="Z195" s="13">
        <f t="shared" si="12"/>
        <v>0</v>
      </c>
      <c r="AA195" s="13">
        <f t="shared" si="13"/>
        <v>0</v>
      </c>
      <c r="AB195" s="13">
        <f t="shared" si="14"/>
        <v>0</v>
      </c>
      <c r="AD195" s="27">
        <v>15</v>
      </c>
      <c r="AE195" s="27">
        <f>G195*0.48957654723127</f>
        <v>0</v>
      </c>
      <c r="AF195" s="27">
        <f>G195*(1-0.48957654723127)</f>
        <v>0</v>
      </c>
      <c r="AG195" s="23" t="s">
        <v>6</v>
      </c>
      <c r="AM195" s="27">
        <f t="shared" si="15"/>
        <v>0</v>
      </c>
      <c r="AN195" s="27">
        <f t="shared" si="16"/>
        <v>0</v>
      </c>
      <c r="AO195" s="28" t="s">
        <v>505</v>
      </c>
      <c r="AP195" s="28" t="s">
        <v>528</v>
      </c>
      <c r="AQ195" s="20" t="s">
        <v>530</v>
      </c>
      <c r="AS195" s="27">
        <f t="shared" si="17"/>
        <v>0</v>
      </c>
      <c r="AT195" s="27">
        <f t="shared" si="18"/>
        <v>0</v>
      </c>
      <c r="AU195" s="27">
        <v>0</v>
      </c>
      <c r="AV195" s="27">
        <f t="shared" si="19"/>
        <v>0.558256</v>
      </c>
    </row>
    <row r="196" spans="2:13" ht="12">
      <c r="B196" s="54"/>
      <c r="C196" s="54"/>
      <c r="D196" s="66" t="s">
        <v>401</v>
      </c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37" ht="12.75">
      <c r="A197" s="5"/>
      <c r="B197" s="55"/>
      <c r="C197" s="55" t="s">
        <v>100</v>
      </c>
      <c r="D197" s="72" t="s">
        <v>402</v>
      </c>
      <c r="E197" s="73"/>
      <c r="F197" s="73"/>
      <c r="G197" s="73"/>
      <c r="H197" s="56">
        <f>SUM(H198:H200)</f>
        <v>0</v>
      </c>
      <c r="I197" s="56">
        <f>SUM(I198:I200)</f>
        <v>0</v>
      </c>
      <c r="J197" s="56">
        <f>H197+I197</f>
        <v>0</v>
      </c>
      <c r="K197" s="57"/>
      <c r="L197" s="56">
        <f>SUM(L198:L200)</f>
        <v>3.8791667999999997</v>
      </c>
      <c r="M197" s="57"/>
      <c r="Y197" s="20"/>
      <c r="AI197" s="29">
        <f>SUM(Z198:Z200)</f>
        <v>0</v>
      </c>
      <c r="AJ197" s="29">
        <f>SUM(AA198:AA200)</f>
        <v>0</v>
      </c>
      <c r="AK197" s="29">
        <f>SUM(AB198:AB200)</f>
        <v>0</v>
      </c>
    </row>
    <row r="198" spans="1:48" ht="12.75">
      <c r="A198" s="4" t="s">
        <v>91</v>
      </c>
      <c r="B198" s="51"/>
      <c r="C198" s="51" t="s">
        <v>215</v>
      </c>
      <c r="D198" s="51" t="s">
        <v>403</v>
      </c>
      <c r="E198" s="51" t="s">
        <v>450</v>
      </c>
      <c r="F198" s="52">
        <v>3</v>
      </c>
      <c r="G198" s="52"/>
      <c r="H198" s="52">
        <f>F198*AE198</f>
        <v>0</v>
      </c>
      <c r="I198" s="52">
        <f>J198-H198</f>
        <v>0</v>
      </c>
      <c r="J198" s="52">
        <f>F198*G198</f>
        <v>0</v>
      </c>
      <c r="K198" s="52">
        <v>0.02038</v>
      </c>
      <c r="L198" s="52">
        <f>F198*K198</f>
        <v>0.06114</v>
      </c>
      <c r="M198" s="53" t="s">
        <v>469</v>
      </c>
      <c r="P198" s="27">
        <f>IF(AG198="5",J198,0)</f>
        <v>0</v>
      </c>
      <c r="R198" s="27">
        <f>IF(AG198="1",H198,0)</f>
        <v>0</v>
      </c>
      <c r="S198" s="27">
        <f>IF(AG198="1",I198,0)</f>
        <v>0</v>
      </c>
      <c r="T198" s="27">
        <f>IF(AG198="7",H198,0)</f>
        <v>0</v>
      </c>
      <c r="U198" s="27">
        <f>IF(AG198="7",I198,0)</f>
        <v>0</v>
      </c>
      <c r="V198" s="27">
        <f>IF(AG198="2",H198,0)</f>
        <v>0</v>
      </c>
      <c r="W198" s="27">
        <f>IF(AG198="2",I198,0)</f>
        <v>0</v>
      </c>
      <c r="X198" s="27">
        <f>IF(AG198="0",J198,0)</f>
        <v>0</v>
      </c>
      <c r="Y198" s="20"/>
      <c r="Z198" s="13">
        <f>IF(AD198=0,J198,0)</f>
        <v>0</v>
      </c>
      <c r="AA198" s="13">
        <f>IF(AD198=15,J198,0)</f>
        <v>0</v>
      </c>
      <c r="AB198" s="13">
        <f>IF(AD198=21,J198,0)</f>
        <v>0</v>
      </c>
      <c r="AD198" s="27">
        <v>15</v>
      </c>
      <c r="AE198" s="27">
        <f>G198*0.679864314789688</f>
        <v>0</v>
      </c>
      <c r="AF198" s="27">
        <f>G198*(1-0.679864314789688)</f>
        <v>0</v>
      </c>
      <c r="AG198" s="23" t="s">
        <v>6</v>
      </c>
      <c r="AM198" s="27">
        <f>F198*AE198</f>
        <v>0</v>
      </c>
      <c r="AN198" s="27">
        <f>F198*AF198</f>
        <v>0</v>
      </c>
      <c r="AO198" s="28" t="s">
        <v>506</v>
      </c>
      <c r="AP198" s="28" t="s">
        <v>528</v>
      </c>
      <c r="AQ198" s="20" t="s">
        <v>530</v>
      </c>
      <c r="AS198" s="27">
        <f>AM198+AN198</f>
        <v>0</v>
      </c>
      <c r="AT198" s="27">
        <f>G198/(100-AU198)*100</f>
        <v>0</v>
      </c>
      <c r="AU198" s="27">
        <v>0</v>
      </c>
      <c r="AV198" s="27">
        <f>L198</f>
        <v>0.06114</v>
      </c>
    </row>
    <row r="199" spans="2:13" ht="12">
      <c r="B199" s="54"/>
      <c r="C199" s="54"/>
      <c r="D199" s="66" t="s">
        <v>404</v>
      </c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1:48" ht="12.75">
      <c r="A200" s="4" t="s">
        <v>92</v>
      </c>
      <c r="B200" s="51"/>
      <c r="C200" s="51" t="s">
        <v>216</v>
      </c>
      <c r="D200" s="51" t="s">
        <v>597</v>
      </c>
      <c r="E200" s="51" t="s">
        <v>448</v>
      </c>
      <c r="F200" s="52">
        <v>7.56</v>
      </c>
      <c r="G200" s="52"/>
      <c r="H200" s="52">
        <f>F200*AE200</f>
        <v>0</v>
      </c>
      <c r="I200" s="52">
        <f>J200-H200</f>
        <v>0</v>
      </c>
      <c r="J200" s="52">
        <f>F200*G200</f>
        <v>0</v>
      </c>
      <c r="K200" s="52">
        <v>0.50503</v>
      </c>
      <c r="L200" s="52">
        <f>F200*K200</f>
        <v>3.8180267999999997</v>
      </c>
      <c r="M200" s="53" t="s">
        <v>469</v>
      </c>
      <c r="P200" s="27">
        <f>IF(AG200="5",J200,0)</f>
        <v>0</v>
      </c>
      <c r="R200" s="27">
        <f>IF(AG200="1",H200,0)</f>
        <v>0</v>
      </c>
      <c r="S200" s="27">
        <f>IF(AG200="1",I200,0)</f>
        <v>0</v>
      </c>
      <c r="T200" s="27">
        <f>IF(AG200="7",H200,0)</f>
        <v>0</v>
      </c>
      <c r="U200" s="27">
        <f>IF(AG200="7",I200,0)</f>
        <v>0</v>
      </c>
      <c r="V200" s="27">
        <f>IF(AG200="2",H200,0)</f>
        <v>0</v>
      </c>
      <c r="W200" s="27">
        <f>IF(AG200="2",I200,0)</f>
        <v>0</v>
      </c>
      <c r="X200" s="27">
        <f>IF(AG200="0",J200,0)</f>
        <v>0</v>
      </c>
      <c r="Y200" s="20"/>
      <c r="Z200" s="13">
        <f>IF(AD200=0,J200,0)</f>
        <v>0</v>
      </c>
      <c r="AA200" s="13">
        <f>IF(AD200=15,J200,0)</f>
        <v>0</v>
      </c>
      <c r="AB200" s="13">
        <f>IF(AD200=21,J200,0)</f>
        <v>0</v>
      </c>
      <c r="AD200" s="27">
        <v>15</v>
      </c>
      <c r="AE200" s="27">
        <f>G200*0.733107801536859</f>
        <v>0</v>
      </c>
      <c r="AF200" s="27">
        <f>G200*(1-0.733107801536859)</f>
        <v>0</v>
      </c>
      <c r="AG200" s="23" t="s">
        <v>6</v>
      </c>
      <c r="AM200" s="27">
        <f>F200*AE200</f>
        <v>0</v>
      </c>
      <c r="AN200" s="27">
        <f>F200*AF200</f>
        <v>0</v>
      </c>
      <c r="AO200" s="28" t="s">
        <v>506</v>
      </c>
      <c r="AP200" s="28" t="s">
        <v>528</v>
      </c>
      <c r="AQ200" s="20" t="s">
        <v>530</v>
      </c>
      <c r="AS200" s="27">
        <f>AM200+AN200</f>
        <v>0</v>
      </c>
      <c r="AT200" s="27">
        <f>G200/(100-AU200)*100</f>
        <v>0</v>
      </c>
      <c r="AU200" s="27">
        <v>0</v>
      </c>
      <c r="AV200" s="27">
        <f>L200</f>
        <v>3.8180267999999997</v>
      </c>
    </row>
    <row r="201" spans="2:13" ht="12">
      <c r="B201" s="54"/>
      <c r="C201" s="54"/>
      <c r="D201" s="66" t="s">
        <v>405</v>
      </c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1:37" ht="12.75">
      <c r="A202" s="5"/>
      <c r="B202" s="55"/>
      <c r="C202" s="55" t="s">
        <v>101</v>
      </c>
      <c r="D202" s="72" t="s">
        <v>406</v>
      </c>
      <c r="E202" s="73"/>
      <c r="F202" s="73"/>
      <c r="G202" s="73"/>
      <c r="H202" s="56">
        <f>SUM(H203:H211)</f>
        <v>0</v>
      </c>
      <c r="I202" s="56">
        <f>SUM(I203:I211)</f>
        <v>0</v>
      </c>
      <c r="J202" s="56">
        <f>H202+I202</f>
        <v>0</v>
      </c>
      <c r="K202" s="57"/>
      <c r="L202" s="56">
        <f>SUM(L203:L211)</f>
        <v>178.57018200000002</v>
      </c>
      <c r="M202" s="57"/>
      <c r="Y202" s="20"/>
      <c r="AI202" s="29">
        <f>SUM(Z203:Z211)</f>
        <v>0</v>
      </c>
      <c r="AJ202" s="29">
        <f>SUM(AA203:AA211)</f>
        <v>0</v>
      </c>
      <c r="AK202" s="29">
        <f>SUM(AB203:AB211)</f>
        <v>0</v>
      </c>
    </row>
    <row r="203" spans="1:48" ht="12.75">
      <c r="A203" s="4" t="s">
        <v>93</v>
      </c>
      <c r="B203" s="51"/>
      <c r="C203" s="51" t="s">
        <v>217</v>
      </c>
      <c r="D203" s="51" t="s">
        <v>407</v>
      </c>
      <c r="E203" s="51" t="s">
        <v>448</v>
      </c>
      <c r="F203" s="52">
        <v>384.6</v>
      </c>
      <c r="G203" s="52"/>
      <c r="H203" s="52">
        <f>F203*AE203</f>
        <v>0</v>
      </c>
      <c r="I203" s="52">
        <f>J203-H203</f>
        <v>0</v>
      </c>
      <c r="J203" s="52">
        <f>F203*G203</f>
        <v>0</v>
      </c>
      <c r="K203" s="52">
        <v>0.26167</v>
      </c>
      <c r="L203" s="52">
        <f>F203*K203</f>
        <v>100.63828200000002</v>
      </c>
      <c r="M203" s="53" t="s">
        <v>469</v>
      </c>
      <c r="P203" s="27">
        <f>IF(AG203="5",J203,0)</f>
        <v>0</v>
      </c>
      <c r="R203" s="27">
        <f>IF(AG203="1",H203,0)</f>
        <v>0</v>
      </c>
      <c r="S203" s="27">
        <f>IF(AG203="1",I203,0)</f>
        <v>0</v>
      </c>
      <c r="T203" s="27">
        <f>IF(AG203="7",H203,0)</f>
        <v>0</v>
      </c>
      <c r="U203" s="27">
        <f>IF(AG203="7",I203,0)</f>
        <v>0</v>
      </c>
      <c r="V203" s="27">
        <f>IF(AG203="2",H203,0)</f>
        <v>0</v>
      </c>
      <c r="W203" s="27">
        <f>IF(AG203="2",I203,0)</f>
        <v>0</v>
      </c>
      <c r="X203" s="27">
        <f>IF(AG203="0",J203,0)</f>
        <v>0</v>
      </c>
      <c r="Y203" s="20"/>
      <c r="Z203" s="13">
        <f>IF(AD203=0,J203,0)</f>
        <v>0</v>
      </c>
      <c r="AA203" s="13">
        <f>IF(AD203=15,J203,0)</f>
        <v>0</v>
      </c>
      <c r="AB203" s="13">
        <f>IF(AD203=21,J203,0)</f>
        <v>0</v>
      </c>
      <c r="AD203" s="27">
        <v>15</v>
      </c>
      <c r="AE203" s="27">
        <f>G203*0.146666666666667</f>
        <v>0</v>
      </c>
      <c r="AF203" s="27">
        <f>G203*(1-0.146666666666667)</f>
        <v>0</v>
      </c>
      <c r="AG203" s="23" t="s">
        <v>6</v>
      </c>
      <c r="AM203" s="27">
        <f>F203*AE203</f>
        <v>0</v>
      </c>
      <c r="AN203" s="27">
        <f>F203*AF203</f>
        <v>0</v>
      </c>
      <c r="AO203" s="28" t="s">
        <v>507</v>
      </c>
      <c r="AP203" s="28" t="s">
        <v>528</v>
      </c>
      <c r="AQ203" s="20" t="s">
        <v>530</v>
      </c>
      <c r="AS203" s="27">
        <f>AM203+AN203</f>
        <v>0</v>
      </c>
      <c r="AT203" s="27">
        <f>G203/(100-AU203)*100</f>
        <v>0</v>
      </c>
      <c r="AU203" s="27">
        <v>0</v>
      </c>
      <c r="AV203" s="27">
        <f>L203</f>
        <v>100.63828200000002</v>
      </c>
    </row>
    <row r="204" spans="2:13" ht="12">
      <c r="B204" s="54"/>
      <c r="C204" s="54"/>
      <c r="D204" s="66" t="s">
        <v>584</v>
      </c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1:48" ht="12.75">
      <c r="A205" s="4" t="s">
        <v>94</v>
      </c>
      <c r="B205" s="51"/>
      <c r="C205" s="51" t="s">
        <v>218</v>
      </c>
      <c r="D205" s="51" t="s">
        <v>408</v>
      </c>
      <c r="E205" s="51" t="s">
        <v>451</v>
      </c>
      <c r="F205" s="52">
        <v>16.32</v>
      </c>
      <c r="G205" s="52"/>
      <c r="H205" s="52">
        <f>F205*AE205</f>
        <v>0</v>
      </c>
      <c r="I205" s="52">
        <f>J205-H205</f>
        <v>0</v>
      </c>
      <c r="J205" s="52">
        <f>F205*G205</f>
        <v>0</v>
      </c>
      <c r="K205" s="52">
        <v>2.61</v>
      </c>
      <c r="L205" s="52">
        <f>F205*K205</f>
        <v>42.5952</v>
      </c>
      <c r="M205" s="53" t="s">
        <v>469</v>
      </c>
      <c r="P205" s="27">
        <f>IF(AG205="5",J205,0)</f>
        <v>0</v>
      </c>
      <c r="R205" s="27">
        <f>IF(AG205="1",H205,0)</f>
        <v>0</v>
      </c>
      <c r="S205" s="27">
        <f>IF(AG205="1",I205,0)</f>
        <v>0</v>
      </c>
      <c r="T205" s="27">
        <f>IF(AG205="7",H205,0)</f>
        <v>0</v>
      </c>
      <c r="U205" s="27">
        <f>IF(AG205="7",I205,0)</f>
        <v>0</v>
      </c>
      <c r="V205" s="27">
        <f>IF(AG205="2",H205,0)</f>
        <v>0</v>
      </c>
      <c r="W205" s="27">
        <f>IF(AG205="2",I205,0)</f>
        <v>0</v>
      </c>
      <c r="X205" s="27">
        <f>IF(AG205="0",J205,0)</f>
        <v>0</v>
      </c>
      <c r="Y205" s="20"/>
      <c r="Z205" s="13">
        <f>IF(AD205=0,J205,0)</f>
        <v>0</v>
      </c>
      <c r="AA205" s="13">
        <f>IF(AD205=15,J205,0)</f>
        <v>0</v>
      </c>
      <c r="AB205" s="13">
        <f>IF(AD205=21,J205,0)</f>
        <v>0</v>
      </c>
      <c r="AD205" s="27">
        <v>15</v>
      </c>
      <c r="AE205" s="27">
        <f>G205*0.000282594733461786</f>
        <v>0</v>
      </c>
      <c r="AF205" s="27">
        <f>G205*(1-0.000282594733461786)</f>
        <v>0</v>
      </c>
      <c r="AG205" s="23" t="s">
        <v>6</v>
      </c>
      <c r="AM205" s="27">
        <f>F205*AE205</f>
        <v>0</v>
      </c>
      <c r="AN205" s="27">
        <f>F205*AF205</f>
        <v>0</v>
      </c>
      <c r="AO205" s="28" t="s">
        <v>507</v>
      </c>
      <c r="AP205" s="28" t="s">
        <v>528</v>
      </c>
      <c r="AQ205" s="20" t="s">
        <v>530</v>
      </c>
      <c r="AS205" s="27">
        <f>AM205+AN205</f>
        <v>0</v>
      </c>
      <c r="AT205" s="27">
        <f>G205/(100-AU205)*100</f>
        <v>0</v>
      </c>
      <c r="AU205" s="27">
        <v>0</v>
      </c>
      <c r="AV205" s="27">
        <f>L205</f>
        <v>42.5952</v>
      </c>
    </row>
    <row r="206" spans="2:13" ht="12">
      <c r="B206" s="54"/>
      <c r="C206" s="54"/>
      <c r="D206" s="66" t="s">
        <v>409</v>
      </c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1:48" ht="12.75">
      <c r="A207" s="4" t="s">
        <v>95</v>
      </c>
      <c r="B207" s="51"/>
      <c r="C207" s="51" t="s">
        <v>219</v>
      </c>
      <c r="D207" s="51" t="s">
        <v>624</v>
      </c>
      <c r="E207" s="51" t="s">
        <v>448</v>
      </c>
      <c r="F207" s="52">
        <v>142</v>
      </c>
      <c r="G207" s="52"/>
      <c r="H207" s="52">
        <f>F207*AE207</f>
        <v>0</v>
      </c>
      <c r="I207" s="52">
        <f>J207-H207</f>
        <v>0</v>
      </c>
      <c r="J207" s="52">
        <f>F207*G207</f>
        <v>0</v>
      </c>
      <c r="K207" s="52">
        <v>0.06293</v>
      </c>
      <c r="L207" s="52">
        <f>F207*K207</f>
        <v>8.93606</v>
      </c>
      <c r="M207" s="53" t="s">
        <v>469</v>
      </c>
      <c r="P207" s="27">
        <f>IF(AG207="5",J207,0)</f>
        <v>0</v>
      </c>
      <c r="R207" s="27">
        <f>IF(AG207="1",H207,0)</f>
        <v>0</v>
      </c>
      <c r="S207" s="27">
        <f>IF(AG207="1",I207,0)</f>
        <v>0</v>
      </c>
      <c r="T207" s="27">
        <f>IF(AG207="7",H207,0)</f>
        <v>0</v>
      </c>
      <c r="U207" s="27">
        <f>IF(AG207="7",I207,0)</f>
        <v>0</v>
      </c>
      <c r="V207" s="27">
        <f>IF(AG207="2",H207,0)</f>
        <v>0</v>
      </c>
      <c r="W207" s="27">
        <f>IF(AG207="2",I207,0)</f>
        <v>0</v>
      </c>
      <c r="X207" s="27">
        <f>IF(AG207="0",J207,0)</f>
        <v>0</v>
      </c>
      <c r="Y207" s="20"/>
      <c r="Z207" s="13">
        <f>IF(AD207=0,J207,0)</f>
        <v>0</v>
      </c>
      <c r="AA207" s="13">
        <f>IF(AD207=15,J207,0)</f>
        <v>0</v>
      </c>
      <c r="AB207" s="13">
        <f>IF(AD207=21,J207,0)</f>
        <v>0</v>
      </c>
      <c r="AD207" s="27">
        <v>15</v>
      </c>
      <c r="AE207" s="27">
        <f>G207*0.0381113801452784</f>
        <v>0</v>
      </c>
      <c r="AF207" s="27">
        <f>G207*(1-0.0381113801452784)</f>
        <v>0</v>
      </c>
      <c r="AG207" s="23" t="s">
        <v>6</v>
      </c>
      <c r="AM207" s="27">
        <f>F207*AE207</f>
        <v>0</v>
      </c>
      <c r="AN207" s="27">
        <f>F207*AF207</f>
        <v>0</v>
      </c>
      <c r="AO207" s="28" t="s">
        <v>507</v>
      </c>
      <c r="AP207" s="28" t="s">
        <v>528</v>
      </c>
      <c r="AQ207" s="20" t="s">
        <v>530</v>
      </c>
      <c r="AS207" s="27">
        <f>AM207+AN207</f>
        <v>0</v>
      </c>
      <c r="AT207" s="27">
        <f>G207/(100-AU207)*100</f>
        <v>0</v>
      </c>
      <c r="AU207" s="27">
        <v>0</v>
      </c>
      <c r="AV207" s="27">
        <f>L207</f>
        <v>8.93606</v>
      </c>
    </row>
    <row r="208" spans="2:13" ht="12">
      <c r="B208" s="54"/>
      <c r="C208" s="54"/>
      <c r="D208" s="66" t="s">
        <v>410</v>
      </c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1:48" ht="12.75">
      <c r="A209" s="4" t="s">
        <v>96</v>
      </c>
      <c r="B209" s="51"/>
      <c r="C209" s="51" t="s">
        <v>220</v>
      </c>
      <c r="D209" s="51" t="s">
        <v>411</v>
      </c>
      <c r="E209" s="51" t="s">
        <v>448</v>
      </c>
      <c r="F209" s="52">
        <v>468</v>
      </c>
      <c r="G209" s="52"/>
      <c r="H209" s="52">
        <f>F209*AE209</f>
        <v>0</v>
      </c>
      <c r="I209" s="52">
        <f>J209-H209</f>
        <v>0</v>
      </c>
      <c r="J209" s="52">
        <f>F209*G209</f>
        <v>0</v>
      </c>
      <c r="K209" s="52">
        <v>0.04319</v>
      </c>
      <c r="L209" s="52">
        <f>F209*K209</f>
        <v>20.21292</v>
      </c>
      <c r="M209" s="53" t="s">
        <v>469</v>
      </c>
      <c r="P209" s="27">
        <f>IF(AG209="5",J209,0)</f>
        <v>0</v>
      </c>
      <c r="R209" s="27">
        <f>IF(AG209="1",H209,0)</f>
        <v>0</v>
      </c>
      <c r="S209" s="27">
        <f>IF(AG209="1",I209,0)</f>
        <v>0</v>
      </c>
      <c r="T209" s="27">
        <f>IF(AG209="7",H209,0)</f>
        <v>0</v>
      </c>
      <c r="U209" s="27">
        <f>IF(AG209="7",I209,0)</f>
        <v>0</v>
      </c>
      <c r="V209" s="27">
        <f>IF(AG209="2",H209,0)</f>
        <v>0</v>
      </c>
      <c r="W209" s="27">
        <f>IF(AG209="2",I209,0)</f>
        <v>0</v>
      </c>
      <c r="X209" s="27">
        <f>IF(AG209="0",J209,0)</f>
        <v>0</v>
      </c>
      <c r="Y209" s="20"/>
      <c r="Z209" s="13">
        <f>IF(AD209=0,J209,0)</f>
        <v>0</v>
      </c>
      <c r="AA209" s="13">
        <f>IF(AD209=15,J209,0)</f>
        <v>0</v>
      </c>
      <c r="AB209" s="13">
        <f>IF(AD209=21,J209,0)</f>
        <v>0</v>
      </c>
      <c r="AD209" s="27">
        <v>15</v>
      </c>
      <c r="AE209" s="27">
        <f>G209*0.263636363636364</f>
        <v>0</v>
      </c>
      <c r="AF209" s="27">
        <f>G209*(1-0.263636363636364)</f>
        <v>0</v>
      </c>
      <c r="AG209" s="23" t="s">
        <v>6</v>
      </c>
      <c r="AM209" s="27">
        <f>F209*AE209</f>
        <v>0</v>
      </c>
      <c r="AN209" s="27">
        <f>F209*AF209</f>
        <v>0</v>
      </c>
      <c r="AO209" s="28" t="s">
        <v>507</v>
      </c>
      <c r="AP209" s="28" t="s">
        <v>528</v>
      </c>
      <c r="AQ209" s="20" t="s">
        <v>530</v>
      </c>
      <c r="AS209" s="27">
        <f>AM209+AN209</f>
        <v>0</v>
      </c>
      <c r="AT209" s="27">
        <f>G209/(100-AU209)*100</f>
        <v>0</v>
      </c>
      <c r="AU209" s="27">
        <v>0</v>
      </c>
      <c r="AV209" s="27">
        <f>L209</f>
        <v>20.21292</v>
      </c>
    </row>
    <row r="210" spans="2:13" ht="12">
      <c r="B210" s="54"/>
      <c r="C210" s="54"/>
      <c r="D210" s="66" t="s">
        <v>598</v>
      </c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1:48" ht="12.75">
      <c r="A211" s="4" t="s">
        <v>97</v>
      </c>
      <c r="B211" s="51"/>
      <c r="C211" s="51" t="s">
        <v>221</v>
      </c>
      <c r="D211" s="51" t="s">
        <v>585</v>
      </c>
      <c r="E211" s="51" t="s">
        <v>449</v>
      </c>
      <c r="F211" s="52">
        <v>164</v>
      </c>
      <c r="G211" s="52"/>
      <c r="H211" s="52">
        <f>F211*AE211</f>
        <v>0</v>
      </c>
      <c r="I211" s="52">
        <f>J211-H211</f>
        <v>0</v>
      </c>
      <c r="J211" s="52">
        <f>F211*G211</f>
        <v>0</v>
      </c>
      <c r="K211" s="52">
        <v>0.03773</v>
      </c>
      <c r="L211" s="52">
        <f>F211*K211</f>
        <v>6.18772</v>
      </c>
      <c r="M211" s="53" t="s">
        <v>469</v>
      </c>
      <c r="P211" s="27">
        <f>IF(AG211="5",J211,0)</f>
        <v>0</v>
      </c>
      <c r="R211" s="27">
        <f>IF(AG211="1",H211,0)</f>
        <v>0</v>
      </c>
      <c r="S211" s="27">
        <f>IF(AG211="1",I211,0)</f>
        <v>0</v>
      </c>
      <c r="T211" s="27">
        <f>IF(AG211="7",H211,0)</f>
        <v>0</v>
      </c>
      <c r="U211" s="27">
        <f>IF(AG211="7",I211,0)</f>
        <v>0</v>
      </c>
      <c r="V211" s="27">
        <f>IF(AG211="2",H211,0)</f>
        <v>0</v>
      </c>
      <c r="W211" s="27">
        <f>IF(AG211="2",I211,0)</f>
        <v>0</v>
      </c>
      <c r="X211" s="27">
        <f>IF(AG211="0",J211,0)</f>
        <v>0</v>
      </c>
      <c r="Y211" s="20"/>
      <c r="Z211" s="13">
        <f>IF(AD211=0,J211,0)</f>
        <v>0</v>
      </c>
      <c r="AA211" s="13">
        <f>IF(AD211=15,J211,0)</f>
        <v>0</v>
      </c>
      <c r="AB211" s="13">
        <f>IF(AD211=21,J211,0)</f>
        <v>0</v>
      </c>
      <c r="AD211" s="27">
        <v>15</v>
      </c>
      <c r="AE211" s="27">
        <f>G211*0</f>
        <v>0</v>
      </c>
      <c r="AF211" s="27">
        <f>G211*(1-0)</f>
        <v>0</v>
      </c>
      <c r="AG211" s="23" t="s">
        <v>6</v>
      </c>
      <c r="AM211" s="27">
        <f>F211*AE211</f>
        <v>0</v>
      </c>
      <c r="AN211" s="27">
        <f>F211*AF211</f>
        <v>0</v>
      </c>
      <c r="AO211" s="28" t="s">
        <v>507</v>
      </c>
      <c r="AP211" s="28" t="s">
        <v>528</v>
      </c>
      <c r="AQ211" s="20" t="s">
        <v>530</v>
      </c>
      <c r="AS211" s="27">
        <f>AM211+AN211</f>
        <v>0</v>
      </c>
      <c r="AT211" s="27">
        <f>G211/(100-AU211)*100</f>
        <v>0</v>
      </c>
      <c r="AU211" s="27">
        <v>0</v>
      </c>
      <c r="AV211" s="27">
        <f>L211</f>
        <v>6.18772</v>
      </c>
    </row>
    <row r="212" spans="2:13" ht="12">
      <c r="B212" s="54"/>
      <c r="C212" s="54"/>
      <c r="D212" s="66" t="s">
        <v>599</v>
      </c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1:37" ht="12.75">
      <c r="A213" s="5"/>
      <c r="B213" s="55"/>
      <c r="C213" s="55" t="s">
        <v>222</v>
      </c>
      <c r="D213" s="72" t="s">
        <v>345</v>
      </c>
      <c r="E213" s="73"/>
      <c r="F213" s="73"/>
      <c r="G213" s="73"/>
      <c r="H213" s="56">
        <f>SUM(H214:H214)</f>
        <v>0</v>
      </c>
      <c r="I213" s="56">
        <f>SUM(I214:I214)</f>
        <v>0</v>
      </c>
      <c r="J213" s="56">
        <f>H213+I213</f>
        <v>0</v>
      </c>
      <c r="K213" s="57"/>
      <c r="L213" s="56">
        <f>SUM(L214:L214)</f>
        <v>0</v>
      </c>
      <c r="M213" s="57"/>
      <c r="Y213" s="20"/>
      <c r="AI213" s="29">
        <f>SUM(Z214:Z214)</f>
        <v>0</v>
      </c>
      <c r="AJ213" s="29">
        <f>SUM(AA214:AA214)</f>
        <v>0</v>
      </c>
      <c r="AK213" s="29">
        <f>SUM(AB214:AB214)</f>
        <v>0</v>
      </c>
    </row>
    <row r="214" spans="1:48" ht="12.75">
      <c r="A214" s="4" t="s">
        <v>98</v>
      </c>
      <c r="B214" s="51"/>
      <c r="C214" s="51" t="s">
        <v>223</v>
      </c>
      <c r="D214" s="51" t="s">
        <v>412</v>
      </c>
      <c r="E214" s="51" t="s">
        <v>452</v>
      </c>
      <c r="F214" s="52">
        <v>12.6</v>
      </c>
      <c r="G214" s="52"/>
      <c r="H214" s="52">
        <f>F214*AE214</f>
        <v>0</v>
      </c>
      <c r="I214" s="52">
        <f>J214-H214</f>
        <v>0</v>
      </c>
      <c r="J214" s="52">
        <f>F214*G214</f>
        <v>0</v>
      </c>
      <c r="K214" s="52">
        <v>0</v>
      </c>
      <c r="L214" s="52">
        <f>F214*K214</f>
        <v>0</v>
      </c>
      <c r="M214" s="53" t="s">
        <v>469</v>
      </c>
      <c r="P214" s="27">
        <f>IF(AG214="5",J214,0)</f>
        <v>0</v>
      </c>
      <c r="R214" s="27">
        <f>IF(AG214="1",H214,0)</f>
        <v>0</v>
      </c>
      <c r="S214" s="27">
        <f>IF(AG214="1",I214,0)</f>
        <v>0</v>
      </c>
      <c r="T214" s="27">
        <f>IF(AG214="7",H214,0)</f>
        <v>0</v>
      </c>
      <c r="U214" s="27">
        <f>IF(AG214="7",I214,0)</f>
        <v>0</v>
      </c>
      <c r="V214" s="27">
        <f>IF(AG214="2",H214,0)</f>
        <v>0</v>
      </c>
      <c r="W214" s="27">
        <f>IF(AG214="2",I214,0)</f>
        <v>0</v>
      </c>
      <c r="X214" s="27">
        <f>IF(AG214="0",J214,0)</f>
        <v>0</v>
      </c>
      <c r="Y214" s="20"/>
      <c r="Z214" s="13">
        <f>IF(AD214=0,J214,0)</f>
        <v>0</v>
      </c>
      <c r="AA214" s="13">
        <f>IF(AD214=15,J214,0)</f>
        <v>0</v>
      </c>
      <c r="AB214" s="13">
        <f>IF(AD214=21,J214,0)</f>
        <v>0</v>
      </c>
      <c r="AD214" s="27">
        <v>15</v>
      </c>
      <c r="AE214" s="27">
        <f>G214*0</f>
        <v>0</v>
      </c>
      <c r="AF214" s="27">
        <f>G214*(1-0)</f>
        <v>0</v>
      </c>
      <c r="AG214" s="23" t="s">
        <v>10</v>
      </c>
      <c r="AM214" s="27">
        <f>F214*AE214</f>
        <v>0</v>
      </c>
      <c r="AN214" s="27">
        <f>F214*AF214</f>
        <v>0</v>
      </c>
      <c r="AO214" s="28" t="s">
        <v>508</v>
      </c>
      <c r="AP214" s="28" t="s">
        <v>528</v>
      </c>
      <c r="AQ214" s="20" t="s">
        <v>530</v>
      </c>
      <c r="AS214" s="27">
        <f>AM214+AN214</f>
        <v>0</v>
      </c>
      <c r="AT214" s="27">
        <f>G214/(100-AU214)*100</f>
        <v>0</v>
      </c>
      <c r="AU214" s="27">
        <v>0</v>
      </c>
      <c r="AV214" s="27">
        <f>L214</f>
        <v>0</v>
      </c>
    </row>
    <row r="215" spans="2:13" ht="12">
      <c r="B215" s="54"/>
      <c r="C215" s="54"/>
      <c r="D215" s="66" t="s">
        <v>413</v>
      </c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1:37" ht="12.75">
      <c r="A216" s="5"/>
      <c r="B216" s="55"/>
      <c r="C216" s="55" t="s">
        <v>224</v>
      </c>
      <c r="D216" s="72" t="s">
        <v>354</v>
      </c>
      <c r="E216" s="73"/>
      <c r="F216" s="73"/>
      <c r="G216" s="73"/>
      <c r="H216" s="56">
        <f>SUM(H217:H217)</f>
        <v>0</v>
      </c>
      <c r="I216" s="56">
        <f>SUM(I217:I217)</f>
        <v>0</v>
      </c>
      <c r="J216" s="56">
        <f>H216+I216</f>
        <v>0</v>
      </c>
      <c r="K216" s="57"/>
      <c r="L216" s="56">
        <f>SUM(L217:L217)</f>
        <v>0</v>
      </c>
      <c r="M216" s="57"/>
      <c r="Y216" s="20"/>
      <c r="AI216" s="29">
        <f>SUM(Z217:Z217)</f>
        <v>0</v>
      </c>
      <c r="AJ216" s="29">
        <f>SUM(AA217:AA217)</f>
        <v>0</v>
      </c>
      <c r="AK216" s="29">
        <f>SUM(AB217:AB217)</f>
        <v>0</v>
      </c>
    </row>
    <row r="217" spans="1:48" ht="12.75">
      <c r="A217" s="4" t="s">
        <v>99</v>
      </c>
      <c r="B217" s="51"/>
      <c r="C217" s="51" t="s">
        <v>225</v>
      </c>
      <c r="D217" s="51" t="s">
        <v>414</v>
      </c>
      <c r="E217" s="51" t="s">
        <v>452</v>
      </c>
      <c r="F217" s="52">
        <v>68.4</v>
      </c>
      <c r="G217" s="52"/>
      <c r="H217" s="52">
        <f>F217*AE217</f>
        <v>0</v>
      </c>
      <c r="I217" s="52">
        <f>J217-H217</f>
        <v>0</v>
      </c>
      <c r="J217" s="52">
        <f>F217*G217</f>
        <v>0</v>
      </c>
      <c r="K217" s="52">
        <v>0</v>
      </c>
      <c r="L217" s="52">
        <f>F217*K217</f>
        <v>0</v>
      </c>
      <c r="M217" s="53" t="s">
        <v>469</v>
      </c>
      <c r="P217" s="27">
        <f>IF(AG217="5",J217,0)</f>
        <v>0</v>
      </c>
      <c r="R217" s="27">
        <f>IF(AG217="1",H217,0)</f>
        <v>0</v>
      </c>
      <c r="S217" s="27">
        <f>IF(AG217="1",I217,0)</f>
        <v>0</v>
      </c>
      <c r="T217" s="27">
        <f>IF(AG217="7",H217,0)</f>
        <v>0</v>
      </c>
      <c r="U217" s="27">
        <f>IF(AG217="7",I217,0)</f>
        <v>0</v>
      </c>
      <c r="V217" s="27">
        <f>IF(AG217="2",H217,0)</f>
        <v>0</v>
      </c>
      <c r="W217" s="27">
        <f>IF(AG217="2",I217,0)</f>
        <v>0</v>
      </c>
      <c r="X217" s="27">
        <f>IF(AG217="0",J217,0)</f>
        <v>0</v>
      </c>
      <c r="Y217" s="20"/>
      <c r="Z217" s="13">
        <f>IF(AD217=0,J217,0)</f>
        <v>0</v>
      </c>
      <c r="AA217" s="13">
        <f>IF(AD217=15,J217,0)</f>
        <v>0</v>
      </c>
      <c r="AB217" s="13">
        <f>IF(AD217=21,J217,0)</f>
        <v>0</v>
      </c>
      <c r="AD217" s="27">
        <v>15</v>
      </c>
      <c r="AE217" s="27">
        <f>G217*0</f>
        <v>0</v>
      </c>
      <c r="AF217" s="27">
        <f>G217*(1-0)</f>
        <v>0</v>
      </c>
      <c r="AG217" s="23" t="s">
        <v>10</v>
      </c>
      <c r="AM217" s="27">
        <f>F217*AE217</f>
        <v>0</v>
      </c>
      <c r="AN217" s="27">
        <f>F217*AF217</f>
        <v>0</v>
      </c>
      <c r="AO217" s="28" t="s">
        <v>509</v>
      </c>
      <c r="AP217" s="28" t="s">
        <v>528</v>
      </c>
      <c r="AQ217" s="20" t="s">
        <v>530</v>
      </c>
      <c r="AS217" s="27">
        <f>AM217+AN217</f>
        <v>0</v>
      </c>
      <c r="AT217" s="27">
        <f>G217/(100-AU217)*100</f>
        <v>0</v>
      </c>
      <c r="AU217" s="27">
        <v>0</v>
      </c>
      <c r="AV217" s="27">
        <f>L217</f>
        <v>0</v>
      </c>
    </row>
    <row r="218" spans="1:37" ht="12.75">
      <c r="A218" s="5"/>
      <c r="B218" s="55"/>
      <c r="C218" s="55" t="s">
        <v>226</v>
      </c>
      <c r="D218" s="72" t="s">
        <v>356</v>
      </c>
      <c r="E218" s="73"/>
      <c r="F218" s="73"/>
      <c r="G218" s="73"/>
      <c r="H218" s="56">
        <f>SUM(H219:H219)</f>
        <v>0</v>
      </c>
      <c r="I218" s="56">
        <f>SUM(I219:I219)</f>
        <v>0</v>
      </c>
      <c r="J218" s="56">
        <f>H218+I218</f>
        <v>0</v>
      </c>
      <c r="K218" s="57"/>
      <c r="L218" s="56">
        <f>SUM(L219:L219)</f>
        <v>0</v>
      </c>
      <c r="M218" s="57"/>
      <c r="Y218" s="20"/>
      <c r="AI218" s="29">
        <f>SUM(Z219:Z219)</f>
        <v>0</v>
      </c>
      <c r="AJ218" s="29">
        <f>SUM(AA219:AA219)</f>
        <v>0</v>
      </c>
      <c r="AK218" s="29">
        <f>SUM(AB219:AB219)</f>
        <v>0</v>
      </c>
    </row>
    <row r="219" spans="1:48" ht="12.75">
      <c r="A219" s="4" t="s">
        <v>100</v>
      </c>
      <c r="B219" s="51"/>
      <c r="C219" s="51" t="s">
        <v>227</v>
      </c>
      <c r="D219" s="51" t="s">
        <v>415</v>
      </c>
      <c r="E219" s="51" t="s">
        <v>452</v>
      </c>
      <c r="F219" s="52">
        <v>4.25</v>
      </c>
      <c r="G219" s="52"/>
      <c r="H219" s="52">
        <f>F219*AE219</f>
        <v>0</v>
      </c>
      <c r="I219" s="52">
        <f>J219-H219</f>
        <v>0</v>
      </c>
      <c r="J219" s="52">
        <f>F219*G219</f>
        <v>0</v>
      </c>
      <c r="K219" s="52">
        <v>0</v>
      </c>
      <c r="L219" s="52">
        <f>F219*K219</f>
        <v>0</v>
      </c>
      <c r="M219" s="53" t="s">
        <v>469</v>
      </c>
      <c r="P219" s="27">
        <f>IF(AG219="5",J219,0)</f>
        <v>0</v>
      </c>
      <c r="R219" s="27">
        <f>IF(AG219="1",H219,0)</f>
        <v>0</v>
      </c>
      <c r="S219" s="27">
        <f>IF(AG219="1",I219,0)</f>
        <v>0</v>
      </c>
      <c r="T219" s="27">
        <f>IF(AG219="7",H219,0)</f>
        <v>0</v>
      </c>
      <c r="U219" s="27">
        <f>IF(AG219="7",I219,0)</f>
        <v>0</v>
      </c>
      <c r="V219" s="27">
        <f>IF(AG219="2",H219,0)</f>
        <v>0</v>
      </c>
      <c r="W219" s="27">
        <f>IF(AG219="2",I219,0)</f>
        <v>0</v>
      </c>
      <c r="X219" s="27">
        <f>IF(AG219="0",J219,0)</f>
        <v>0</v>
      </c>
      <c r="Y219" s="20"/>
      <c r="Z219" s="13">
        <f>IF(AD219=0,J219,0)</f>
        <v>0</v>
      </c>
      <c r="AA219" s="13">
        <f>IF(AD219=15,J219,0)</f>
        <v>0</v>
      </c>
      <c r="AB219" s="13">
        <f>IF(AD219=21,J219,0)</f>
        <v>0</v>
      </c>
      <c r="AD219" s="27">
        <v>15</v>
      </c>
      <c r="AE219" s="27">
        <f>G219*0</f>
        <v>0</v>
      </c>
      <c r="AF219" s="27">
        <f>G219*(1-0)</f>
        <v>0</v>
      </c>
      <c r="AG219" s="23" t="s">
        <v>10</v>
      </c>
      <c r="AM219" s="27">
        <f>F219*AE219</f>
        <v>0</v>
      </c>
      <c r="AN219" s="27">
        <f>F219*AF219</f>
        <v>0</v>
      </c>
      <c r="AO219" s="28" t="s">
        <v>510</v>
      </c>
      <c r="AP219" s="28" t="s">
        <v>528</v>
      </c>
      <c r="AQ219" s="20" t="s">
        <v>530</v>
      </c>
      <c r="AS219" s="27">
        <f>AM219+AN219</f>
        <v>0</v>
      </c>
      <c r="AT219" s="27">
        <f>G219/(100-AU219)*100</f>
        <v>0</v>
      </c>
      <c r="AU219" s="27">
        <v>0</v>
      </c>
      <c r="AV219" s="27">
        <f>L219</f>
        <v>0</v>
      </c>
    </row>
    <row r="220" spans="1:37" ht="12.75">
      <c r="A220" s="5"/>
      <c r="B220" s="55"/>
      <c r="C220" s="55" t="s">
        <v>228</v>
      </c>
      <c r="D220" s="72" t="s">
        <v>360</v>
      </c>
      <c r="E220" s="73"/>
      <c r="F220" s="73"/>
      <c r="G220" s="73"/>
      <c r="H220" s="56">
        <f>SUM(H221:H221)</f>
        <v>0</v>
      </c>
      <c r="I220" s="56">
        <f>SUM(I221:I221)</f>
        <v>0</v>
      </c>
      <c r="J220" s="56">
        <f>H220+I220</f>
        <v>0</v>
      </c>
      <c r="K220" s="57"/>
      <c r="L220" s="56">
        <f>SUM(L221:L221)</f>
        <v>0</v>
      </c>
      <c r="M220" s="57"/>
      <c r="Y220" s="20"/>
      <c r="AI220" s="29">
        <f>SUM(Z221:Z221)</f>
        <v>0</v>
      </c>
      <c r="AJ220" s="29">
        <f>SUM(AA221:AA221)</f>
        <v>0</v>
      </c>
      <c r="AK220" s="29">
        <f>SUM(AB221:AB221)</f>
        <v>0</v>
      </c>
    </row>
    <row r="221" spans="1:48" ht="12.75">
      <c r="A221" s="4" t="s">
        <v>101</v>
      </c>
      <c r="B221" s="51"/>
      <c r="C221" s="51" t="s">
        <v>229</v>
      </c>
      <c r="D221" s="51" t="s">
        <v>416</v>
      </c>
      <c r="E221" s="51" t="s">
        <v>452</v>
      </c>
      <c r="F221" s="52">
        <v>124</v>
      </c>
      <c r="G221" s="52"/>
      <c r="H221" s="52">
        <f>F221*AE221</f>
        <v>0</v>
      </c>
      <c r="I221" s="52">
        <f>J221-H221</f>
        <v>0</v>
      </c>
      <c r="J221" s="52">
        <f>F221*G221</f>
        <v>0</v>
      </c>
      <c r="K221" s="52">
        <v>0</v>
      </c>
      <c r="L221" s="52">
        <f>F221*K221</f>
        <v>0</v>
      </c>
      <c r="M221" s="53" t="s">
        <v>469</v>
      </c>
      <c r="P221" s="27">
        <f>IF(AG221="5",J221,0)</f>
        <v>0</v>
      </c>
      <c r="R221" s="27">
        <f>IF(AG221="1",H221,0)</f>
        <v>0</v>
      </c>
      <c r="S221" s="27">
        <f>IF(AG221="1",I221,0)</f>
        <v>0</v>
      </c>
      <c r="T221" s="27">
        <f>IF(AG221="7",H221,0)</f>
        <v>0</v>
      </c>
      <c r="U221" s="27">
        <f>IF(AG221="7",I221,0)</f>
        <v>0</v>
      </c>
      <c r="V221" s="27">
        <f>IF(AG221="2",H221,0)</f>
        <v>0</v>
      </c>
      <c r="W221" s="27">
        <f>IF(AG221="2",I221,0)</f>
        <v>0</v>
      </c>
      <c r="X221" s="27">
        <f>IF(AG221="0",J221,0)</f>
        <v>0</v>
      </c>
      <c r="Y221" s="20"/>
      <c r="Z221" s="13">
        <f>IF(AD221=0,J221,0)</f>
        <v>0</v>
      </c>
      <c r="AA221" s="13">
        <f>IF(AD221=15,J221,0)</f>
        <v>0</v>
      </c>
      <c r="AB221" s="13">
        <f>IF(AD221=21,J221,0)</f>
        <v>0</v>
      </c>
      <c r="AD221" s="27">
        <v>15</v>
      </c>
      <c r="AE221" s="27">
        <f>G221*0</f>
        <v>0</v>
      </c>
      <c r="AF221" s="27">
        <f>G221*(1-0)</f>
        <v>0</v>
      </c>
      <c r="AG221" s="23" t="s">
        <v>10</v>
      </c>
      <c r="AM221" s="27">
        <f>F221*AE221</f>
        <v>0</v>
      </c>
      <c r="AN221" s="27">
        <f>F221*AF221</f>
        <v>0</v>
      </c>
      <c r="AO221" s="28" t="s">
        <v>511</v>
      </c>
      <c r="AP221" s="28" t="s">
        <v>528</v>
      </c>
      <c r="AQ221" s="20" t="s">
        <v>530</v>
      </c>
      <c r="AS221" s="27">
        <f>AM221+AN221</f>
        <v>0</v>
      </c>
      <c r="AT221" s="27">
        <f>G221/(100-AU221)*100</f>
        <v>0</v>
      </c>
      <c r="AU221" s="27">
        <v>0</v>
      </c>
      <c r="AV221" s="27">
        <f>L221</f>
        <v>0</v>
      </c>
    </row>
    <row r="222" spans="1:37" ht="12.75">
      <c r="A222" s="5"/>
      <c r="B222" s="55"/>
      <c r="C222" s="55" t="s">
        <v>230</v>
      </c>
      <c r="D222" s="72" t="s">
        <v>361</v>
      </c>
      <c r="E222" s="73"/>
      <c r="F222" s="73"/>
      <c r="G222" s="73"/>
      <c r="H222" s="56">
        <f>SUM(H223:H223)</f>
        <v>0</v>
      </c>
      <c r="I222" s="56">
        <f>SUM(I223:I223)</f>
        <v>0</v>
      </c>
      <c r="J222" s="56">
        <f>H222+I222</f>
        <v>0</v>
      </c>
      <c r="K222" s="57"/>
      <c r="L222" s="56">
        <f>SUM(L223:L223)</f>
        <v>0</v>
      </c>
      <c r="M222" s="57"/>
      <c r="Y222" s="20"/>
      <c r="AI222" s="29">
        <f>SUM(Z223:Z223)</f>
        <v>0</v>
      </c>
      <c r="AJ222" s="29">
        <f>SUM(AA223:AA223)</f>
        <v>0</v>
      </c>
      <c r="AK222" s="29">
        <f>SUM(AB223:AB223)</f>
        <v>0</v>
      </c>
    </row>
    <row r="223" spans="1:48" ht="12.75">
      <c r="A223" s="4" t="s">
        <v>102</v>
      </c>
      <c r="B223" s="51"/>
      <c r="C223" s="51" t="s">
        <v>231</v>
      </c>
      <c r="D223" s="51" t="s">
        <v>417</v>
      </c>
      <c r="E223" s="51" t="s">
        <v>452</v>
      </c>
      <c r="F223" s="52">
        <v>34.6</v>
      </c>
      <c r="G223" s="52"/>
      <c r="H223" s="52">
        <f>F223*AE223</f>
        <v>0</v>
      </c>
      <c r="I223" s="52">
        <f>J223-H223</f>
        <v>0</v>
      </c>
      <c r="J223" s="52">
        <f>F223*G223</f>
        <v>0</v>
      </c>
      <c r="K223" s="52">
        <v>0</v>
      </c>
      <c r="L223" s="52">
        <f>F223*K223</f>
        <v>0</v>
      </c>
      <c r="M223" s="53" t="s">
        <v>469</v>
      </c>
      <c r="P223" s="27">
        <f>IF(AG223="5",J223,0)</f>
        <v>0</v>
      </c>
      <c r="R223" s="27">
        <f>IF(AG223="1",H223,0)</f>
        <v>0</v>
      </c>
      <c r="S223" s="27">
        <f>IF(AG223="1",I223,0)</f>
        <v>0</v>
      </c>
      <c r="T223" s="27">
        <f>IF(AG223="7",H223,0)</f>
        <v>0</v>
      </c>
      <c r="U223" s="27">
        <f>IF(AG223="7",I223,0)</f>
        <v>0</v>
      </c>
      <c r="V223" s="27">
        <f>IF(AG223="2",H223,0)</f>
        <v>0</v>
      </c>
      <c r="W223" s="27">
        <f>IF(AG223="2",I223,0)</f>
        <v>0</v>
      </c>
      <c r="X223" s="27">
        <f>IF(AG223="0",J223,0)</f>
        <v>0</v>
      </c>
      <c r="Y223" s="20"/>
      <c r="Z223" s="13">
        <f>IF(AD223=0,J223,0)</f>
        <v>0</v>
      </c>
      <c r="AA223" s="13">
        <f>IF(AD223=15,J223,0)</f>
        <v>0</v>
      </c>
      <c r="AB223" s="13">
        <f>IF(AD223=21,J223,0)</f>
        <v>0</v>
      </c>
      <c r="AD223" s="27">
        <v>15</v>
      </c>
      <c r="AE223" s="27">
        <f>G223*0</f>
        <v>0</v>
      </c>
      <c r="AF223" s="27">
        <f>G223*(1-0)</f>
        <v>0</v>
      </c>
      <c r="AG223" s="23" t="s">
        <v>10</v>
      </c>
      <c r="AM223" s="27">
        <f>F223*AE223</f>
        <v>0</v>
      </c>
      <c r="AN223" s="27">
        <f>F223*AF223</f>
        <v>0</v>
      </c>
      <c r="AO223" s="28" t="s">
        <v>512</v>
      </c>
      <c r="AP223" s="28" t="s">
        <v>528</v>
      </c>
      <c r="AQ223" s="20" t="s">
        <v>530</v>
      </c>
      <c r="AS223" s="27">
        <f>AM223+AN223</f>
        <v>0</v>
      </c>
      <c r="AT223" s="27">
        <f>G223/(100-AU223)*100</f>
        <v>0</v>
      </c>
      <c r="AU223" s="27">
        <v>0</v>
      </c>
      <c r="AV223" s="27">
        <f>L223</f>
        <v>0</v>
      </c>
    </row>
    <row r="224" spans="1:37" ht="12.75">
      <c r="A224" s="5"/>
      <c r="B224" s="55"/>
      <c r="C224" s="55" t="s">
        <v>232</v>
      </c>
      <c r="D224" s="72" t="s">
        <v>418</v>
      </c>
      <c r="E224" s="73"/>
      <c r="F224" s="73"/>
      <c r="G224" s="73"/>
      <c r="H224" s="56">
        <f>SUM(H225:H231)</f>
        <v>0</v>
      </c>
      <c r="I224" s="56">
        <f>SUM(I225:I231)</f>
        <v>0</v>
      </c>
      <c r="J224" s="56">
        <f>H224+I224</f>
        <v>0</v>
      </c>
      <c r="K224" s="57"/>
      <c r="L224" s="56">
        <f>SUM(L225:L231)</f>
        <v>15.503599999999999</v>
      </c>
      <c r="M224" s="57"/>
      <c r="Y224" s="20"/>
      <c r="AI224" s="29">
        <f>SUM(Z225:Z231)</f>
        <v>0</v>
      </c>
      <c r="AJ224" s="29">
        <f>SUM(AA225:AA231)</f>
        <v>0</v>
      </c>
      <c r="AK224" s="29">
        <f>SUM(AB225:AB231)</f>
        <v>0</v>
      </c>
    </row>
    <row r="225" spans="1:48" ht="12.75">
      <c r="A225" s="4" t="s">
        <v>103</v>
      </c>
      <c r="B225" s="51"/>
      <c r="C225" s="51" t="s">
        <v>233</v>
      </c>
      <c r="D225" s="51" t="s">
        <v>419</v>
      </c>
      <c r="E225" s="51" t="s">
        <v>449</v>
      </c>
      <c r="F225" s="52">
        <v>314</v>
      </c>
      <c r="G225" s="52"/>
      <c r="H225" s="52">
        <f>F225*AE225</f>
        <v>0</v>
      </c>
      <c r="I225" s="52">
        <f>J225-H225</f>
        <v>0</v>
      </c>
      <c r="J225" s="52">
        <f>F225*G225</f>
        <v>0</v>
      </c>
      <c r="K225" s="52">
        <v>0.0017</v>
      </c>
      <c r="L225" s="52">
        <f>F225*K225</f>
        <v>0.5337999999999999</v>
      </c>
      <c r="M225" s="53" t="s">
        <v>469</v>
      </c>
      <c r="P225" s="27">
        <f>IF(AG225="5",J225,0)</f>
        <v>0</v>
      </c>
      <c r="R225" s="27">
        <f>IF(AG225="1",H225,0)</f>
        <v>0</v>
      </c>
      <c r="S225" s="27">
        <f>IF(AG225="1",I225,0)</f>
        <v>0</v>
      </c>
      <c r="T225" s="27">
        <f>IF(AG225="7",H225,0)</f>
        <v>0</v>
      </c>
      <c r="U225" s="27">
        <f>IF(AG225="7",I225,0)</f>
        <v>0</v>
      </c>
      <c r="V225" s="27">
        <f>IF(AG225="2",H225,0)</f>
        <v>0</v>
      </c>
      <c r="W225" s="27">
        <f>IF(AG225="2",I225,0)</f>
        <v>0</v>
      </c>
      <c r="X225" s="27">
        <f>IF(AG225="0",J225,0)</f>
        <v>0</v>
      </c>
      <c r="Y225" s="20"/>
      <c r="Z225" s="13">
        <f>IF(AD225=0,J225,0)</f>
        <v>0</v>
      </c>
      <c r="AA225" s="13">
        <f>IF(AD225=15,J225,0)</f>
        <v>0</v>
      </c>
      <c r="AB225" s="13">
        <f>IF(AD225=21,J225,0)</f>
        <v>0</v>
      </c>
      <c r="AD225" s="27">
        <v>15</v>
      </c>
      <c r="AE225" s="27">
        <f>G225*0.323533697632058</f>
        <v>0</v>
      </c>
      <c r="AF225" s="27">
        <f>G225*(1-0.323533697632058)</f>
        <v>0</v>
      </c>
      <c r="AG225" s="23" t="s">
        <v>7</v>
      </c>
      <c r="AM225" s="27">
        <f>F225*AE225</f>
        <v>0</v>
      </c>
      <c r="AN225" s="27">
        <f>F225*AF225</f>
        <v>0</v>
      </c>
      <c r="AO225" s="28" t="s">
        <v>513</v>
      </c>
      <c r="AP225" s="28" t="s">
        <v>528</v>
      </c>
      <c r="AQ225" s="20" t="s">
        <v>530</v>
      </c>
      <c r="AS225" s="27">
        <f>AM225+AN225</f>
        <v>0</v>
      </c>
      <c r="AT225" s="27">
        <f>G225/(100-AU225)*100</f>
        <v>0</v>
      </c>
      <c r="AU225" s="27">
        <v>0</v>
      </c>
      <c r="AV225" s="27">
        <f>L225</f>
        <v>0.5337999999999999</v>
      </c>
    </row>
    <row r="226" spans="2:13" ht="12">
      <c r="B226" s="54"/>
      <c r="C226" s="54"/>
      <c r="D226" s="66" t="s">
        <v>600</v>
      </c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1:48" ht="12.75">
      <c r="A227" s="4" t="s">
        <v>104</v>
      </c>
      <c r="B227" s="51"/>
      <c r="C227" s="51" t="s">
        <v>234</v>
      </c>
      <c r="D227" s="51" t="s">
        <v>420</v>
      </c>
      <c r="E227" s="51" t="s">
        <v>450</v>
      </c>
      <c r="F227" s="52">
        <v>24</v>
      </c>
      <c r="G227" s="52"/>
      <c r="H227" s="52">
        <f>F227*AE227</f>
        <v>0</v>
      </c>
      <c r="I227" s="52">
        <f>J227-H227</f>
        <v>0</v>
      </c>
      <c r="J227" s="52">
        <f>F227*G227</f>
        <v>0</v>
      </c>
      <c r="K227" s="52">
        <v>0.0002</v>
      </c>
      <c r="L227" s="52">
        <f>F227*K227</f>
        <v>0.0048000000000000004</v>
      </c>
      <c r="M227" s="53" t="s">
        <v>469</v>
      </c>
      <c r="P227" s="27">
        <f>IF(AG227="5",J227,0)</f>
        <v>0</v>
      </c>
      <c r="R227" s="27">
        <f>IF(AG227="1",H227,0)</f>
        <v>0</v>
      </c>
      <c r="S227" s="27">
        <f>IF(AG227="1",I227,0)</f>
        <v>0</v>
      </c>
      <c r="T227" s="27">
        <f>IF(AG227="7",H227,0)</f>
        <v>0</v>
      </c>
      <c r="U227" s="27">
        <f>IF(AG227="7",I227,0)</f>
        <v>0</v>
      </c>
      <c r="V227" s="27">
        <f>IF(AG227="2",H227,0)</f>
        <v>0</v>
      </c>
      <c r="W227" s="27">
        <f>IF(AG227="2",I227,0)</f>
        <v>0</v>
      </c>
      <c r="X227" s="27">
        <f>IF(AG227="0",J227,0)</f>
        <v>0</v>
      </c>
      <c r="Y227" s="20"/>
      <c r="Z227" s="13">
        <f>IF(AD227=0,J227,0)</f>
        <v>0</v>
      </c>
      <c r="AA227" s="13">
        <f>IF(AD227=15,J227,0)</f>
        <v>0</v>
      </c>
      <c r="AB227" s="13">
        <f>IF(AD227=21,J227,0)</f>
        <v>0</v>
      </c>
      <c r="AD227" s="27">
        <v>15</v>
      </c>
      <c r="AE227" s="27">
        <f>G227*0.313609022556391</f>
        <v>0</v>
      </c>
      <c r="AF227" s="27">
        <f>G227*(1-0.313609022556391)</f>
        <v>0</v>
      </c>
      <c r="AG227" s="23" t="s">
        <v>7</v>
      </c>
      <c r="AM227" s="27">
        <f>F227*AE227</f>
        <v>0</v>
      </c>
      <c r="AN227" s="27">
        <f>F227*AF227</f>
        <v>0</v>
      </c>
      <c r="AO227" s="28" t="s">
        <v>513</v>
      </c>
      <c r="AP227" s="28" t="s">
        <v>528</v>
      </c>
      <c r="AQ227" s="20" t="s">
        <v>530</v>
      </c>
      <c r="AS227" s="27">
        <f>AM227+AN227</f>
        <v>0</v>
      </c>
      <c r="AT227" s="27">
        <f>G227/(100-AU227)*100</f>
        <v>0</v>
      </c>
      <c r="AU227" s="27">
        <v>0</v>
      </c>
      <c r="AV227" s="27">
        <f>L227</f>
        <v>0.0048000000000000004</v>
      </c>
    </row>
    <row r="228" spans="2:13" ht="12">
      <c r="B228" s="54"/>
      <c r="C228" s="54"/>
      <c r="D228" s="66" t="s">
        <v>421</v>
      </c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1:48" ht="12.75">
      <c r="A229" s="4" t="s">
        <v>105</v>
      </c>
      <c r="B229" s="51"/>
      <c r="C229" s="51" t="s">
        <v>235</v>
      </c>
      <c r="D229" s="51" t="s">
        <v>422</v>
      </c>
      <c r="E229" s="51" t="s">
        <v>450</v>
      </c>
      <c r="F229" s="52">
        <v>8</v>
      </c>
      <c r="G229" s="52"/>
      <c r="H229" s="52">
        <f>F229*AE229</f>
        <v>0</v>
      </c>
      <c r="I229" s="52">
        <f>J229-H229</f>
        <v>0</v>
      </c>
      <c r="J229" s="52">
        <f>F229*G229</f>
        <v>0</v>
      </c>
      <c r="K229" s="52">
        <v>0.00364</v>
      </c>
      <c r="L229" s="52">
        <f>F229*K229</f>
        <v>0.02912</v>
      </c>
      <c r="M229" s="53" t="s">
        <v>469</v>
      </c>
      <c r="P229" s="27">
        <f>IF(AG229="5",J229,0)</f>
        <v>0</v>
      </c>
      <c r="R229" s="27">
        <f>IF(AG229="1",H229,0)</f>
        <v>0</v>
      </c>
      <c r="S229" s="27">
        <f>IF(AG229="1",I229,0)</f>
        <v>0</v>
      </c>
      <c r="T229" s="27">
        <f>IF(AG229="7",H229,0)</f>
        <v>0</v>
      </c>
      <c r="U229" s="27">
        <f>IF(AG229="7",I229,0)</f>
        <v>0</v>
      </c>
      <c r="V229" s="27">
        <f>IF(AG229="2",H229,0)</f>
        <v>0</v>
      </c>
      <c r="W229" s="27">
        <f>IF(AG229="2",I229,0)</f>
        <v>0</v>
      </c>
      <c r="X229" s="27">
        <f>IF(AG229="0",J229,0)</f>
        <v>0</v>
      </c>
      <c r="Y229" s="20"/>
      <c r="Z229" s="13">
        <f>IF(AD229=0,J229,0)</f>
        <v>0</v>
      </c>
      <c r="AA229" s="13">
        <f>IF(AD229=15,J229,0)</f>
        <v>0</v>
      </c>
      <c r="AB229" s="13">
        <f>IF(AD229=21,J229,0)</f>
        <v>0</v>
      </c>
      <c r="AD229" s="27">
        <v>15</v>
      </c>
      <c r="AE229" s="27">
        <f>G229*0.40961887477314</f>
        <v>0</v>
      </c>
      <c r="AF229" s="27">
        <f>G229*(1-0.40961887477314)</f>
        <v>0</v>
      </c>
      <c r="AG229" s="23" t="s">
        <v>7</v>
      </c>
      <c r="AM229" s="27">
        <f>F229*AE229</f>
        <v>0</v>
      </c>
      <c r="AN229" s="27">
        <f>F229*AF229</f>
        <v>0</v>
      </c>
      <c r="AO229" s="28" t="s">
        <v>513</v>
      </c>
      <c r="AP229" s="28" t="s">
        <v>528</v>
      </c>
      <c r="AQ229" s="20" t="s">
        <v>530</v>
      </c>
      <c r="AS229" s="27">
        <f>AM229+AN229</f>
        <v>0</v>
      </c>
      <c r="AT229" s="27">
        <f>G229/(100-AU229)*100</f>
        <v>0</v>
      </c>
      <c r="AU229" s="27">
        <v>0</v>
      </c>
      <c r="AV229" s="27">
        <f>L229</f>
        <v>0.02912</v>
      </c>
    </row>
    <row r="230" spans="2:13" ht="12">
      <c r="B230" s="54"/>
      <c r="C230" s="54"/>
      <c r="D230" s="66" t="s">
        <v>423</v>
      </c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1:48" ht="12.75">
      <c r="A231" s="4" t="s">
        <v>106</v>
      </c>
      <c r="B231" s="51"/>
      <c r="C231" s="51" t="s">
        <v>236</v>
      </c>
      <c r="D231" s="51" t="s">
        <v>424</v>
      </c>
      <c r="E231" s="51" t="s">
        <v>450</v>
      </c>
      <c r="F231" s="52">
        <v>2</v>
      </c>
      <c r="G231" s="52"/>
      <c r="H231" s="52">
        <f>F231*AE231</f>
        <v>0</v>
      </c>
      <c r="I231" s="52">
        <f>J231-H231</f>
        <v>0</v>
      </c>
      <c r="J231" s="52">
        <f>F231*G231</f>
        <v>0</v>
      </c>
      <c r="K231" s="52">
        <v>7.46794</v>
      </c>
      <c r="L231" s="52">
        <f>F231*K231</f>
        <v>14.93588</v>
      </c>
      <c r="M231" s="53" t="s">
        <v>469</v>
      </c>
      <c r="P231" s="27">
        <f>IF(AG231="5",J231,0)</f>
        <v>0</v>
      </c>
      <c r="R231" s="27">
        <f>IF(AG231="1",H231,0)</f>
        <v>0</v>
      </c>
      <c r="S231" s="27">
        <f>IF(AG231="1",I231,0)</f>
        <v>0</v>
      </c>
      <c r="T231" s="27">
        <f>IF(AG231="7",H231,0)</f>
        <v>0</v>
      </c>
      <c r="U231" s="27">
        <f>IF(AG231="7",I231,0)</f>
        <v>0</v>
      </c>
      <c r="V231" s="27">
        <f>IF(AG231="2",H231,0)</f>
        <v>0</v>
      </c>
      <c r="W231" s="27">
        <f>IF(AG231="2",I231,0)</f>
        <v>0</v>
      </c>
      <c r="X231" s="27">
        <f>IF(AG231="0",J231,0)</f>
        <v>0</v>
      </c>
      <c r="Y231" s="20"/>
      <c r="Z231" s="13">
        <f>IF(AD231=0,J231,0)</f>
        <v>0</v>
      </c>
      <c r="AA231" s="13">
        <f>IF(AD231=15,J231,0)</f>
        <v>0</v>
      </c>
      <c r="AB231" s="13">
        <f>IF(AD231=21,J231,0)</f>
        <v>0</v>
      </c>
      <c r="AD231" s="27">
        <v>15</v>
      </c>
      <c r="AE231" s="27">
        <f>G231*0.688372841839526</f>
        <v>0</v>
      </c>
      <c r="AF231" s="27">
        <f>G231*(1-0.688372841839526)</f>
        <v>0</v>
      </c>
      <c r="AG231" s="23" t="s">
        <v>7</v>
      </c>
      <c r="AM231" s="27">
        <f>F231*AE231</f>
        <v>0</v>
      </c>
      <c r="AN231" s="27">
        <f>F231*AF231</f>
        <v>0</v>
      </c>
      <c r="AO231" s="28" t="s">
        <v>513</v>
      </c>
      <c r="AP231" s="28" t="s">
        <v>528</v>
      </c>
      <c r="AQ231" s="20" t="s">
        <v>530</v>
      </c>
      <c r="AS231" s="27">
        <f>AM231+AN231</f>
        <v>0</v>
      </c>
      <c r="AT231" s="27">
        <f>G231/(100-AU231)*100</f>
        <v>0</v>
      </c>
      <c r="AU231" s="27">
        <v>0</v>
      </c>
      <c r="AV231" s="27">
        <f>L231</f>
        <v>14.93588</v>
      </c>
    </row>
    <row r="232" spans="2:13" ht="12">
      <c r="B232" s="54"/>
      <c r="C232" s="54"/>
      <c r="D232" s="66" t="s">
        <v>425</v>
      </c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1:37" ht="12.75">
      <c r="A233" s="5"/>
      <c r="B233" s="55"/>
      <c r="C233" s="55" t="s">
        <v>237</v>
      </c>
      <c r="D233" s="72" t="s">
        <v>426</v>
      </c>
      <c r="E233" s="73"/>
      <c r="F233" s="73"/>
      <c r="G233" s="73"/>
      <c r="H233" s="56">
        <f>SUM(H234:H236)</f>
        <v>0</v>
      </c>
      <c r="I233" s="56">
        <f>SUM(I234:I236)</f>
        <v>0</v>
      </c>
      <c r="J233" s="56">
        <f>H233+I233</f>
        <v>0</v>
      </c>
      <c r="K233" s="57"/>
      <c r="L233" s="56">
        <f>SUM(L234:L236)</f>
        <v>0.32889999999999997</v>
      </c>
      <c r="M233" s="57"/>
      <c r="Y233" s="20"/>
      <c r="AI233" s="29">
        <f>SUM(Z234:Z236)</f>
        <v>0</v>
      </c>
      <c r="AJ233" s="29">
        <f>SUM(AA234:AA236)</f>
        <v>0</v>
      </c>
      <c r="AK233" s="29">
        <f>SUM(AB234:AB236)</f>
        <v>0</v>
      </c>
    </row>
    <row r="234" spans="1:48" ht="12.75">
      <c r="A234" s="4" t="s">
        <v>107</v>
      </c>
      <c r="B234" s="51"/>
      <c r="C234" s="51" t="s">
        <v>238</v>
      </c>
      <c r="D234" s="51" t="s">
        <v>427</v>
      </c>
      <c r="E234" s="51" t="s">
        <v>449</v>
      </c>
      <c r="F234" s="52">
        <v>244</v>
      </c>
      <c r="G234" s="52"/>
      <c r="H234" s="52">
        <f>F234*AE234</f>
        <v>0</v>
      </c>
      <c r="I234" s="52">
        <f>J234-H234</f>
        <v>0</v>
      </c>
      <c r="J234" s="52">
        <f>F234*G234</f>
        <v>0</v>
      </c>
      <c r="K234" s="52">
        <v>6E-05</v>
      </c>
      <c r="L234" s="52">
        <f>F234*K234</f>
        <v>0.01464</v>
      </c>
      <c r="M234" s="53" t="s">
        <v>469</v>
      </c>
      <c r="P234" s="27">
        <f>IF(AG234="5",J234,0)</f>
        <v>0</v>
      </c>
      <c r="R234" s="27">
        <f>IF(AG234="1",H234,0)</f>
        <v>0</v>
      </c>
      <c r="S234" s="27">
        <f>IF(AG234="1",I234,0)</f>
        <v>0</v>
      </c>
      <c r="T234" s="27">
        <f>IF(AG234="7",H234,0)</f>
        <v>0</v>
      </c>
      <c r="U234" s="27">
        <f>IF(AG234="7",I234,0)</f>
        <v>0</v>
      </c>
      <c r="V234" s="27">
        <f>IF(AG234="2",H234,0)</f>
        <v>0</v>
      </c>
      <c r="W234" s="27">
        <f>IF(AG234="2",I234,0)</f>
        <v>0</v>
      </c>
      <c r="X234" s="27">
        <f>IF(AG234="0",J234,0)</f>
        <v>0</v>
      </c>
      <c r="Y234" s="20"/>
      <c r="Z234" s="13">
        <f>IF(AD234=0,J234,0)</f>
        <v>0</v>
      </c>
      <c r="AA234" s="13">
        <f>IF(AD234=15,J234,0)</f>
        <v>0</v>
      </c>
      <c r="AB234" s="13">
        <f>IF(AD234=21,J234,0)</f>
        <v>0</v>
      </c>
      <c r="AD234" s="27">
        <v>15</v>
      </c>
      <c r="AE234" s="27">
        <f>G234*0.354205607476635</f>
        <v>0</v>
      </c>
      <c r="AF234" s="27">
        <f>G234*(1-0.354205607476635)</f>
        <v>0</v>
      </c>
      <c r="AG234" s="23" t="s">
        <v>7</v>
      </c>
      <c r="AM234" s="27">
        <f>F234*AE234</f>
        <v>0</v>
      </c>
      <c r="AN234" s="27">
        <f>F234*AF234</f>
        <v>0</v>
      </c>
      <c r="AO234" s="28" t="s">
        <v>514</v>
      </c>
      <c r="AP234" s="28" t="s">
        <v>528</v>
      </c>
      <c r="AQ234" s="20" t="s">
        <v>530</v>
      </c>
      <c r="AS234" s="27">
        <f>AM234+AN234</f>
        <v>0</v>
      </c>
      <c r="AT234" s="27">
        <f>G234/(100-AU234)*100</f>
        <v>0</v>
      </c>
      <c r="AU234" s="27">
        <v>0</v>
      </c>
      <c r="AV234" s="27">
        <f>L234</f>
        <v>0.01464</v>
      </c>
    </row>
    <row r="235" spans="2:13" ht="12">
      <c r="B235" s="54"/>
      <c r="C235" s="54"/>
      <c r="D235" s="66" t="s">
        <v>428</v>
      </c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1:48" ht="12.75">
      <c r="A236" s="4" t="s">
        <v>108</v>
      </c>
      <c r="B236" s="51"/>
      <c r="C236" s="51" t="s">
        <v>239</v>
      </c>
      <c r="D236" s="51" t="s">
        <v>586</v>
      </c>
      <c r="E236" s="51" t="s">
        <v>450</v>
      </c>
      <c r="F236" s="52">
        <v>2</v>
      </c>
      <c r="G236" s="52"/>
      <c r="H236" s="52">
        <f>F236*AE236</f>
        <v>0</v>
      </c>
      <c r="I236" s="52">
        <f>J236-H236</f>
        <v>0</v>
      </c>
      <c r="J236" s="52">
        <f>F236*G236</f>
        <v>0</v>
      </c>
      <c r="K236" s="52">
        <v>0.15713</v>
      </c>
      <c r="L236" s="52">
        <f>F236*K236</f>
        <v>0.31426</v>
      </c>
      <c r="M236" s="53" t="s">
        <v>469</v>
      </c>
      <c r="P236" s="27">
        <f>IF(AG236="5",J236,0)</f>
        <v>0</v>
      </c>
      <c r="R236" s="27">
        <f>IF(AG236="1",H236,0)</f>
        <v>0</v>
      </c>
      <c r="S236" s="27">
        <f>IF(AG236="1",I236,0)</f>
        <v>0</v>
      </c>
      <c r="T236" s="27">
        <f>IF(AG236="7",H236,0)</f>
        <v>0</v>
      </c>
      <c r="U236" s="27">
        <f>IF(AG236="7",I236,0)</f>
        <v>0</v>
      </c>
      <c r="V236" s="27">
        <f>IF(AG236="2",H236,0)</f>
        <v>0</v>
      </c>
      <c r="W236" s="27">
        <f>IF(AG236="2",I236,0)</f>
        <v>0</v>
      </c>
      <c r="X236" s="27">
        <f>IF(AG236="0",J236,0)</f>
        <v>0</v>
      </c>
      <c r="Y236" s="20"/>
      <c r="Z236" s="13">
        <f>IF(AD236=0,J236,0)</f>
        <v>0</v>
      </c>
      <c r="AA236" s="13">
        <f>IF(AD236=15,J236,0)</f>
        <v>0</v>
      </c>
      <c r="AB236" s="13">
        <f>IF(AD236=21,J236,0)</f>
        <v>0</v>
      </c>
      <c r="AD236" s="27">
        <v>15</v>
      </c>
      <c r="AE236" s="27">
        <f>G236*0.700893905191874</f>
        <v>0</v>
      </c>
      <c r="AF236" s="27">
        <f>G236*(1-0.700893905191874)</f>
        <v>0</v>
      </c>
      <c r="AG236" s="23" t="s">
        <v>7</v>
      </c>
      <c r="AM236" s="27">
        <f>F236*AE236</f>
        <v>0</v>
      </c>
      <c r="AN236" s="27">
        <f>F236*AF236</f>
        <v>0</v>
      </c>
      <c r="AO236" s="28" t="s">
        <v>514</v>
      </c>
      <c r="AP236" s="28" t="s">
        <v>528</v>
      </c>
      <c r="AQ236" s="20" t="s">
        <v>530</v>
      </c>
      <c r="AS236" s="27">
        <f>AM236+AN236</f>
        <v>0</v>
      </c>
      <c r="AT236" s="27">
        <f>G236/(100-AU236)*100</f>
        <v>0</v>
      </c>
      <c r="AU236" s="27">
        <v>0</v>
      </c>
      <c r="AV236" s="27">
        <f>L236</f>
        <v>0.31426</v>
      </c>
    </row>
    <row r="237" spans="2:13" ht="12">
      <c r="B237" s="54"/>
      <c r="C237" s="54"/>
      <c r="D237" s="66" t="s">
        <v>429</v>
      </c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1:37" ht="12.75">
      <c r="A238" s="5"/>
      <c r="B238" s="55"/>
      <c r="C238" s="55" t="s">
        <v>240</v>
      </c>
      <c r="D238" s="72" t="s">
        <v>430</v>
      </c>
      <c r="E238" s="73"/>
      <c r="F238" s="73"/>
      <c r="G238" s="73"/>
      <c r="H238" s="56">
        <f>SUM(H239:H246)</f>
        <v>0</v>
      </c>
      <c r="I238" s="56">
        <f>SUM(I239:I246)</f>
        <v>0</v>
      </c>
      <c r="J238" s="56">
        <f>H238+I238</f>
        <v>0</v>
      </c>
      <c r="K238" s="57"/>
      <c r="L238" s="56">
        <f>SUM(L239:L246)</f>
        <v>0</v>
      </c>
      <c r="M238" s="57"/>
      <c r="Y238" s="20"/>
      <c r="AI238" s="29">
        <f>SUM(Z239:Z246)</f>
        <v>0</v>
      </c>
      <c r="AJ238" s="29">
        <f>SUM(AA239:AA246)</f>
        <v>0</v>
      </c>
      <c r="AK238" s="29">
        <f>SUM(AB239:AB246)</f>
        <v>0</v>
      </c>
    </row>
    <row r="239" spans="1:48" ht="12.75">
      <c r="A239" s="4" t="s">
        <v>109</v>
      </c>
      <c r="B239" s="51"/>
      <c r="C239" s="51" t="s">
        <v>241</v>
      </c>
      <c r="D239" s="51" t="s">
        <v>431</v>
      </c>
      <c r="E239" s="51" t="s">
        <v>452</v>
      </c>
      <c r="F239" s="52">
        <v>794.35</v>
      </c>
      <c r="G239" s="52"/>
      <c r="H239" s="52">
        <f>F239*AE239</f>
        <v>0</v>
      </c>
      <c r="I239" s="52">
        <f>J239-H239</f>
        <v>0</v>
      </c>
      <c r="J239" s="52">
        <f>F239*G239</f>
        <v>0</v>
      </c>
      <c r="K239" s="52">
        <v>0</v>
      </c>
      <c r="L239" s="52">
        <f>F239*K239</f>
        <v>0</v>
      </c>
      <c r="M239" s="53" t="s">
        <v>469</v>
      </c>
      <c r="P239" s="27">
        <f>IF(AG239="5",J239,0)</f>
        <v>0</v>
      </c>
      <c r="R239" s="27">
        <f>IF(AG239="1",H239,0)</f>
        <v>0</v>
      </c>
      <c r="S239" s="27">
        <f>IF(AG239="1",I239,0)</f>
        <v>0</v>
      </c>
      <c r="T239" s="27">
        <f>IF(AG239="7",H239,0)</f>
        <v>0</v>
      </c>
      <c r="U239" s="27">
        <f>IF(AG239="7",I239,0)</f>
        <v>0</v>
      </c>
      <c r="V239" s="27">
        <f>IF(AG239="2",H239,0)</f>
        <v>0</v>
      </c>
      <c r="W239" s="27">
        <f>IF(AG239="2",I239,0)</f>
        <v>0</v>
      </c>
      <c r="X239" s="27">
        <f>IF(AG239="0",J239,0)</f>
        <v>0</v>
      </c>
      <c r="Y239" s="20"/>
      <c r="Z239" s="13">
        <f>IF(AD239=0,J239,0)</f>
        <v>0</v>
      </c>
      <c r="AA239" s="13">
        <f>IF(AD239=15,J239,0)</f>
        <v>0</v>
      </c>
      <c r="AB239" s="13">
        <f>IF(AD239=21,J239,0)</f>
        <v>0</v>
      </c>
      <c r="AD239" s="27">
        <v>15</v>
      </c>
      <c r="AE239" s="27">
        <f>G239*0</f>
        <v>0</v>
      </c>
      <c r="AF239" s="27">
        <f>G239*(1-0)</f>
        <v>0</v>
      </c>
      <c r="AG239" s="23" t="s">
        <v>10</v>
      </c>
      <c r="AM239" s="27">
        <f>F239*AE239</f>
        <v>0</v>
      </c>
      <c r="AN239" s="27">
        <f>F239*AF239</f>
        <v>0</v>
      </c>
      <c r="AO239" s="28" t="s">
        <v>515</v>
      </c>
      <c r="AP239" s="28" t="s">
        <v>528</v>
      </c>
      <c r="AQ239" s="20" t="s">
        <v>530</v>
      </c>
      <c r="AS239" s="27">
        <f>AM239+AN239</f>
        <v>0</v>
      </c>
      <c r="AT239" s="27">
        <f>G239/(100-AU239)*100</f>
        <v>0</v>
      </c>
      <c r="AU239" s="27">
        <v>0</v>
      </c>
      <c r="AV239" s="27">
        <f>L239</f>
        <v>0</v>
      </c>
    </row>
    <row r="240" spans="2:13" ht="12">
      <c r="B240" s="54"/>
      <c r="C240" s="54"/>
      <c r="D240" s="66" t="s">
        <v>602</v>
      </c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1:48" ht="12.75">
      <c r="A241" s="4" t="s">
        <v>110</v>
      </c>
      <c r="B241" s="51"/>
      <c r="C241" s="51" t="s">
        <v>242</v>
      </c>
      <c r="D241" s="51" t="s">
        <v>601</v>
      </c>
      <c r="E241" s="51" t="s">
        <v>452</v>
      </c>
      <c r="F241" s="52">
        <v>644</v>
      </c>
      <c r="G241" s="52"/>
      <c r="H241" s="52">
        <f>F241*AE241</f>
        <v>0</v>
      </c>
      <c r="I241" s="52">
        <f>J241-H241</f>
        <v>0</v>
      </c>
      <c r="J241" s="52">
        <f>F241*G241</f>
        <v>0</v>
      </c>
      <c r="K241" s="52">
        <v>0</v>
      </c>
      <c r="L241" s="52">
        <f>F241*K241</f>
        <v>0</v>
      </c>
      <c r="M241" s="53" t="s">
        <v>469</v>
      </c>
      <c r="P241" s="27">
        <f>IF(AG241="5",J241,0)</f>
        <v>0</v>
      </c>
      <c r="R241" s="27">
        <f>IF(AG241="1",H241,0)</f>
        <v>0</v>
      </c>
      <c r="S241" s="27">
        <f>IF(AG241="1",I241,0)</f>
        <v>0</v>
      </c>
      <c r="T241" s="27">
        <f>IF(AG241="7",H241,0)</f>
        <v>0</v>
      </c>
      <c r="U241" s="27">
        <f>IF(AG241="7",I241,0)</f>
        <v>0</v>
      </c>
      <c r="V241" s="27">
        <f>IF(AG241="2",H241,0)</f>
        <v>0</v>
      </c>
      <c r="W241" s="27">
        <f>IF(AG241="2",I241,0)</f>
        <v>0</v>
      </c>
      <c r="X241" s="27">
        <f>IF(AG241="0",J241,0)</f>
        <v>0</v>
      </c>
      <c r="Y241" s="20"/>
      <c r="Z241" s="13">
        <f>IF(AD241=0,J241,0)</f>
        <v>0</v>
      </c>
      <c r="AA241" s="13">
        <f>IF(AD241=15,J241,0)</f>
        <v>0</v>
      </c>
      <c r="AB241" s="13">
        <f>IF(AD241=21,J241,0)</f>
        <v>0</v>
      </c>
      <c r="AD241" s="27">
        <v>15</v>
      </c>
      <c r="AE241" s="27">
        <f>G241*0</f>
        <v>0</v>
      </c>
      <c r="AF241" s="27">
        <f>G241*(1-0)</f>
        <v>0</v>
      </c>
      <c r="AG241" s="23" t="s">
        <v>10</v>
      </c>
      <c r="AM241" s="27">
        <f>F241*AE241</f>
        <v>0</v>
      </c>
      <c r="AN241" s="27">
        <f>F241*AF241</f>
        <v>0</v>
      </c>
      <c r="AO241" s="28" t="s">
        <v>515</v>
      </c>
      <c r="AP241" s="28" t="s">
        <v>528</v>
      </c>
      <c r="AQ241" s="20" t="s">
        <v>530</v>
      </c>
      <c r="AS241" s="27">
        <f>AM241+AN241</f>
        <v>0</v>
      </c>
      <c r="AT241" s="27">
        <f>G241/(100-AU241)*100</f>
        <v>0</v>
      </c>
      <c r="AU241" s="27">
        <v>0</v>
      </c>
      <c r="AV241" s="27">
        <f>L241</f>
        <v>0</v>
      </c>
    </row>
    <row r="242" spans="1:48" ht="12.75">
      <c r="A242" s="4" t="s">
        <v>111</v>
      </c>
      <c r="B242" s="51"/>
      <c r="C242" s="51" t="s">
        <v>243</v>
      </c>
      <c r="D242" s="51" t="s">
        <v>432</v>
      </c>
      <c r="E242" s="51" t="s">
        <v>452</v>
      </c>
      <c r="F242" s="52">
        <v>36.2</v>
      </c>
      <c r="G242" s="52"/>
      <c r="H242" s="52">
        <f>F242*AE242</f>
        <v>0</v>
      </c>
      <c r="I242" s="52">
        <f>J242-H242</f>
        <v>0</v>
      </c>
      <c r="J242" s="52">
        <f>F242*G242</f>
        <v>0</v>
      </c>
      <c r="K242" s="52">
        <v>0</v>
      </c>
      <c r="L242" s="52">
        <f>F242*K242</f>
        <v>0</v>
      </c>
      <c r="M242" s="53" t="s">
        <v>469</v>
      </c>
      <c r="P242" s="27">
        <f>IF(AG242="5",J242,0)</f>
        <v>0</v>
      </c>
      <c r="R242" s="27">
        <f>IF(AG242="1",H242,0)</f>
        <v>0</v>
      </c>
      <c r="S242" s="27">
        <f>IF(AG242="1",I242,0)</f>
        <v>0</v>
      </c>
      <c r="T242" s="27">
        <f>IF(AG242="7",H242,0)</f>
        <v>0</v>
      </c>
      <c r="U242" s="27">
        <f>IF(AG242="7",I242,0)</f>
        <v>0</v>
      </c>
      <c r="V242" s="27">
        <f>IF(AG242="2",H242,0)</f>
        <v>0</v>
      </c>
      <c r="W242" s="27">
        <f>IF(AG242="2",I242,0)</f>
        <v>0</v>
      </c>
      <c r="X242" s="27">
        <f>IF(AG242="0",J242,0)</f>
        <v>0</v>
      </c>
      <c r="Y242" s="20"/>
      <c r="Z242" s="13">
        <f>IF(AD242=0,J242,0)</f>
        <v>0</v>
      </c>
      <c r="AA242" s="13">
        <f>IF(AD242=15,J242,0)</f>
        <v>0</v>
      </c>
      <c r="AB242" s="13">
        <f>IF(AD242=21,J242,0)</f>
        <v>0</v>
      </c>
      <c r="AD242" s="27">
        <v>15</v>
      </c>
      <c r="AE242" s="27">
        <f>G242*0</f>
        <v>0</v>
      </c>
      <c r="AF242" s="27">
        <f>G242*(1-0)</f>
        <v>0</v>
      </c>
      <c r="AG242" s="23" t="s">
        <v>10</v>
      </c>
      <c r="AM242" s="27">
        <f>F242*AE242</f>
        <v>0</v>
      </c>
      <c r="AN242" s="27">
        <f>F242*AF242</f>
        <v>0</v>
      </c>
      <c r="AO242" s="28" t="s">
        <v>515</v>
      </c>
      <c r="AP242" s="28" t="s">
        <v>528</v>
      </c>
      <c r="AQ242" s="20" t="s">
        <v>530</v>
      </c>
      <c r="AS242" s="27">
        <f>AM242+AN242</f>
        <v>0</v>
      </c>
      <c r="AT242" s="27">
        <f>G242/(100-AU242)*100</f>
        <v>0</v>
      </c>
      <c r="AU242" s="27">
        <v>0</v>
      </c>
      <c r="AV242" s="27">
        <f>L242</f>
        <v>0</v>
      </c>
    </row>
    <row r="243" spans="2:13" ht="12">
      <c r="B243" s="54"/>
      <c r="C243" s="54"/>
      <c r="D243" s="66" t="s">
        <v>433</v>
      </c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1:48" ht="12.75">
      <c r="A244" s="4" t="s">
        <v>112</v>
      </c>
      <c r="B244" s="51"/>
      <c r="C244" s="51" t="s">
        <v>244</v>
      </c>
      <c r="D244" s="51" t="s">
        <v>591</v>
      </c>
      <c r="E244" s="51" t="s">
        <v>452</v>
      </c>
      <c r="F244" s="52">
        <v>794</v>
      </c>
      <c r="G244" s="52"/>
      <c r="H244" s="52">
        <f>F244*AE244</f>
        <v>0</v>
      </c>
      <c r="I244" s="52">
        <f>J244-H244</f>
        <v>0</v>
      </c>
      <c r="J244" s="52">
        <f>F244*G244</f>
        <v>0</v>
      </c>
      <c r="K244" s="52">
        <v>0</v>
      </c>
      <c r="L244" s="52">
        <f>F244*K244</f>
        <v>0</v>
      </c>
      <c r="M244" s="53" t="s">
        <v>469</v>
      </c>
      <c r="P244" s="27">
        <f>IF(AG244="5",J244,0)</f>
        <v>0</v>
      </c>
      <c r="R244" s="27">
        <f>IF(AG244="1",H244,0)</f>
        <v>0</v>
      </c>
      <c r="S244" s="27">
        <f>IF(AG244="1",I244,0)</f>
        <v>0</v>
      </c>
      <c r="T244" s="27">
        <f>IF(AG244="7",H244,0)</f>
        <v>0</v>
      </c>
      <c r="U244" s="27">
        <f>IF(AG244="7",I244,0)</f>
        <v>0</v>
      </c>
      <c r="V244" s="27">
        <f>IF(AG244="2",H244,0)</f>
        <v>0</v>
      </c>
      <c r="W244" s="27">
        <f>IF(AG244="2",I244,0)</f>
        <v>0</v>
      </c>
      <c r="X244" s="27">
        <f>IF(AG244="0",J244,0)</f>
        <v>0</v>
      </c>
      <c r="Y244" s="20"/>
      <c r="Z244" s="13">
        <f>IF(AD244=0,J244,0)</f>
        <v>0</v>
      </c>
      <c r="AA244" s="13">
        <f>IF(AD244=15,J244,0)</f>
        <v>0</v>
      </c>
      <c r="AB244" s="13">
        <f>IF(AD244=21,J244,0)</f>
        <v>0</v>
      </c>
      <c r="AD244" s="27">
        <v>15</v>
      </c>
      <c r="AE244" s="27">
        <f>G244*0</f>
        <v>0</v>
      </c>
      <c r="AF244" s="27">
        <f>G244*(1-0)</f>
        <v>0</v>
      </c>
      <c r="AG244" s="23" t="s">
        <v>10</v>
      </c>
      <c r="AM244" s="27">
        <f>F244*AE244</f>
        <v>0</v>
      </c>
      <c r="AN244" s="27">
        <f>F244*AF244</f>
        <v>0</v>
      </c>
      <c r="AO244" s="28" t="s">
        <v>515</v>
      </c>
      <c r="AP244" s="28" t="s">
        <v>528</v>
      </c>
      <c r="AQ244" s="20" t="s">
        <v>530</v>
      </c>
      <c r="AS244" s="27">
        <f>AM244+AN244</f>
        <v>0</v>
      </c>
      <c r="AT244" s="27">
        <f>G244/(100-AU244)*100</f>
        <v>0</v>
      </c>
      <c r="AU244" s="27">
        <v>0</v>
      </c>
      <c r="AV244" s="27">
        <f>L244</f>
        <v>0</v>
      </c>
    </row>
    <row r="245" spans="2:13" ht="12">
      <c r="B245" s="54"/>
      <c r="C245" s="54"/>
      <c r="D245" s="66" t="s">
        <v>434</v>
      </c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1:48" ht="12.75">
      <c r="A246" s="4" t="s">
        <v>113</v>
      </c>
      <c r="B246" s="51"/>
      <c r="C246" s="51" t="s">
        <v>245</v>
      </c>
      <c r="D246" s="51" t="s">
        <v>435</v>
      </c>
      <c r="E246" s="51" t="s">
        <v>452</v>
      </c>
      <c r="F246" s="52">
        <v>644</v>
      </c>
      <c r="G246" s="52"/>
      <c r="H246" s="52">
        <f>F246*AE246</f>
        <v>0</v>
      </c>
      <c r="I246" s="52">
        <f>J246-H246</f>
        <v>0</v>
      </c>
      <c r="J246" s="52">
        <f>F246*G246</f>
        <v>0</v>
      </c>
      <c r="K246" s="52">
        <v>0</v>
      </c>
      <c r="L246" s="52">
        <f>F246*K246</f>
        <v>0</v>
      </c>
      <c r="M246" s="53" t="s">
        <v>469</v>
      </c>
      <c r="P246" s="27">
        <f>IF(AG246="5",J246,0)</f>
        <v>0</v>
      </c>
      <c r="R246" s="27">
        <f>IF(AG246="1",H246,0)</f>
        <v>0</v>
      </c>
      <c r="S246" s="27">
        <f>IF(AG246="1",I246,0)</f>
        <v>0</v>
      </c>
      <c r="T246" s="27">
        <f>IF(AG246="7",H246,0)</f>
        <v>0</v>
      </c>
      <c r="U246" s="27">
        <f>IF(AG246="7",I246,0)</f>
        <v>0</v>
      </c>
      <c r="V246" s="27">
        <f>IF(AG246="2",H246,0)</f>
        <v>0</v>
      </c>
      <c r="W246" s="27">
        <f>IF(AG246="2",I246,0)</f>
        <v>0</v>
      </c>
      <c r="X246" s="27">
        <f>IF(AG246="0",J246,0)</f>
        <v>0</v>
      </c>
      <c r="Y246" s="20"/>
      <c r="Z246" s="13">
        <f>IF(AD246=0,J246,0)</f>
        <v>0</v>
      </c>
      <c r="AA246" s="13">
        <f>IF(AD246=15,J246,0)</f>
        <v>0</v>
      </c>
      <c r="AB246" s="13">
        <f>IF(AD246=21,J246,0)</f>
        <v>0</v>
      </c>
      <c r="AD246" s="27">
        <v>15</v>
      </c>
      <c r="AE246" s="27">
        <f>G246*0</f>
        <v>0</v>
      </c>
      <c r="AF246" s="27">
        <f>G246*(1-0)</f>
        <v>0</v>
      </c>
      <c r="AG246" s="23" t="s">
        <v>10</v>
      </c>
      <c r="AM246" s="27">
        <f>F246*AE246</f>
        <v>0</v>
      </c>
      <c r="AN246" s="27">
        <f>F246*AF246</f>
        <v>0</v>
      </c>
      <c r="AO246" s="28" t="s">
        <v>515</v>
      </c>
      <c r="AP246" s="28" t="s">
        <v>528</v>
      </c>
      <c r="AQ246" s="20" t="s">
        <v>530</v>
      </c>
      <c r="AS246" s="27">
        <f>AM246+AN246</f>
        <v>0</v>
      </c>
      <c r="AT246" s="27">
        <f>G246/(100-AU246)*100</f>
        <v>0</v>
      </c>
      <c r="AU246" s="27">
        <v>0</v>
      </c>
      <c r="AV246" s="27">
        <f>L246</f>
        <v>0</v>
      </c>
    </row>
    <row r="247" spans="2:13" ht="12">
      <c r="B247" s="54"/>
      <c r="C247" s="54"/>
      <c r="D247" s="66" t="s">
        <v>433</v>
      </c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1:37" ht="12.75">
      <c r="A248" s="5"/>
      <c r="B248" s="55"/>
      <c r="C248" s="55"/>
      <c r="D248" s="72" t="s">
        <v>436</v>
      </c>
      <c r="E248" s="73"/>
      <c r="F248" s="73"/>
      <c r="G248" s="73"/>
      <c r="H248" s="56">
        <f>SUM(H249:H256)</f>
        <v>0</v>
      </c>
      <c r="I248" s="56">
        <f>SUM(I249:I256)</f>
        <v>0</v>
      </c>
      <c r="J248" s="56">
        <f>H248+I248</f>
        <v>0</v>
      </c>
      <c r="K248" s="57"/>
      <c r="L248" s="56">
        <f>SUM(L249:L256)</f>
        <v>127.86966</v>
      </c>
      <c r="M248" s="57"/>
      <c r="Y248" s="20"/>
      <c r="AI248" s="29">
        <f>SUM(Z249:Z256)</f>
        <v>0</v>
      </c>
      <c r="AJ248" s="29">
        <f>SUM(AA249:AA256)</f>
        <v>0</v>
      </c>
      <c r="AK248" s="29">
        <f>SUM(AB249:AB256)</f>
        <v>0</v>
      </c>
    </row>
    <row r="249" spans="1:48" ht="12.75">
      <c r="A249" s="6" t="s">
        <v>114</v>
      </c>
      <c r="B249" s="58"/>
      <c r="C249" s="58" t="s">
        <v>246</v>
      </c>
      <c r="D249" s="58" t="s">
        <v>437</v>
      </c>
      <c r="E249" s="58" t="s">
        <v>452</v>
      </c>
      <c r="F249" s="59">
        <v>114</v>
      </c>
      <c r="G249" s="59"/>
      <c r="H249" s="59">
        <f aca="true" t="shared" si="20" ref="H249:H256">F249*AE249</f>
        <v>0</v>
      </c>
      <c r="I249" s="59">
        <f aca="true" t="shared" si="21" ref="I249:I256">J249-H249</f>
        <v>0</v>
      </c>
      <c r="J249" s="59">
        <f aca="true" t="shared" si="22" ref="J249:J256">F249*G249</f>
        <v>0</v>
      </c>
      <c r="K249" s="59">
        <v>1</v>
      </c>
      <c r="L249" s="59">
        <f aca="true" t="shared" si="23" ref="L249:L256">F249*K249</f>
        <v>114</v>
      </c>
      <c r="M249" s="60" t="s">
        <v>469</v>
      </c>
      <c r="P249" s="27">
        <f aca="true" t="shared" si="24" ref="P249:P256">IF(AG249="5",J249,0)</f>
        <v>0</v>
      </c>
      <c r="R249" s="27">
        <f aca="true" t="shared" si="25" ref="R249:R256">IF(AG249="1",H249,0)</f>
        <v>0</v>
      </c>
      <c r="S249" s="27">
        <f aca="true" t="shared" si="26" ref="S249:S256">IF(AG249="1",I249,0)</f>
        <v>0</v>
      </c>
      <c r="T249" s="27">
        <f aca="true" t="shared" si="27" ref="T249:T256">IF(AG249="7",H249,0)</f>
        <v>0</v>
      </c>
      <c r="U249" s="27">
        <f aca="true" t="shared" si="28" ref="U249:U256">IF(AG249="7",I249,0)</f>
        <v>0</v>
      </c>
      <c r="V249" s="27">
        <f aca="true" t="shared" si="29" ref="V249:V256">IF(AG249="2",H249,0)</f>
        <v>0</v>
      </c>
      <c r="W249" s="27">
        <f aca="true" t="shared" si="30" ref="W249:W256">IF(AG249="2",I249,0)</f>
        <v>0</v>
      </c>
      <c r="X249" s="27">
        <f aca="true" t="shared" si="31" ref="X249:X256">IF(AG249="0",J249,0)</f>
        <v>0</v>
      </c>
      <c r="Y249" s="20"/>
      <c r="Z249" s="14">
        <f aca="true" t="shared" si="32" ref="Z249:Z256">IF(AD249=0,J249,0)</f>
        <v>0</v>
      </c>
      <c r="AA249" s="14">
        <f aca="true" t="shared" si="33" ref="AA249:AA256">IF(AD249=15,J249,0)</f>
        <v>0</v>
      </c>
      <c r="AB249" s="14">
        <f aca="true" t="shared" si="34" ref="AB249:AB256">IF(AD249=21,J249,0)</f>
        <v>0</v>
      </c>
      <c r="AD249" s="27">
        <v>15</v>
      </c>
      <c r="AE249" s="27">
        <f aca="true" t="shared" si="35" ref="AE249:AE256">G249*1</f>
        <v>0</v>
      </c>
      <c r="AF249" s="27">
        <f aca="true" t="shared" si="36" ref="AF249:AF256">G249*(1-1)</f>
        <v>0</v>
      </c>
      <c r="AG249" s="24" t="s">
        <v>125</v>
      </c>
      <c r="AM249" s="27">
        <f aca="true" t="shared" si="37" ref="AM249:AM256">F249*AE249</f>
        <v>0</v>
      </c>
      <c r="AN249" s="27">
        <f aca="true" t="shared" si="38" ref="AN249:AN256">F249*AF249</f>
        <v>0</v>
      </c>
      <c r="AO249" s="28" t="s">
        <v>516</v>
      </c>
      <c r="AP249" s="28" t="s">
        <v>529</v>
      </c>
      <c r="AQ249" s="20" t="s">
        <v>530</v>
      </c>
      <c r="AS249" s="27">
        <f aca="true" t="shared" si="39" ref="AS249:AS256">AM249+AN249</f>
        <v>0</v>
      </c>
      <c r="AT249" s="27">
        <f aca="true" t="shared" si="40" ref="AT249:AT256">G249/(100-AU249)*100</f>
        <v>0</v>
      </c>
      <c r="AU249" s="27">
        <v>0</v>
      </c>
      <c r="AV249" s="27">
        <f aca="true" t="shared" si="41" ref="AV249:AV256">L249</f>
        <v>114</v>
      </c>
    </row>
    <row r="250" spans="1:48" ht="12.75">
      <c r="A250" s="6" t="s">
        <v>115</v>
      </c>
      <c r="B250" s="58"/>
      <c r="C250" s="58" t="s">
        <v>247</v>
      </c>
      <c r="D250" s="58" t="s">
        <v>438</v>
      </c>
      <c r="E250" s="58" t="s">
        <v>453</v>
      </c>
      <c r="F250" s="59">
        <v>85</v>
      </c>
      <c r="G250" s="59"/>
      <c r="H250" s="59">
        <f t="shared" si="20"/>
        <v>0</v>
      </c>
      <c r="I250" s="59">
        <f t="shared" si="21"/>
        <v>0</v>
      </c>
      <c r="J250" s="59">
        <f t="shared" si="22"/>
        <v>0</v>
      </c>
      <c r="K250" s="59">
        <v>0.001</v>
      </c>
      <c r="L250" s="59">
        <f t="shared" si="23"/>
        <v>0.085</v>
      </c>
      <c r="M250" s="60" t="s">
        <v>469</v>
      </c>
      <c r="P250" s="27">
        <f t="shared" si="24"/>
        <v>0</v>
      </c>
      <c r="R250" s="27">
        <f t="shared" si="25"/>
        <v>0</v>
      </c>
      <c r="S250" s="27">
        <f t="shared" si="26"/>
        <v>0</v>
      </c>
      <c r="T250" s="27">
        <f t="shared" si="27"/>
        <v>0</v>
      </c>
      <c r="U250" s="27">
        <f t="shared" si="28"/>
        <v>0</v>
      </c>
      <c r="V250" s="27">
        <f t="shared" si="29"/>
        <v>0</v>
      </c>
      <c r="W250" s="27">
        <f t="shared" si="30"/>
        <v>0</v>
      </c>
      <c r="X250" s="27">
        <f t="shared" si="31"/>
        <v>0</v>
      </c>
      <c r="Y250" s="20"/>
      <c r="Z250" s="14">
        <f t="shared" si="32"/>
        <v>0</v>
      </c>
      <c r="AA250" s="14">
        <f t="shared" si="33"/>
        <v>0</v>
      </c>
      <c r="AB250" s="14">
        <f t="shared" si="34"/>
        <v>0</v>
      </c>
      <c r="AD250" s="27">
        <v>15</v>
      </c>
      <c r="AE250" s="27">
        <f t="shared" si="35"/>
        <v>0</v>
      </c>
      <c r="AF250" s="27">
        <f t="shared" si="36"/>
        <v>0</v>
      </c>
      <c r="AG250" s="24" t="s">
        <v>125</v>
      </c>
      <c r="AM250" s="27">
        <f t="shared" si="37"/>
        <v>0</v>
      </c>
      <c r="AN250" s="27">
        <f t="shared" si="38"/>
        <v>0</v>
      </c>
      <c r="AO250" s="28" t="s">
        <v>516</v>
      </c>
      <c r="AP250" s="28" t="s">
        <v>529</v>
      </c>
      <c r="AQ250" s="20" t="s">
        <v>530</v>
      </c>
      <c r="AS250" s="27">
        <f t="shared" si="39"/>
        <v>0</v>
      </c>
      <c r="AT250" s="27">
        <f t="shared" si="40"/>
        <v>0</v>
      </c>
      <c r="AU250" s="27">
        <v>0</v>
      </c>
      <c r="AV250" s="27">
        <f t="shared" si="41"/>
        <v>0.085</v>
      </c>
    </row>
    <row r="251" spans="1:48" ht="12.75">
      <c r="A251" s="6" t="s">
        <v>116</v>
      </c>
      <c r="B251" s="58"/>
      <c r="C251" s="58" t="s">
        <v>248</v>
      </c>
      <c r="D251" s="58" t="s">
        <v>439</v>
      </c>
      <c r="E251" s="58" t="s">
        <v>448</v>
      </c>
      <c r="F251" s="59">
        <v>443</v>
      </c>
      <c r="G251" s="59"/>
      <c r="H251" s="59">
        <f t="shared" si="20"/>
        <v>0</v>
      </c>
      <c r="I251" s="59">
        <f t="shared" si="21"/>
        <v>0</v>
      </c>
      <c r="J251" s="59">
        <f t="shared" si="22"/>
        <v>0</v>
      </c>
      <c r="K251" s="59">
        <v>0.0003</v>
      </c>
      <c r="L251" s="59">
        <f t="shared" si="23"/>
        <v>0.1329</v>
      </c>
      <c r="M251" s="60" t="s">
        <v>469</v>
      </c>
      <c r="P251" s="27">
        <f t="shared" si="24"/>
        <v>0</v>
      </c>
      <c r="R251" s="27">
        <f t="shared" si="25"/>
        <v>0</v>
      </c>
      <c r="S251" s="27">
        <f t="shared" si="26"/>
        <v>0</v>
      </c>
      <c r="T251" s="27">
        <f t="shared" si="27"/>
        <v>0</v>
      </c>
      <c r="U251" s="27">
        <f t="shared" si="28"/>
        <v>0</v>
      </c>
      <c r="V251" s="27">
        <f t="shared" si="29"/>
        <v>0</v>
      </c>
      <c r="W251" s="27">
        <f t="shared" si="30"/>
        <v>0</v>
      </c>
      <c r="X251" s="27">
        <f t="shared" si="31"/>
        <v>0</v>
      </c>
      <c r="Y251" s="20"/>
      <c r="Z251" s="14">
        <f t="shared" si="32"/>
        <v>0</v>
      </c>
      <c r="AA251" s="14">
        <f t="shared" si="33"/>
        <v>0</v>
      </c>
      <c r="AB251" s="14">
        <f t="shared" si="34"/>
        <v>0</v>
      </c>
      <c r="AD251" s="27">
        <v>15</v>
      </c>
      <c r="AE251" s="27">
        <f t="shared" si="35"/>
        <v>0</v>
      </c>
      <c r="AF251" s="27">
        <f t="shared" si="36"/>
        <v>0</v>
      </c>
      <c r="AG251" s="24" t="s">
        <v>125</v>
      </c>
      <c r="AM251" s="27">
        <f t="shared" si="37"/>
        <v>0</v>
      </c>
      <c r="AN251" s="27">
        <f t="shared" si="38"/>
        <v>0</v>
      </c>
      <c r="AO251" s="28" t="s">
        <v>516</v>
      </c>
      <c r="AP251" s="28" t="s">
        <v>529</v>
      </c>
      <c r="AQ251" s="20" t="s">
        <v>530</v>
      </c>
      <c r="AS251" s="27">
        <f t="shared" si="39"/>
        <v>0</v>
      </c>
      <c r="AT251" s="27">
        <f t="shared" si="40"/>
        <v>0</v>
      </c>
      <c r="AU251" s="27">
        <v>0</v>
      </c>
      <c r="AV251" s="27">
        <f t="shared" si="41"/>
        <v>0.1329</v>
      </c>
    </row>
    <row r="252" spans="1:48" ht="12.75">
      <c r="A252" s="6" t="s">
        <v>117</v>
      </c>
      <c r="B252" s="58"/>
      <c r="C252" s="58" t="s">
        <v>249</v>
      </c>
      <c r="D252" s="58" t="s">
        <v>440</v>
      </c>
      <c r="E252" s="58" t="s">
        <v>448</v>
      </c>
      <c r="F252" s="59">
        <v>84.6</v>
      </c>
      <c r="G252" s="59"/>
      <c r="H252" s="59">
        <f t="shared" si="20"/>
        <v>0</v>
      </c>
      <c r="I252" s="59">
        <f t="shared" si="21"/>
        <v>0</v>
      </c>
      <c r="J252" s="59">
        <f t="shared" si="22"/>
        <v>0</v>
      </c>
      <c r="K252" s="59">
        <v>0.108</v>
      </c>
      <c r="L252" s="59">
        <f t="shared" si="23"/>
        <v>9.1368</v>
      </c>
      <c r="M252" s="60" t="s">
        <v>469</v>
      </c>
      <c r="P252" s="27">
        <f t="shared" si="24"/>
        <v>0</v>
      </c>
      <c r="R252" s="27">
        <f t="shared" si="25"/>
        <v>0</v>
      </c>
      <c r="S252" s="27">
        <f t="shared" si="26"/>
        <v>0</v>
      </c>
      <c r="T252" s="27">
        <f t="shared" si="27"/>
        <v>0</v>
      </c>
      <c r="U252" s="27">
        <f t="shared" si="28"/>
        <v>0</v>
      </c>
      <c r="V252" s="27">
        <f t="shared" si="29"/>
        <v>0</v>
      </c>
      <c r="W252" s="27">
        <f t="shared" si="30"/>
        <v>0</v>
      </c>
      <c r="X252" s="27">
        <f t="shared" si="31"/>
        <v>0</v>
      </c>
      <c r="Y252" s="20"/>
      <c r="Z252" s="14">
        <f t="shared" si="32"/>
        <v>0</v>
      </c>
      <c r="AA252" s="14">
        <f t="shared" si="33"/>
        <v>0</v>
      </c>
      <c r="AB252" s="14">
        <f t="shared" si="34"/>
        <v>0</v>
      </c>
      <c r="AD252" s="27">
        <v>15</v>
      </c>
      <c r="AE252" s="27">
        <f t="shared" si="35"/>
        <v>0</v>
      </c>
      <c r="AF252" s="27">
        <f t="shared" si="36"/>
        <v>0</v>
      </c>
      <c r="AG252" s="24" t="s">
        <v>125</v>
      </c>
      <c r="AM252" s="27">
        <f t="shared" si="37"/>
        <v>0</v>
      </c>
      <c r="AN252" s="27">
        <f t="shared" si="38"/>
        <v>0</v>
      </c>
      <c r="AO252" s="28" t="s">
        <v>516</v>
      </c>
      <c r="AP252" s="28" t="s">
        <v>529</v>
      </c>
      <c r="AQ252" s="20" t="s">
        <v>530</v>
      </c>
      <c r="AS252" s="27">
        <f t="shared" si="39"/>
        <v>0</v>
      </c>
      <c r="AT252" s="27">
        <f t="shared" si="40"/>
        <v>0</v>
      </c>
      <c r="AU252" s="27">
        <v>0</v>
      </c>
      <c r="AV252" s="27">
        <f t="shared" si="41"/>
        <v>9.1368</v>
      </c>
    </row>
    <row r="253" spans="1:48" ht="12.75">
      <c r="A253" s="6" t="s">
        <v>118</v>
      </c>
      <c r="B253" s="58"/>
      <c r="C253" s="58" t="s">
        <v>250</v>
      </c>
      <c r="D253" s="58" t="s">
        <v>441</v>
      </c>
      <c r="E253" s="58" t="s">
        <v>450</v>
      </c>
      <c r="F253" s="59">
        <v>6</v>
      </c>
      <c r="G253" s="59"/>
      <c r="H253" s="59">
        <f t="shared" si="20"/>
        <v>0</v>
      </c>
      <c r="I253" s="59">
        <f t="shared" si="21"/>
        <v>0</v>
      </c>
      <c r="J253" s="59">
        <f t="shared" si="22"/>
        <v>0</v>
      </c>
      <c r="K253" s="59">
        <v>0.025</v>
      </c>
      <c r="L253" s="59">
        <f t="shared" si="23"/>
        <v>0.15000000000000002</v>
      </c>
      <c r="M253" s="60" t="s">
        <v>469</v>
      </c>
      <c r="P253" s="27">
        <f t="shared" si="24"/>
        <v>0</v>
      </c>
      <c r="R253" s="27">
        <f t="shared" si="25"/>
        <v>0</v>
      </c>
      <c r="S253" s="27">
        <f t="shared" si="26"/>
        <v>0</v>
      </c>
      <c r="T253" s="27">
        <f t="shared" si="27"/>
        <v>0</v>
      </c>
      <c r="U253" s="27">
        <f t="shared" si="28"/>
        <v>0</v>
      </c>
      <c r="V253" s="27">
        <f t="shared" si="29"/>
        <v>0</v>
      </c>
      <c r="W253" s="27">
        <f t="shared" si="30"/>
        <v>0</v>
      </c>
      <c r="X253" s="27">
        <f t="shared" si="31"/>
        <v>0</v>
      </c>
      <c r="Y253" s="20"/>
      <c r="Z253" s="14">
        <f t="shared" si="32"/>
        <v>0</v>
      </c>
      <c r="AA253" s="14">
        <f t="shared" si="33"/>
        <v>0</v>
      </c>
      <c r="AB253" s="14">
        <f t="shared" si="34"/>
        <v>0</v>
      </c>
      <c r="AD253" s="27">
        <v>15</v>
      </c>
      <c r="AE253" s="27">
        <f t="shared" si="35"/>
        <v>0</v>
      </c>
      <c r="AF253" s="27">
        <f t="shared" si="36"/>
        <v>0</v>
      </c>
      <c r="AG253" s="24" t="s">
        <v>125</v>
      </c>
      <c r="AM253" s="27">
        <f t="shared" si="37"/>
        <v>0</v>
      </c>
      <c r="AN253" s="27">
        <f t="shared" si="38"/>
        <v>0</v>
      </c>
      <c r="AO253" s="28" t="s">
        <v>516</v>
      </c>
      <c r="AP253" s="28" t="s">
        <v>529</v>
      </c>
      <c r="AQ253" s="20" t="s">
        <v>530</v>
      </c>
      <c r="AS253" s="27">
        <f t="shared" si="39"/>
        <v>0</v>
      </c>
      <c r="AT253" s="27">
        <f t="shared" si="40"/>
        <v>0</v>
      </c>
      <c r="AU253" s="27">
        <v>0</v>
      </c>
      <c r="AV253" s="27">
        <f t="shared" si="41"/>
        <v>0.15000000000000002</v>
      </c>
    </row>
    <row r="254" spans="1:48" ht="12.75">
      <c r="A254" s="6" t="s">
        <v>119</v>
      </c>
      <c r="B254" s="58"/>
      <c r="C254" s="58" t="s">
        <v>251</v>
      </c>
      <c r="D254" s="58" t="s">
        <v>442</v>
      </c>
      <c r="E254" s="61" t="s">
        <v>448</v>
      </c>
      <c r="F254" s="59">
        <v>461</v>
      </c>
      <c r="G254" s="59"/>
      <c r="H254" s="59">
        <f t="shared" si="20"/>
        <v>0</v>
      </c>
      <c r="I254" s="59">
        <f t="shared" si="21"/>
        <v>0</v>
      </c>
      <c r="J254" s="59">
        <f t="shared" si="22"/>
        <v>0</v>
      </c>
      <c r="K254" s="59">
        <v>0.0046</v>
      </c>
      <c r="L254" s="59">
        <f t="shared" si="23"/>
        <v>2.1206</v>
      </c>
      <c r="M254" s="60" t="s">
        <v>469</v>
      </c>
      <c r="P254" s="27">
        <f t="shared" si="24"/>
        <v>0</v>
      </c>
      <c r="R254" s="27">
        <f t="shared" si="25"/>
        <v>0</v>
      </c>
      <c r="S254" s="27">
        <f t="shared" si="26"/>
        <v>0</v>
      </c>
      <c r="T254" s="27">
        <f t="shared" si="27"/>
        <v>0</v>
      </c>
      <c r="U254" s="27">
        <f t="shared" si="28"/>
        <v>0</v>
      </c>
      <c r="V254" s="27">
        <f t="shared" si="29"/>
        <v>0</v>
      </c>
      <c r="W254" s="27">
        <f t="shared" si="30"/>
        <v>0</v>
      </c>
      <c r="X254" s="27">
        <f t="shared" si="31"/>
        <v>0</v>
      </c>
      <c r="Y254" s="20"/>
      <c r="Z254" s="14">
        <f t="shared" si="32"/>
        <v>0</v>
      </c>
      <c r="AA254" s="14">
        <f t="shared" si="33"/>
        <v>0</v>
      </c>
      <c r="AB254" s="14">
        <f t="shared" si="34"/>
        <v>0</v>
      </c>
      <c r="AD254" s="27">
        <v>15</v>
      </c>
      <c r="AE254" s="27">
        <f t="shared" si="35"/>
        <v>0</v>
      </c>
      <c r="AF254" s="27">
        <f t="shared" si="36"/>
        <v>0</v>
      </c>
      <c r="AG254" s="24" t="s">
        <v>125</v>
      </c>
      <c r="AM254" s="27">
        <f t="shared" si="37"/>
        <v>0</v>
      </c>
      <c r="AN254" s="27">
        <f t="shared" si="38"/>
        <v>0</v>
      </c>
      <c r="AO254" s="28" t="s">
        <v>516</v>
      </c>
      <c r="AP254" s="28" t="s">
        <v>529</v>
      </c>
      <c r="AQ254" s="20" t="s">
        <v>530</v>
      </c>
      <c r="AS254" s="27">
        <f t="shared" si="39"/>
        <v>0</v>
      </c>
      <c r="AT254" s="27">
        <f t="shared" si="40"/>
        <v>0</v>
      </c>
      <c r="AU254" s="27">
        <v>0</v>
      </c>
      <c r="AV254" s="27">
        <f t="shared" si="41"/>
        <v>2.1206</v>
      </c>
    </row>
    <row r="255" spans="1:48" ht="12.75">
      <c r="A255" s="6" t="s">
        <v>120</v>
      </c>
      <c r="B255" s="58"/>
      <c r="C255" s="58" t="s">
        <v>252</v>
      </c>
      <c r="D255" s="58" t="s">
        <v>443</v>
      </c>
      <c r="E255" s="61" t="s">
        <v>448</v>
      </c>
      <c r="F255" s="59">
        <v>374</v>
      </c>
      <c r="G255" s="59"/>
      <c r="H255" s="59">
        <f t="shared" si="20"/>
        <v>0</v>
      </c>
      <c r="I255" s="59">
        <f t="shared" si="21"/>
        <v>0</v>
      </c>
      <c r="J255" s="59">
        <f t="shared" si="22"/>
        <v>0</v>
      </c>
      <c r="K255" s="59">
        <v>0.006</v>
      </c>
      <c r="L255" s="59">
        <f t="shared" si="23"/>
        <v>2.244</v>
      </c>
      <c r="M255" s="60" t="s">
        <v>469</v>
      </c>
      <c r="P255" s="27">
        <f t="shared" si="24"/>
        <v>0</v>
      </c>
      <c r="R255" s="27">
        <f t="shared" si="25"/>
        <v>0</v>
      </c>
      <c r="S255" s="27">
        <f t="shared" si="26"/>
        <v>0</v>
      </c>
      <c r="T255" s="27">
        <f t="shared" si="27"/>
        <v>0</v>
      </c>
      <c r="U255" s="27">
        <f t="shared" si="28"/>
        <v>0</v>
      </c>
      <c r="V255" s="27">
        <f t="shared" si="29"/>
        <v>0</v>
      </c>
      <c r="W255" s="27">
        <f t="shared" si="30"/>
        <v>0</v>
      </c>
      <c r="X255" s="27">
        <f t="shared" si="31"/>
        <v>0</v>
      </c>
      <c r="Y255" s="20"/>
      <c r="Z255" s="14">
        <f t="shared" si="32"/>
        <v>0</v>
      </c>
      <c r="AA255" s="14">
        <f t="shared" si="33"/>
        <v>0</v>
      </c>
      <c r="AB255" s="14">
        <f t="shared" si="34"/>
        <v>0</v>
      </c>
      <c r="AD255" s="27">
        <v>15</v>
      </c>
      <c r="AE255" s="27">
        <f t="shared" si="35"/>
        <v>0</v>
      </c>
      <c r="AF255" s="27">
        <f t="shared" si="36"/>
        <v>0</v>
      </c>
      <c r="AG255" s="24" t="s">
        <v>125</v>
      </c>
      <c r="AM255" s="27">
        <f t="shared" si="37"/>
        <v>0</v>
      </c>
      <c r="AN255" s="27">
        <f t="shared" si="38"/>
        <v>0</v>
      </c>
      <c r="AO255" s="28" t="s">
        <v>516</v>
      </c>
      <c r="AP255" s="28" t="s">
        <v>529</v>
      </c>
      <c r="AQ255" s="20" t="s">
        <v>530</v>
      </c>
      <c r="AS255" s="27">
        <f t="shared" si="39"/>
        <v>0</v>
      </c>
      <c r="AT255" s="27">
        <f t="shared" si="40"/>
        <v>0</v>
      </c>
      <c r="AU255" s="27">
        <v>0</v>
      </c>
      <c r="AV255" s="27">
        <f t="shared" si="41"/>
        <v>2.244</v>
      </c>
    </row>
    <row r="256" spans="1:48" ht="12.75">
      <c r="A256" s="7" t="s">
        <v>121</v>
      </c>
      <c r="B256" s="62"/>
      <c r="C256" s="62" t="s">
        <v>253</v>
      </c>
      <c r="D256" s="62" t="s">
        <v>587</v>
      </c>
      <c r="E256" s="62" t="s">
        <v>450</v>
      </c>
      <c r="F256" s="63">
        <v>18</v>
      </c>
      <c r="G256" s="63"/>
      <c r="H256" s="63">
        <f t="shared" si="20"/>
        <v>0</v>
      </c>
      <c r="I256" s="63">
        <f t="shared" si="21"/>
        <v>0</v>
      </c>
      <c r="J256" s="63">
        <f t="shared" si="22"/>
        <v>0</v>
      </c>
      <c r="K256" s="63">
        <v>2E-05</v>
      </c>
      <c r="L256" s="63">
        <f t="shared" si="23"/>
        <v>0.00036</v>
      </c>
      <c r="M256" s="64" t="s">
        <v>469</v>
      </c>
      <c r="P256" s="27">
        <f t="shared" si="24"/>
        <v>0</v>
      </c>
      <c r="R256" s="27">
        <f t="shared" si="25"/>
        <v>0</v>
      </c>
      <c r="S256" s="27">
        <f t="shared" si="26"/>
        <v>0</v>
      </c>
      <c r="T256" s="27">
        <f t="shared" si="27"/>
        <v>0</v>
      </c>
      <c r="U256" s="27">
        <f t="shared" si="28"/>
        <v>0</v>
      </c>
      <c r="V256" s="27">
        <f t="shared" si="29"/>
        <v>0</v>
      </c>
      <c r="W256" s="27">
        <f t="shared" si="30"/>
        <v>0</v>
      </c>
      <c r="X256" s="27">
        <f t="shared" si="31"/>
        <v>0</v>
      </c>
      <c r="Y256" s="20"/>
      <c r="Z256" s="14">
        <f t="shared" si="32"/>
        <v>0</v>
      </c>
      <c r="AA256" s="14">
        <f t="shared" si="33"/>
        <v>0</v>
      </c>
      <c r="AB256" s="14">
        <f t="shared" si="34"/>
        <v>0</v>
      </c>
      <c r="AD256" s="27">
        <v>15</v>
      </c>
      <c r="AE256" s="27">
        <f t="shared" si="35"/>
        <v>0</v>
      </c>
      <c r="AF256" s="27">
        <f t="shared" si="36"/>
        <v>0</v>
      </c>
      <c r="AG256" s="24" t="s">
        <v>125</v>
      </c>
      <c r="AM256" s="27">
        <f t="shared" si="37"/>
        <v>0</v>
      </c>
      <c r="AN256" s="27">
        <f t="shared" si="38"/>
        <v>0</v>
      </c>
      <c r="AO256" s="28" t="s">
        <v>516</v>
      </c>
      <c r="AP256" s="28" t="s">
        <v>529</v>
      </c>
      <c r="AQ256" s="20" t="s">
        <v>530</v>
      </c>
      <c r="AS256" s="27">
        <f t="shared" si="39"/>
        <v>0</v>
      </c>
      <c r="AT256" s="27">
        <f t="shared" si="40"/>
        <v>0</v>
      </c>
      <c r="AU256" s="27">
        <v>0</v>
      </c>
      <c r="AV256" s="27">
        <f t="shared" si="41"/>
        <v>0.00036</v>
      </c>
    </row>
    <row r="257" spans="1:13" ht="12.75">
      <c r="A257" s="8"/>
      <c r="B257" s="8"/>
      <c r="C257" s="8"/>
      <c r="D257" s="8"/>
      <c r="E257" s="8"/>
      <c r="F257" s="8"/>
      <c r="G257" s="8"/>
      <c r="H257" s="74" t="s">
        <v>459</v>
      </c>
      <c r="I257" s="75"/>
      <c r="J257" s="30">
        <f>J12+J19+J32+J38+J46+J53+J58+J63+J70+J73+J84+J87+J90+J93+J96+J99+J122+J133+J138+J140+J143+J146+J166+J169+J176+J183+J186+J197+J202+J213+J216+J218+J220+J222+J224+J233+J238+J248</f>
        <v>0</v>
      </c>
      <c r="K257" s="8"/>
      <c r="L257" s="8"/>
      <c r="M257" s="8"/>
    </row>
    <row r="258" spans="1:15" ht="11.25" customHeight="1">
      <c r="A258" s="68" t="s">
        <v>5</v>
      </c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70"/>
      <c r="O258" s="70"/>
    </row>
    <row r="259" spans="1:15" ht="12.75" customHeight="1">
      <c r="A259" s="7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0"/>
      <c r="O259" s="70"/>
    </row>
    <row r="260" spans="1:15" ht="12">
      <c r="A260" s="69"/>
      <c r="B260" s="69"/>
      <c r="C260" s="76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</row>
    <row r="261" spans="1:15" ht="12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70"/>
      <c r="O261" s="70"/>
    </row>
    <row r="262" spans="1:15" ht="12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70"/>
      <c r="O262" s="70"/>
    </row>
  </sheetData>
  <sheetProtection/>
  <mergeCells count="68">
    <mergeCell ref="C260:O260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9:G19"/>
    <mergeCell ref="D32:G32"/>
    <mergeCell ref="D38:G38"/>
    <mergeCell ref="D46:G46"/>
    <mergeCell ref="D53:G53"/>
    <mergeCell ref="D58:G58"/>
    <mergeCell ref="D63:G63"/>
    <mergeCell ref="D70:G70"/>
    <mergeCell ref="D73:G73"/>
    <mergeCell ref="D84:G84"/>
    <mergeCell ref="D87:G87"/>
    <mergeCell ref="D90:G90"/>
    <mergeCell ref="D93:G93"/>
    <mergeCell ref="D96:G96"/>
    <mergeCell ref="D99:G99"/>
    <mergeCell ref="D122:G122"/>
    <mergeCell ref="D133:G133"/>
    <mergeCell ref="D138:G138"/>
    <mergeCell ref="D140:G140"/>
    <mergeCell ref="D143:G143"/>
    <mergeCell ref="D146:G146"/>
    <mergeCell ref="D166:G166"/>
    <mergeCell ref="D169:G169"/>
    <mergeCell ref="D176:G176"/>
    <mergeCell ref="D183:G183"/>
    <mergeCell ref="D186:G186"/>
    <mergeCell ref="D197:G197"/>
    <mergeCell ref="D202:G202"/>
    <mergeCell ref="D213:G213"/>
    <mergeCell ref="D216:G216"/>
    <mergeCell ref="D218:G218"/>
    <mergeCell ref="D220:G220"/>
    <mergeCell ref="D222:G222"/>
    <mergeCell ref="D224:G224"/>
    <mergeCell ref="D233:G233"/>
    <mergeCell ref="D238:G238"/>
    <mergeCell ref="D248:G248"/>
    <mergeCell ref="H257:I257"/>
    <mergeCell ref="A259:M259"/>
  </mergeCells>
  <printOptions/>
  <pageMargins left="0.394" right="0.394" top="0.591" bottom="0.591" header="0.5" footer="0.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9" sqref="F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7"/>
      <c r="B1" s="31"/>
      <c r="C1" s="132" t="s">
        <v>619</v>
      </c>
      <c r="D1" s="133"/>
      <c r="E1" s="133"/>
      <c r="F1" s="133"/>
      <c r="G1" s="133"/>
      <c r="H1" s="133"/>
      <c r="I1" s="133"/>
    </row>
    <row r="2" spans="1:10" ht="12">
      <c r="A2" s="96" t="s">
        <v>0</v>
      </c>
      <c r="B2" s="97"/>
      <c r="C2" s="98" t="s">
        <v>617</v>
      </c>
      <c r="D2" s="75"/>
      <c r="E2" s="102" t="s">
        <v>460</v>
      </c>
      <c r="F2" s="102"/>
      <c r="G2" s="97"/>
      <c r="H2" s="102" t="s">
        <v>565</v>
      </c>
      <c r="I2" s="134"/>
      <c r="J2" s="25"/>
    </row>
    <row r="3" spans="1:10" ht="12">
      <c r="A3" s="93"/>
      <c r="B3" s="84"/>
      <c r="C3" s="99"/>
      <c r="D3" s="99"/>
      <c r="E3" s="84"/>
      <c r="F3" s="84"/>
      <c r="G3" s="84"/>
      <c r="H3" s="84"/>
      <c r="I3" s="90"/>
      <c r="J3" s="25"/>
    </row>
    <row r="4" spans="1:10" ht="12">
      <c r="A4" s="83" t="s">
        <v>1</v>
      </c>
      <c r="B4" s="84"/>
      <c r="C4" s="87" t="s">
        <v>618</v>
      </c>
      <c r="D4" s="84"/>
      <c r="E4" s="87" t="s">
        <v>461</v>
      </c>
      <c r="F4" s="87"/>
      <c r="G4" s="84"/>
      <c r="H4" s="87" t="s">
        <v>565</v>
      </c>
      <c r="I4" s="131"/>
      <c r="J4" s="25"/>
    </row>
    <row r="5" spans="1:10" ht="12">
      <c r="A5" s="93"/>
      <c r="B5" s="84"/>
      <c r="C5" s="84"/>
      <c r="D5" s="84"/>
      <c r="E5" s="84"/>
      <c r="F5" s="84"/>
      <c r="G5" s="84"/>
      <c r="H5" s="84"/>
      <c r="I5" s="90"/>
      <c r="J5" s="25"/>
    </row>
    <row r="6" spans="1:10" ht="12">
      <c r="A6" s="83" t="s">
        <v>2</v>
      </c>
      <c r="B6" s="84"/>
      <c r="C6" s="87" t="s">
        <v>254</v>
      </c>
      <c r="D6" s="84"/>
      <c r="E6" s="87" t="s">
        <v>462</v>
      </c>
      <c r="F6" s="87"/>
      <c r="G6" s="84"/>
      <c r="H6" s="87" t="s">
        <v>565</v>
      </c>
      <c r="I6" s="131"/>
      <c r="J6" s="25"/>
    </row>
    <row r="7" spans="1:10" ht="12">
      <c r="A7" s="93"/>
      <c r="B7" s="84"/>
      <c r="C7" s="84"/>
      <c r="D7" s="84"/>
      <c r="E7" s="84"/>
      <c r="F7" s="84"/>
      <c r="G7" s="84"/>
      <c r="H7" s="84"/>
      <c r="I7" s="90"/>
      <c r="J7" s="25"/>
    </row>
    <row r="8" spans="1:10" ht="12">
      <c r="A8" s="83" t="s">
        <v>444</v>
      </c>
      <c r="B8" s="84"/>
      <c r="C8" s="89"/>
      <c r="D8" s="84"/>
      <c r="E8" s="87" t="s">
        <v>445</v>
      </c>
      <c r="F8" s="84"/>
      <c r="G8" s="84"/>
      <c r="H8" s="88" t="s">
        <v>566</v>
      </c>
      <c r="I8" s="131" t="s">
        <v>121</v>
      </c>
      <c r="J8" s="25"/>
    </row>
    <row r="9" spans="1:10" ht="12">
      <c r="A9" s="93"/>
      <c r="B9" s="84"/>
      <c r="C9" s="84"/>
      <c r="D9" s="84"/>
      <c r="E9" s="84"/>
      <c r="F9" s="84"/>
      <c r="G9" s="84"/>
      <c r="H9" s="84"/>
      <c r="I9" s="90"/>
      <c r="J9" s="25"/>
    </row>
    <row r="10" spans="1:10" ht="12">
      <c r="A10" s="83" t="s">
        <v>3</v>
      </c>
      <c r="B10" s="84"/>
      <c r="C10" s="87"/>
      <c r="D10" s="84"/>
      <c r="E10" s="87" t="s">
        <v>463</v>
      </c>
      <c r="F10" s="87"/>
      <c r="G10" s="84"/>
      <c r="H10" s="88" t="s">
        <v>567</v>
      </c>
      <c r="I10" s="129">
        <v>43826</v>
      </c>
      <c r="J10" s="25"/>
    </row>
    <row r="11" spans="1:10" ht="12">
      <c r="A11" s="127"/>
      <c r="B11" s="128"/>
      <c r="C11" s="128"/>
      <c r="D11" s="128"/>
      <c r="E11" s="128"/>
      <c r="F11" s="128"/>
      <c r="G11" s="128"/>
      <c r="H11" s="128"/>
      <c r="I11" s="130"/>
      <c r="J11" s="25"/>
    </row>
    <row r="12" spans="1:9" ht="23.25" customHeight="1">
      <c r="A12" s="123" t="s">
        <v>531</v>
      </c>
      <c r="B12" s="124"/>
      <c r="C12" s="124"/>
      <c r="D12" s="124"/>
      <c r="E12" s="124"/>
      <c r="F12" s="124"/>
      <c r="G12" s="124"/>
      <c r="H12" s="124"/>
      <c r="I12" s="124"/>
    </row>
    <row r="13" spans="1:10" ht="26.25" customHeight="1">
      <c r="A13" s="32" t="s">
        <v>532</v>
      </c>
      <c r="B13" s="125" t="s">
        <v>542</v>
      </c>
      <c r="C13" s="126"/>
      <c r="D13" s="32" t="s">
        <v>544</v>
      </c>
      <c r="E13" s="125" t="s">
        <v>551</v>
      </c>
      <c r="F13" s="126"/>
      <c r="G13" s="32" t="s">
        <v>552</v>
      </c>
      <c r="H13" s="125" t="s">
        <v>568</v>
      </c>
      <c r="I13" s="126"/>
      <c r="J13" s="25"/>
    </row>
    <row r="14" spans="1:10" ht="15" customHeight="1">
      <c r="A14" s="33" t="s">
        <v>533</v>
      </c>
      <c r="B14" s="37" t="s">
        <v>543</v>
      </c>
      <c r="C14" s="41">
        <f>SUM('Stavební rozpočet'!R12:R256)</f>
        <v>0</v>
      </c>
      <c r="D14" s="119" t="s">
        <v>545</v>
      </c>
      <c r="E14" s="120"/>
      <c r="F14" s="41">
        <v>0</v>
      </c>
      <c r="G14" s="121" t="s">
        <v>553</v>
      </c>
      <c r="H14" s="122"/>
      <c r="I14" s="41">
        <v>0</v>
      </c>
      <c r="J14" s="25"/>
    </row>
    <row r="15" spans="1:10" ht="15" customHeight="1">
      <c r="A15" s="34"/>
      <c r="B15" s="37" t="s">
        <v>464</v>
      </c>
      <c r="C15" s="41">
        <f>SUM('Stavební rozpočet'!S12:S256)</f>
        <v>0</v>
      </c>
      <c r="D15" s="119" t="s">
        <v>546</v>
      </c>
      <c r="E15" s="120"/>
      <c r="F15" s="41">
        <v>0</v>
      </c>
      <c r="G15" s="119" t="s">
        <v>554</v>
      </c>
      <c r="H15" s="120"/>
      <c r="I15" s="41">
        <v>0</v>
      </c>
      <c r="J15" s="25"/>
    </row>
    <row r="16" spans="1:10" ht="15" customHeight="1">
      <c r="A16" s="33" t="s">
        <v>534</v>
      </c>
      <c r="B16" s="37" t="s">
        <v>543</v>
      </c>
      <c r="C16" s="41">
        <f>SUM('Stavební rozpočet'!T12:T256)</f>
        <v>0</v>
      </c>
      <c r="D16" s="119" t="s">
        <v>615</v>
      </c>
      <c r="E16" s="120"/>
      <c r="F16" s="41">
        <v>0</v>
      </c>
      <c r="G16" s="119" t="s">
        <v>555</v>
      </c>
      <c r="H16" s="120"/>
      <c r="I16" s="41">
        <v>0</v>
      </c>
      <c r="J16" s="25"/>
    </row>
    <row r="17" spans="1:10" ht="15" customHeight="1">
      <c r="A17" s="34"/>
      <c r="B17" s="37" t="s">
        <v>464</v>
      </c>
      <c r="C17" s="41">
        <f>SUM('Stavební rozpočet'!U12:U256)</f>
        <v>0</v>
      </c>
      <c r="D17" s="119"/>
      <c r="E17" s="120"/>
      <c r="F17" s="42"/>
      <c r="G17" s="119" t="s">
        <v>556</v>
      </c>
      <c r="H17" s="120"/>
      <c r="I17" s="41">
        <v>0</v>
      </c>
      <c r="J17" s="25"/>
    </row>
    <row r="18" spans="1:10" ht="15" customHeight="1">
      <c r="A18" s="33" t="s">
        <v>535</v>
      </c>
      <c r="B18" s="37" t="s">
        <v>543</v>
      </c>
      <c r="C18" s="41">
        <f>SUM('Stavební rozpočet'!V12:V256)</f>
        <v>0</v>
      </c>
      <c r="D18" s="119"/>
      <c r="E18" s="120"/>
      <c r="F18" s="42"/>
      <c r="G18" s="121" t="s">
        <v>592</v>
      </c>
      <c r="H18" s="122"/>
      <c r="I18" s="41">
        <v>0</v>
      </c>
      <c r="J18" s="25"/>
    </row>
    <row r="19" spans="1:10" ht="15" customHeight="1">
      <c r="A19" s="34"/>
      <c r="B19" s="37" t="s">
        <v>464</v>
      </c>
      <c r="C19" s="41">
        <f>SUM('Stavební rozpočet'!W12:W256)</f>
        <v>0</v>
      </c>
      <c r="D19" s="119"/>
      <c r="E19" s="120"/>
      <c r="F19" s="42"/>
      <c r="G19" s="119" t="s">
        <v>557</v>
      </c>
      <c r="H19" s="120"/>
      <c r="I19" s="41">
        <v>0</v>
      </c>
      <c r="J19" s="25"/>
    </row>
    <row r="20" spans="1:10" ht="15" customHeight="1">
      <c r="A20" s="117" t="s">
        <v>436</v>
      </c>
      <c r="B20" s="118"/>
      <c r="C20" s="41">
        <f>SUM('Stavební rozpočet'!X12:X256)</f>
        <v>0</v>
      </c>
      <c r="D20" s="119"/>
      <c r="E20" s="120"/>
      <c r="F20" s="42"/>
      <c r="G20" s="119"/>
      <c r="H20" s="120"/>
      <c r="I20" s="42"/>
      <c r="J20" s="25"/>
    </row>
    <row r="21" spans="1:10" ht="15" customHeight="1">
      <c r="A21" s="117" t="s">
        <v>536</v>
      </c>
      <c r="B21" s="118"/>
      <c r="C21" s="41">
        <f>SUM('Stavební rozpočet'!P12:P256)</f>
        <v>0</v>
      </c>
      <c r="D21" s="119"/>
      <c r="E21" s="120"/>
      <c r="F21" s="42"/>
      <c r="G21" s="119"/>
      <c r="H21" s="120"/>
      <c r="I21" s="42"/>
      <c r="J21" s="25"/>
    </row>
    <row r="22" spans="1:10" ht="16.5" customHeight="1">
      <c r="A22" s="117" t="s">
        <v>537</v>
      </c>
      <c r="B22" s="118"/>
      <c r="C22" s="41">
        <f>SUM(C14:C21)</f>
        <v>0</v>
      </c>
      <c r="D22" s="117" t="s">
        <v>547</v>
      </c>
      <c r="E22" s="118"/>
      <c r="F22" s="41">
        <v>0</v>
      </c>
      <c r="G22" s="117" t="s">
        <v>558</v>
      </c>
      <c r="H22" s="118"/>
      <c r="I22" s="41">
        <v>0</v>
      </c>
      <c r="J22" s="25"/>
    </row>
    <row r="23" spans="1:10" ht="15" customHeight="1">
      <c r="A23" s="8"/>
      <c r="B23" s="8"/>
      <c r="C23" s="39"/>
      <c r="D23" s="117" t="s">
        <v>548</v>
      </c>
      <c r="E23" s="118"/>
      <c r="F23" s="43">
        <v>0</v>
      </c>
      <c r="G23" s="117" t="s">
        <v>559</v>
      </c>
      <c r="H23" s="118"/>
      <c r="I23" s="41">
        <v>0</v>
      </c>
      <c r="J23" s="25"/>
    </row>
    <row r="24" spans="4:10" ht="15" customHeight="1">
      <c r="D24" s="8"/>
      <c r="E24" s="8"/>
      <c r="F24" s="44"/>
      <c r="G24" s="117" t="s">
        <v>560</v>
      </c>
      <c r="H24" s="118"/>
      <c r="I24" s="41">
        <v>0</v>
      </c>
      <c r="J24" s="25"/>
    </row>
    <row r="25" spans="6:10" ht="15" customHeight="1">
      <c r="F25" s="45"/>
      <c r="G25" s="117" t="s">
        <v>561</v>
      </c>
      <c r="H25" s="118"/>
      <c r="I25" s="41">
        <v>0</v>
      </c>
      <c r="J25" s="25"/>
    </row>
    <row r="26" spans="1:9" ht="12">
      <c r="A26" s="31"/>
      <c r="B26" s="31"/>
      <c r="C26" s="31"/>
      <c r="G26" s="8"/>
      <c r="H26" s="8"/>
      <c r="I26" s="8"/>
    </row>
    <row r="27" spans="1:9" ht="15" customHeight="1">
      <c r="A27" s="110" t="s">
        <v>538</v>
      </c>
      <c r="B27" s="111"/>
      <c r="C27" s="67">
        <f>SUM('Stavební rozpočet'!Z12:Z256)</f>
        <v>0</v>
      </c>
      <c r="D27" s="40"/>
      <c r="E27" s="31"/>
      <c r="F27" s="31"/>
      <c r="G27" s="31"/>
      <c r="H27" s="31"/>
      <c r="I27" s="31"/>
    </row>
    <row r="28" spans="1:10" ht="15" customHeight="1">
      <c r="A28" s="110" t="s">
        <v>539</v>
      </c>
      <c r="B28" s="111"/>
      <c r="C28" s="67">
        <f>SUM('Stavební rozpočet'!AA12:AA256)+(F22+I22+F23+I23+I24+I25)</f>
        <v>0</v>
      </c>
      <c r="D28" s="110" t="s">
        <v>549</v>
      </c>
      <c r="E28" s="111"/>
      <c r="F28" s="67">
        <f>ROUND(C28*(21/100),2)</f>
        <v>0</v>
      </c>
      <c r="G28" s="110" t="s">
        <v>562</v>
      </c>
      <c r="H28" s="111"/>
      <c r="I28" s="67">
        <f>SUM(C27:C29)</f>
        <v>0</v>
      </c>
      <c r="J28" s="25"/>
    </row>
    <row r="29" spans="1:10" ht="15" customHeight="1">
      <c r="A29" s="110"/>
      <c r="B29" s="111"/>
      <c r="C29" s="67"/>
      <c r="D29" s="110"/>
      <c r="E29" s="111"/>
      <c r="F29" s="67"/>
      <c r="G29" s="112" t="s">
        <v>563</v>
      </c>
      <c r="H29" s="113"/>
      <c r="I29" s="46">
        <f>SUM(F28:F29)+I28</f>
        <v>0</v>
      </c>
      <c r="J29" s="25"/>
    </row>
    <row r="30" spans="1:9" ht="12">
      <c r="A30" s="35"/>
      <c r="B30" s="35"/>
      <c r="C30" s="35"/>
      <c r="D30" s="35"/>
      <c r="E30" s="35"/>
      <c r="F30" s="35"/>
      <c r="G30" s="35"/>
      <c r="H30" s="35"/>
      <c r="I30" s="35"/>
    </row>
    <row r="31" spans="1:10" ht="14.25" customHeight="1">
      <c r="A31" s="114" t="s">
        <v>540</v>
      </c>
      <c r="B31" s="115"/>
      <c r="C31" s="116"/>
      <c r="D31" s="114" t="s">
        <v>550</v>
      </c>
      <c r="E31" s="115"/>
      <c r="F31" s="116"/>
      <c r="G31" s="114" t="s">
        <v>564</v>
      </c>
      <c r="H31" s="115"/>
      <c r="I31" s="116"/>
      <c r="J31" s="26"/>
    </row>
    <row r="32" spans="1:10" ht="14.25" customHeight="1">
      <c r="A32" s="104"/>
      <c r="B32" s="105"/>
      <c r="C32" s="106"/>
      <c r="D32" s="104"/>
      <c r="E32" s="105"/>
      <c r="F32" s="106"/>
      <c r="G32" s="104"/>
      <c r="H32" s="105"/>
      <c r="I32" s="106"/>
      <c r="J32" s="26"/>
    </row>
    <row r="33" spans="1:10" ht="14.25" customHeight="1">
      <c r="A33" s="104"/>
      <c r="B33" s="105"/>
      <c r="C33" s="106"/>
      <c r="D33" s="104"/>
      <c r="E33" s="105"/>
      <c r="F33" s="106"/>
      <c r="G33" s="104"/>
      <c r="H33" s="105"/>
      <c r="I33" s="106"/>
      <c r="J33" s="26"/>
    </row>
    <row r="34" spans="1:10" ht="14.25" customHeight="1">
      <c r="A34" s="104"/>
      <c r="B34" s="105"/>
      <c r="C34" s="106"/>
      <c r="D34" s="104"/>
      <c r="E34" s="105"/>
      <c r="F34" s="106"/>
      <c r="G34" s="104"/>
      <c r="H34" s="105"/>
      <c r="I34" s="106"/>
      <c r="J34" s="26"/>
    </row>
    <row r="35" spans="1:10" ht="14.25" customHeight="1">
      <c r="A35" s="107" t="s">
        <v>541</v>
      </c>
      <c r="B35" s="108"/>
      <c r="C35" s="109"/>
      <c r="D35" s="107" t="s">
        <v>541</v>
      </c>
      <c r="E35" s="108"/>
      <c r="F35" s="109"/>
      <c r="G35" s="107" t="s">
        <v>541</v>
      </c>
      <c r="H35" s="108"/>
      <c r="I35" s="109"/>
      <c r="J35" s="26"/>
    </row>
    <row r="36" spans="1:9" ht="11.25" customHeight="1">
      <c r="A36" s="36" t="s">
        <v>122</v>
      </c>
      <c r="B36" s="38"/>
      <c r="C36" s="38"/>
      <c r="D36" s="38"/>
      <c r="E36" s="38"/>
      <c r="F36" s="38"/>
      <c r="G36" s="38"/>
      <c r="H36" s="38"/>
      <c r="I36" s="38"/>
    </row>
    <row r="37" spans="1:9" ht="12">
      <c r="A37" s="87"/>
      <c r="B37" s="84"/>
      <c r="C37" s="84"/>
      <c r="D37" s="84"/>
      <c r="E37" s="84"/>
      <c r="F37" s="84"/>
      <c r="G37" s="84"/>
      <c r="H37" s="84"/>
      <c r="I37" s="8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Jelinek Milan</dc:creator>
  <cp:keywords/>
  <dc:description/>
  <cp:lastModifiedBy>uzivatel</cp:lastModifiedBy>
  <cp:lastPrinted>2018-09-06T14:43:25Z</cp:lastPrinted>
  <dcterms:created xsi:type="dcterms:W3CDTF">2019-11-08T09:39:08Z</dcterms:created>
  <dcterms:modified xsi:type="dcterms:W3CDTF">2019-12-31T07:40:20Z</dcterms:modified>
  <cp:category/>
  <cp:version/>
  <cp:contentType/>
  <cp:contentStatus/>
</cp:coreProperties>
</file>