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<sst xmlns="http://schemas.openxmlformats.org/spreadsheetml/2006/main" count="391" uniqueCount="191">
  <si>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</si>
  <si>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</si>
  <si>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</si>
  <si>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</si>
  <si>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</si>
  <si>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</si>
  <si>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</si>
  <si>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</si>
  <si>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</si>
  <si>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</si>
  <si>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</si>
  <si>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</si>
  <si>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</si>
  <si>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</si>
  <si>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</si>
  <si>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</si>
  <si>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</si>
  <si>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</si>
  <si>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</si>
  <si>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</si>
  <si>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</si>
  <si>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</si>
  <si>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</si>
  <si>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</si>
  <si>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</si>
  <si>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</si>
  <si>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</si>
  <si>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</si>
  <si>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</si>
  <si>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</si>
  <si>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</si>
  <si>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</si>
  <si>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</si>
  <si>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Poznámka:</t>
  </si>
  <si>
    <t>Objekt</t>
  </si>
  <si>
    <t>Kód</t>
  </si>
  <si>
    <t>721170967R00</t>
  </si>
  <si>
    <t>722</t>
  </si>
  <si>
    <t>722172412R00</t>
  </si>
  <si>
    <t>722172414R00</t>
  </si>
  <si>
    <t>722235122R00</t>
  </si>
  <si>
    <t>722235123R00</t>
  </si>
  <si>
    <t>722235125R00</t>
  </si>
  <si>
    <t>722235126R00</t>
  </si>
  <si>
    <t>722110924R00</t>
  </si>
  <si>
    <t>722290226R00</t>
  </si>
  <si>
    <t>722181231RV9</t>
  </si>
  <si>
    <t>722181234RW2</t>
  </si>
  <si>
    <t>7221234569VD</t>
  </si>
  <si>
    <t>7222902342VD</t>
  </si>
  <si>
    <t>722290234R00</t>
  </si>
  <si>
    <t>7221724144VD</t>
  </si>
  <si>
    <t>7221724145VD</t>
  </si>
  <si>
    <t>7221724146VD</t>
  </si>
  <si>
    <t>722290825R00</t>
  </si>
  <si>
    <t>722172411R00</t>
  </si>
  <si>
    <t>722172103VD</t>
  </si>
  <si>
    <t>722202221R00</t>
  </si>
  <si>
    <t>722172413R00</t>
  </si>
  <si>
    <t>725</t>
  </si>
  <si>
    <t>7251234568VD</t>
  </si>
  <si>
    <t>725017134R00</t>
  </si>
  <si>
    <t>725234569VD</t>
  </si>
  <si>
    <t>725825111R00</t>
  </si>
  <si>
    <t>20190221- Oprava ležatých rozvodů SV, TVU a C- 2.a3.NP  pavilon  A - CENTRUM Rožmitál p.Tř.</t>
  </si>
  <si>
    <t>Zkrácený popis</t>
  </si>
  <si>
    <t>Rozměry</t>
  </si>
  <si>
    <t>Vnitřní kanalizace</t>
  </si>
  <si>
    <t>Oprava - propojení dosavadního potrubí PVC D 40</t>
  </si>
  <si>
    <t>Vnitřní vodovod</t>
  </si>
  <si>
    <t>Potrubí z PPR, D 25 x 3,5 mm, PN 16</t>
  </si>
  <si>
    <t>Potrubí z PPR, D 40 x 5,5 mm, PN 16</t>
  </si>
  <si>
    <t>Kohout kulový,vnitřní-vnitřní z. IVAR.KK 51 DN 20</t>
  </si>
  <si>
    <t>Kohout kulový,vnitřní-vnitřní z. IVAR.KK 51 DN 25</t>
  </si>
  <si>
    <t>Kohout kulový,vnitřní-vnitřní z. IVAR.KK 51 DN 40</t>
  </si>
  <si>
    <t>Kohout kulový,vnitřní-vnitřní z. IVAR.KK 51 DN 50</t>
  </si>
  <si>
    <t>Propojení dosavadního potrubí na nový rozvod do D 63</t>
  </si>
  <si>
    <t>Zkouška tlaku potrubí závitového DN 50</t>
  </si>
  <si>
    <t>Izolace návleková MIRELON PET tl. stěny 6 mm</t>
  </si>
  <si>
    <t>Izolace návleková MIRELON PET tl. stěny 20 mm</t>
  </si>
  <si>
    <t>Výseky  prostupů pro vodu a osazení konzol a držáků žlabů</t>
  </si>
  <si>
    <t>Přípravné a pomocné práce vč.demontáží krytů a rozvodů</t>
  </si>
  <si>
    <t>Proplach a dezinfekce vodovod.potrubí DN 50</t>
  </si>
  <si>
    <t>PVC žlaby</t>
  </si>
  <si>
    <t>Montáž žlabů</t>
  </si>
  <si>
    <t>Držáky žlabů</t>
  </si>
  <si>
    <t>Přesun vybouraných hmot - vodovody, H 36 - 48 m</t>
  </si>
  <si>
    <t>Potrubí z PPR, D 20 x 2,8 mm, PN 16</t>
  </si>
  <si>
    <t>Přirážka na ztíženou montáž potrubí nad lež.rozvody pod stropem 2.a3.NP</t>
  </si>
  <si>
    <t>Komplet nástěnný MZD PP-R INSTAPLAST D 20xR1/2</t>
  </si>
  <si>
    <t>Potrubí z PPR, D 32 x 4,4 mm, PN 16</t>
  </si>
  <si>
    <t>Zařizovací předměty</t>
  </si>
  <si>
    <t>Rohové kryty sádrokartonové vč.konstrukce a zatmelení</t>
  </si>
  <si>
    <t>Umyvadlo na šrouby OLYMP Deep 60 x 45 cm, bílé</t>
  </si>
  <si>
    <t>Nové obklady umyvadel vč.omítky, dodávky obkladů a obložení</t>
  </si>
  <si>
    <t>Baterie umyvadlová nástěnná ruční</t>
  </si>
  <si>
    <t>Doba výstavby:</t>
  </si>
  <si>
    <t>Začátek výstavby:</t>
  </si>
  <si>
    <t>Konec výstavby:</t>
  </si>
  <si>
    <t>Zpracováno dne:</t>
  </si>
  <si>
    <t>M.j.</t>
  </si>
  <si>
    <t>kus</t>
  </si>
  <si>
    <t>m</t>
  </si>
  <si>
    <t>hod</t>
  </si>
  <si>
    <t>kpl</t>
  </si>
  <si>
    <t>t</t>
  </si>
  <si>
    <t>soubor</t>
  </si>
  <si>
    <t>Množství</t>
  </si>
  <si>
    <t>01.01.2020</t>
  </si>
  <si>
    <t>31.10.2019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</si>
  <si>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</si>
  <si>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</si>
  <si>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</si>
  <si>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</si>
  <si>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</si>
  <si>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</si>
  <si>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</si>
  <si>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</si>
  <si>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</si>
  <si>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</si>
  <si>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</si>
  <si>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</si>
  <si>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</si>
  <si>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</si>
  <si>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 / 2017</t>
  </si>
  <si>
    <t>RTS II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</si>
  <si>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</si>
  <si>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</si>
  <si>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</si>
  <si>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</si>
  <si>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</si>
  <si>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</si>
  <si>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</si>
  <si>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</si>
  <si>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</si>
  <si>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24_</t>
  </si>
  <si>
    <t>722_</t>
  </si>
  <si>
    <t>725_</t>
  </si>
  <si>
    <t>2_</t>
  </si>
  <si>
    <t>72_</t>
  </si>
  <si>
    <t>_</t>
  </si>
  <si>
    <t>Slepý 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</si>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</sst>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08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vertical="center" wrapText="1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vertical="center" wrapText="1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3" fillId="0" borderId="5" xfId="0" applyNumberFormat="1" applyFont="1" applyFill="1" applyBorder="1" applyAlignment="1" applyProtection="1">
      <alignment vertical="center"/>
      <protection/>
    </xf>
    <xf numFmtId="49" fontId="1" fillId="0" borderId="6" xfId="0" applyNumberFormat="1" applyFont="1" applyFill="1" applyBorder="1" applyAlignment="1" applyProtection="1">
      <alignment vertical="center"/>
      <protection/>
    </xf>
    <xf numFmtId="49" fontId="4" fillId="2" borderId="7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4" fillId="2" borderId="0" xfId="0" applyNumberFormat="1" applyFont="1" applyFill="1" applyBorder="1" applyAlignment="1" applyProtection="1">
      <alignment vertical="center"/>
      <protection/>
    </xf>
    <xf numFmtId="49" fontId="5" fillId="0" borderId="1" xfId="0" applyNumberFormat="1" applyFont="1" applyFill="1" applyBorder="1" applyAlignment="1" applyProtection="1">
      <alignment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49" fontId="7" fillId="2" borderId="7" xfId="0" applyNumberFormat="1" applyFont="1" applyFill="1" applyBorder="1" applyAlignment="1" applyProtection="1">
      <alignment vertical="center"/>
      <protection/>
    </xf>
    <xf numFmtId="49" fontId="7" fillId="2" borderId="0" xfId="0" applyNumberFormat="1" applyFont="1" applyFill="1" applyBorder="1" applyAlignment="1" applyProtection="1">
      <alignment vertical="center"/>
      <protection/>
    </xf>
    <xf numFmtId="0" fontId="3" fillId="0" borderId="8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49" fontId="1" fillId="0" borderId="8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8" xfId="0" applyNumberFormat="1" applyFont="1" applyFill="1" applyBorder="1" applyAlignment="1" applyProtection="1">
      <alignment vertical="center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7" fillId="2" borderId="7" xfId="0" applyNumberFormat="1" applyFont="1" applyFill="1" applyBorder="1" applyAlignment="1" applyProtection="1">
      <alignment horizontal="right" vertical="center"/>
      <protection/>
    </xf>
    <xf numFmtId="49" fontId="7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7" fillId="2" borderId="7" xfId="0" applyNumberFormat="1" applyFont="1" applyFill="1" applyBorder="1" applyAlignment="1" applyProtection="1">
      <alignment horizontal="right" vertical="center"/>
      <protection/>
    </xf>
    <xf numFmtId="4" fontId="7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8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vertical="center"/>
      <protection/>
    </xf>
    <xf numFmtId="49" fontId="1" fillId="0" borderId="7" xfId="0" applyNumberFormat="1" applyFont="1" applyFill="1" applyBorder="1" applyAlignment="1" applyProtection="1">
      <alignment vertical="center"/>
      <protection/>
    </xf>
    <xf numFmtId="49" fontId="3" fillId="0" borderId="27" xfId="0" applyNumberFormat="1" applyFont="1" applyFill="1" applyBorder="1" applyAlignment="1" applyProtection="1">
      <alignment vertical="center"/>
      <protection/>
    </xf>
    <xf numFmtId="49" fontId="3" fillId="0" borderId="28" xfId="0" applyNumberFormat="1" applyFont="1" applyFill="1" applyBorder="1" applyAlignment="1" applyProtection="1">
      <alignment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7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8" fillId="0" borderId="30" xfId="0" applyNumberFormat="1" applyFont="1" applyFill="1" applyBorder="1" applyAlignment="1" applyProtection="1">
      <alignment horizontal="center" vertical="center"/>
      <protection/>
    </xf>
    <xf numFmtId="49" fontId="9" fillId="3" borderId="31" xfId="0" applyNumberFormat="1" applyFont="1" applyFill="1" applyBorder="1" applyAlignment="1" applyProtection="1">
      <alignment horizontal="center" vertical="center"/>
      <protection/>
    </xf>
    <xf numFmtId="49" fontId="10" fillId="0" borderId="32" xfId="0" applyNumberFormat="1" applyFont="1" applyFill="1" applyBorder="1" applyAlignment="1" applyProtection="1">
      <alignment vertical="center"/>
      <protection/>
    </xf>
    <xf numFmtId="49" fontId="10" fillId="0" borderId="33" xfId="0" applyNumberFormat="1" applyFont="1" applyFill="1" applyBorder="1" applyAlignment="1" applyProtection="1">
      <alignment vertical="center"/>
      <protection/>
    </xf>
    <xf numFmtId="49" fontId="10" fillId="0" borderId="34" xfId="0" applyNumberFormat="1" applyFont="1" applyFill="1" applyBorder="1" applyAlignment="1" applyProtection="1">
      <alignment vertical="center"/>
      <protection/>
    </xf>
    <xf numFmtId="49" fontId="10" fillId="3" borderId="34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11" fillId="0" borderId="36" xfId="0" applyNumberFormat="1" applyFont="1" applyFill="1" applyBorder="1" applyAlignment="1" applyProtection="1">
      <alignment vertical="center"/>
      <protection/>
    </xf>
    <xf numFmtId="49" fontId="11" fillId="0" borderId="25" xfId="0" applyNumberFormat="1" applyFont="1" applyFill="1" applyBorder="1" applyAlignment="1" applyProtection="1">
      <alignment vertical="center"/>
      <protection/>
    </xf>
    <xf numFmtId="49" fontId="11" fillId="0" borderId="37" xfId="0" applyNumberFormat="1" applyFont="1" applyFill="1" applyBorder="1" applyAlignment="1" applyProtection="1">
      <alignment vertical="center"/>
      <protection/>
    </xf>
    <xf numFmtId="49" fontId="6" fillId="0" borderId="7" xfId="0" applyNumberFormat="1" applyFont="1" applyFill="1" applyBorder="1" applyAlignment="1" applyProtection="1">
      <alignment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49" fontId="12" fillId="0" borderId="34" xfId="0" applyNumberFormat="1" applyFont="1" applyFill="1" applyBorder="1" applyAlignment="1" applyProtection="1">
      <alignment vertical="center"/>
      <protection/>
    </xf>
    <xf numFmtId="49" fontId="11" fillId="0" borderId="31" xfId="0" applyNumberFormat="1" applyFont="1" applyFill="1" applyBorder="1" applyAlignment="1" applyProtection="1">
      <alignment vertical="center"/>
      <protection/>
    </xf>
    <xf numFmtId="0" fontId="10" fillId="0" borderId="38" xfId="0" applyNumberFormat="1" applyFont="1" applyFill="1" applyBorder="1" applyAlignment="1" applyProtection="1">
      <alignment vertical="center"/>
      <protection/>
    </xf>
    <xf numFmtId="0" fontId="10" fillId="3" borderId="30" xfId="0" applyNumberFormat="1" applyFont="1" applyFill="1" applyBorder="1" applyAlignment="1" applyProtection="1">
      <alignment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9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NumberFormat="1" applyFont="1" applyFill="1" applyBorder="1" applyAlignment="1" applyProtection="1">
      <alignment vertical="center"/>
      <protection/>
    </xf>
    <xf numFmtId="0" fontId="11" fillId="0" borderId="39" xfId="0" applyNumberFormat="1" applyFont="1" applyFill="1" applyBorder="1" applyAlignment="1" applyProtection="1">
      <alignment vertical="center"/>
      <protection/>
    </xf>
    <xf numFmtId="0" fontId="11" fillId="0" borderId="40" xfId="0" applyNumberFormat="1" applyFont="1" applyFill="1" applyBorder="1" applyAlignment="1" applyProtection="1">
      <alignment vertical="center"/>
      <protection/>
    </xf>
    <xf numFmtId="0" fontId="11" fillId="0" borderId="41" xfId="0" applyNumberFormat="1" applyFont="1" applyFill="1" applyBorder="1" applyAlignment="1" applyProtection="1">
      <alignment vertical="center"/>
      <protection/>
    </xf>
    <xf numFmtId="0" fontId="13" fillId="0" borderId="1" xfId="0" applyNumberFormat="1" applyFont="1" applyFill="1" applyBorder="1" applyAlignment="1" applyProtection="1">
      <alignment horizontal="center" vertical="center"/>
      <protection/>
    </xf>
    <xf numFmtId="49" fontId="11" fillId="0" borderId="34" xfId="0" applyNumberFormat="1" applyFont="1" applyFill="1" applyBorder="1" applyAlignment="1" applyProtection="1">
      <alignment vertical="center"/>
      <protection/>
    </xf>
    <xf numFmtId="0" fontId="11" fillId="0" borderId="38" xfId="0" applyNumberFormat="1" applyFont="1" applyFill="1" applyBorder="1" applyAlignment="1" applyProtection="1">
      <alignment vertical="center"/>
      <protection/>
    </xf>
    <xf numFmtId="4" fontId="11" fillId="0" borderId="31" xfId="0" applyNumberFormat="1" applyFont="1" applyFill="1" applyBorder="1" applyAlignment="1" applyProtection="1">
      <alignment horizontal="right" vertical="center"/>
      <protection/>
    </xf>
    <xf numFmtId="49" fontId="11" fillId="0" borderId="31" xfId="0" applyNumberFormat="1" applyFont="1" applyFill="1" applyBorder="1" applyAlignment="1" applyProtection="1">
      <alignment horizontal="right" vertical="center"/>
      <protection/>
    </xf>
    <xf numFmtId="4" fontId="1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42" xfId="0" applyNumberFormat="1" applyFont="1" applyFill="1" applyBorder="1" applyAlignment="1" applyProtection="1">
      <alignment vertical="center"/>
      <protection/>
    </xf>
    <xf numFmtId="49" fontId="1" fillId="0" borderId="20" xfId="0" applyNumberFormat="1" applyFont="1" applyFill="1" applyBorder="1" applyAlignment="1" applyProtection="1">
      <alignment vertical="center"/>
      <protection/>
    </xf>
    <xf numFmtId="49" fontId="1" fillId="0" borderId="21" xfId="0" applyNumberFormat="1" applyFont="1" applyFill="1" applyBorder="1" applyAlignment="1" applyProtection="1">
      <alignment vertical="center"/>
      <protection/>
    </xf>
    <xf numFmtId="0" fontId="1" fillId="0" borderId="4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0" fillId="3" borderId="38" xfId="0" applyNumberFormat="1" applyFont="1" applyFill="1" applyBorder="1" applyAlignment="1" applyProtection="1">
      <alignment horizontal="right" vertical="center"/>
      <protection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49" fontId="2" fillId="0" borderId="1" xfId="0" applyNumberFormat="1" applyFont="1" applyFill="1" applyBorder="1" applyAlignment="1" applyProtection="1">
      <alignment horizont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3"/>
  <sheetViews>
    <sheetView tabSelected="1" workbookViewId="0" topLeftCell="A1">
      <pane ySplit="11" topLeftCell="A12" activePane="bottomLeft" state="frozen"/>
      <selection pane="bottomLeft" activeCell="A1" sqref="A1:M1"/>
    </sheetView>
  </sheetViews>
  <sheetFormatPr defaultColWidth="11.57421875" defaultRowHeight="12.75"/>
  <cols>
    <col min="1" max="1" width="3.7109375" customWidth="1"/>
    <col min="2" max="2" width="6.8515625" customWidth="1"/>
    <col min="3" max="3" width="13.28125" customWidth="1"/>
    <col min="4" max="4" width="68.140625" customWidth="1"/>
    <col min="5" max="5" width="7.00390625" customWidth="1"/>
    <col min="6" max="6" width="12.8515625" customWidth="1"/>
    <col min="7" max="7" width="12.00390625" customWidth="1"/>
    <col min="8" max="10" width="14.28125" customWidth="1"/>
    <col min="11" max="13" width="11.7109375" customWidth="1"/>
    <col min="14" max="14" width="0" hidden="1" customWidth="1"/>
    <col min="15" max="48" width="12.140625" hidden="1" customWidth="1"/>
  </cols>
  <sheetData>
    <row r="1" spans="1:13" ht="72.75" customHeight="1">
      <c r="A1" s="107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2.75">
      <c r="A2" s="3" t="s">
        <v>1</v>
      </c>
      <c r="B2" s="13"/>
      <c r="C2" s="13"/>
      <c r="D2" s="23" t="s">
        <v>64</v>
      </c>
      <c r="E2" s="26" t="s">
        <v>96</v>
      </c>
      <c r="F2" s="13"/>
      <c r="G2" s="26" t="s">
        <v>6</v>
      </c>
      <c r="H2" s="13"/>
      <c r="I2" s="36" t="s">
        <v>115</v>
      </c>
      <c r="J2" s="36" t="s">
        <v>6</v>
      </c>
      <c r="K2" s="13"/>
      <c r="L2" s="13"/>
      <c r="M2" s="44"/>
      <c r="N2" s="4"/>
    </row>
    <row r="3" spans="1:14" ht="12.75">
      <c r="A3" s="4"/>
      <c r="B3" s="17"/>
      <c r="C3" s="17"/>
      <c r="D3" s="24"/>
      <c r="E3" s="17"/>
      <c r="F3" s="17"/>
      <c r="G3" s="17"/>
      <c r="H3" s="17"/>
      <c r="I3" s="17"/>
      <c r="J3" s="17"/>
      <c r="K3" s="17"/>
      <c r="L3" s="17"/>
      <c r="M3" s="45"/>
      <c r="N3" s="4"/>
    </row>
    <row r="4" spans="1:14" ht="12.75">
      <c r="A4" s="5" t="s">
        <v>2</v>
      </c>
      <c r="B4" s="17"/>
      <c r="C4" s="17"/>
      <c r="D4" s="15" t="s">
        <v>6</v>
      </c>
      <c r="E4" s="27" t="s">
        <v>97</v>
      </c>
      <c r="F4" s="17"/>
      <c r="G4" s="27" t="s">
        <v>108</v>
      </c>
      <c r="H4" s="17"/>
      <c r="I4" s="15" t="s">
        <v>116</v>
      </c>
      <c r="J4" s="15" t="s">
        <v>6</v>
      </c>
      <c r="K4" s="17"/>
      <c r="L4" s="17"/>
      <c r="M4" s="45"/>
      <c r="N4" s="4"/>
    </row>
    <row r="5" spans="1:14" ht="12.75">
      <c r="A5" s="4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45"/>
      <c r="N5" s="4"/>
    </row>
    <row r="6" spans="1:14" ht="12.75">
      <c r="A6" s="5" t="s">
        <v>3</v>
      </c>
      <c r="B6" s="17"/>
      <c r="C6" s="17"/>
      <c r="D6" s="15" t="s">
        <v>6</v>
      </c>
      <c r="E6" s="27" t="s">
        <v>98</v>
      </c>
      <c r="F6" s="17"/>
      <c r="G6" s="27" t="s">
        <v>6</v>
      </c>
      <c r="H6" s="17"/>
      <c r="I6" s="15" t="s">
        <v>117</v>
      </c>
      <c r="J6" s="15" t="s">
        <v>6</v>
      </c>
      <c r="K6" s="17"/>
      <c r="L6" s="17"/>
      <c r="M6" s="45"/>
      <c r="N6" s="4"/>
    </row>
    <row r="7" spans="1:14" ht="12.75">
      <c r="A7" s="4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45"/>
      <c r="N7" s="4"/>
    </row>
    <row r="8" spans="1:14" ht="12.75">
      <c r="A8" s="5" t="s">
        <v>4</v>
      </c>
      <c r="B8" s="17"/>
      <c r="C8" s="17"/>
      <c r="D8" s="15" t="s">
        <v>6</v>
      </c>
      <c r="E8" s="27" t="s">
        <v>99</v>
      </c>
      <c r="F8" s="17"/>
      <c r="G8" s="27" t="s">
        <v>109</v>
      </c>
      <c r="H8" s="17"/>
      <c r="I8" s="15" t="s">
        <v>118</v>
      </c>
      <c r="J8" s="15" t="s">
        <v>6</v>
      </c>
      <c r="K8" s="17"/>
      <c r="L8" s="17"/>
      <c r="M8" s="45"/>
      <c r="N8" s="4"/>
    </row>
    <row r="9" spans="1:14" ht="12.75">
      <c r="A9" s="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46"/>
      <c r="N9" s="4"/>
    </row>
    <row r="10" spans="1:14" ht="12.75">
      <c r="A10" s="7" t="s">
        <v>5</v>
      </c>
      <c r="B10" s="19" t="s">
        <v>34</v>
      </c>
      <c r="C10" s="19" t="s">
        <v>35</v>
      </c>
      <c r="D10" s="19" t="s">
        <v>65</v>
      </c>
      <c r="E10" s="19" t="s">
        <v>100</v>
      </c>
      <c r="F10" s="28" t="s">
        <v>107</v>
      </c>
      <c r="G10" s="31" t="s">
        <v>110</v>
      </c>
      <c r="H10" s="33" t="s">
        <v>112</v>
      </c>
      <c r="I10" s="37"/>
      <c r="J10" s="40"/>
      <c r="K10" s="33" t="s">
        <v>121</v>
      </c>
      <c r="L10" s="40"/>
      <c r="M10" s="47" t="s">
        <v>122</v>
      </c>
      <c r="N10" s="51"/>
    </row>
    <row r="11" spans="1:24" ht="12.75">
      <c r="A11" s="8" t="s">
        <v>6</v>
      </c>
      <c r="B11" s="20" t="s">
        <v>6</v>
      </c>
      <c r="C11" s="20" t="s">
        <v>6</v>
      </c>
      <c r="D11" s="25" t="s">
        <v>66</v>
      </c>
      <c r="E11" s="20" t="s">
        <v>6</v>
      </c>
      <c r="F11" s="20" t="s">
        <v>6</v>
      </c>
      <c r="G11" s="32" t="s">
        <v>111</v>
      </c>
      <c r="H11" s="34" t="s">
        <v>113</v>
      </c>
      <c r="I11" s="38" t="s">
        <v>119</v>
      </c>
      <c r="J11" s="41" t="s">
        <v>120</v>
      </c>
      <c r="K11" s="34" t="s">
        <v>110</v>
      </c>
      <c r="L11" s="41" t="s">
        <v>120</v>
      </c>
      <c r="M11" s="48" t="s">
        <v>123</v>
      </c>
      <c r="N11" s="51"/>
      <c r="P11" s="43" t="s">
        <v>126</v>
      </c>
      <c r="Q11" s="43" t="s">
        <v>127</v>
      </c>
      <c r="R11" s="43" t="s">
        <v>128</v>
      </c>
      <c r="S11" s="43" t="s">
        <v>129</v>
      </c>
      <c r="T11" s="43" t="s">
        <v>130</v>
      </c>
      <c r="U11" s="43" t="s">
        <v>131</v>
      </c>
      <c r="V11" s="43" t="s">
        <v>132</v>
      </c>
      <c r="W11" s="43" t="s">
        <v>133</v>
      </c>
      <c r="X11" s="43" t="s">
        <v>134</v>
      </c>
    </row>
    <row r="12" spans="1:37" ht="12.75">
      <c r="A12" s="9"/>
      <c r="B12" s="21"/>
      <c r="C12" s="21" t="s">
        <v>30</v>
      </c>
      <c r="D12" s="21" t="s">
        <v>67</v>
      </c>
      <c r="E12" s="9" t="s">
        <v>6</v>
      </c>
      <c r="F12" s="9" t="s">
        <v>6</v>
      </c>
      <c r="G12" s="9" t="s">
        <v>6</v>
      </c>
      <c r="H12" s="54">
        <f>SUM(H13:H13)</f>
        <v>0</v>
      </c>
      <c r="I12" s="54">
        <f>SUM(I13:I13)</f>
        <v>0</v>
      </c>
      <c r="J12" s="54">
        <f>H12+I12</f>
        <v>0</v>
      </c>
      <c r="K12" s="42"/>
      <c r="L12" s="54">
        <f>SUM(L13:L13)</f>
        <v>0.10139999999999999</v>
      </c>
      <c r="M12" s="42"/>
      <c r="Y12" s="43"/>
      <c r="AI12" s="55">
        <f>SUM(Z13:Z13)</f>
        <v>0</v>
      </c>
      <c r="AJ12" s="55">
        <f>SUM(AA13:AA13)</f>
        <v>0</v>
      </c>
      <c r="AK12" s="55">
        <f>SUM(AB13:AB13)</f>
        <v>0</v>
      </c>
    </row>
    <row r="13" spans="1:48" ht="12.75">
      <c r="A13" s="10" t="s">
        <v>7</v>
      </c>
      <c r="B13" s="10"/>
      <c r="C13" s="10" t="s">
        <v>36</v>
      </c>
      <c r="D13" s="10" t="s">
        <v>68</v>
      </c>
      <c r="E13" s="10" t="s">
        <v>101</v>
      </c>
      <c r="F13" s="29">
        <v>13</v>
      </c>
      <c r="G13" s="29">
        <v>0</v>
      </c>
      <c r="H13" s="29">
        <f>F13*AE13</f>
        <v>0</v>
      </c>
      <c r="I13" s="29">
        <f>J13-H13</f>
        <v>0</v>
      </c>
      <c r="J13" s="29">
        <f>F13*G13</f>
        <v>0</v>
      </c>
      <c r="K13" s="29">
        <v>0.0078</v>
      </c>
      <c r="L13" s="29">
        <f>F13*K13</f>
        <v>0.10139999999999999</v>
      </c>
      <c r="M13" s="49" t="s">
        <v>124</v>
      </c>
      <c r="P13" s="52">
        <f>IF(AG13="5",J13,0)</f>
        <v>0</v>
      </c>
      <c r="R13" s="52">
        <f>IF(AG13="1",H13,0)</f>
        <v>0</v>
      </c>
      <c r="S13" s="52">
        <f>IF(AG13="1",I13,0)</f>
        <v>0</v>
      </c>
      <c r="T13" s="52">
        <f>IF(AG13="7",H13,0)</f>
        <v>0</v>
      </c>
      <c r="U13" s="52">
        <f>IF(AG13="7",I13,0)</f>
        <v>0</v>
      </c>
      <c r="V13" s="52">
        <f>IF(AG13="2",H13,0)</f>
        <v>0</v>
      </c>
      <c r="W13" s="52">
        <f>IF(AG13="2",I13,0)</f>
        <v>0</v>
      </c>
      <c r="X13" s="52">
        <f>IF(AG13="0",J13,0)</f>
        <v>0</v>
      </c>
      <c r="Y13" s="43"/>
      <c r="Z13" s="29">
        <f>IF(AD13=0,J13,0)</f>
        <v>0</v>
      </c>
      <c r="AA13" s="29">
        <f>IF(AD13=15,J13,0)</f>
        <v>0</v>
      </c>
      <c r="AB13" s="29">
        <f>IF(AD13=21,J13,0)</f>
        <v>0</v>
      </c>
      <c r="AD13" s="52">
        <v>15</v>
      </c>
      <c r="AE13" s="52">
        <f>G13*0.346027060270603</f>
        <v>0</v>
      </c>
      <c r="AF13" s="52">
        <f>G13*(1-0.346027060270603)</f>
        <v>0</v>
      </c>
      <c r="AG13" s="49" t="s">
        <v>7</v>
      </c>
      <c r="AM13" s="52">
        <f>F13*AE13</f>
        <v>0</v>
      </c>
      <c r="AN13" s="52">
        <f>F13*AF13</f>
        <v>0</v>
      </c>
      <c r="AO13" s="53" t="s">
        <v>135</v>
      </c>
      <c r="AP13" s="53" t="s">
        <v>138</v>
      </c>
      <c r="AQ13" s="43" t="s">
        <v>140</v>
      </c>
      <c r="AS13" s="52">
        <f>AM13+AN13</f>
        <v>0</v>
      </c>
      <c r="AT13" s="52">
        <f>G13/(100-AU13)*100</f>
        <v>0</v>
      </c>
      <c r="AU13" s="52">
        <v>0</v>
      </c>
      <c r="AV13" s="52">
        <f>L13</f>
        <v>0.10139999999999999</v>
      </c>
    </row>
    <row r="14" spans="1:37" ht="12.75">
      <c r="A14" s="11"/>
      <c r="B14" s="22"/>
      <c r="C14" s="22" t="s">
        <v>37</v>
      </c>
      <c r="D14" s="22" t="s">
        <v>69</v>
      </c>
      <c r="E14" s="11" t="s">
        <v>6</v>
      </c>
      <c r="F14" s="11" t="s">
        <v>6</v>
      </c>
      <c r="G14" s="11" t="s">
        <v>6</v>
      </c>
      <c r="H14" s="55">
        <f>SUM(H15:H35)</f>
        <v>0</v>
      </c>
      <c r="I14" s="55">
        <f>SUM(I15:I35)</f>
        <v>0</v>
      </c>
      <c r="J14" s="55">
        <f>H14+I14</f>
        <v>0</v>
      </c>
      <c r="K14" s="43"/>
      <c r="L14" s="55">
        <f>SUM(L15:L35)</f>
        <v>0.35694</v>
      </c>
      <c r="M14" s="43"/>
      <c r="Y14" s="43"/>
      <c r="AI14" s="55">
        <f>SUM(Z15:Z35)</f>
        <v>0</v>
      </c>
      <c r="AJ14" s="55">
        <f>SUM(AA15:AA35)</f>
        <v>0</v>
      </c>
      <c r="AK14" s="55">
        <f>SUM(AB15:AB35)</f>
        <v>0</v>
      </c>
    </row>
    <row r="15" spans="1:48" ht="12.75">
      <c r="A15" s="10" t="s">
        <v>8</v>
      </c>
      <c r="B15" s="10"/>
      <c r="C15" s="10" t="s">
        <v>38</v>
      </c>
      <c r="D15" s="10" t="s">
        <v>70</v>
      </c>
      <c r="E15" s="10" t="s">
        <v>102</v>
      </c>
      <c r="F15" s="29">
        <v>80</v>
      </c>
      <c r="G15" s="29">
        <v>0</v>
      </c>
      <c r="H15" s="29">
        <f>F15*AE15</f>
        <v>0</v>
      </c>
      <c r="I15" s="29">
        <f>J15-H15</f>
        <v>0</v>
      </c>
      <c r="J15" s="29">
        <f>F15*G15</f>
        <v>0</v>
      </c>
      <c r="K15" s="29">
        <v>0.00058</v>
      </c>
      <c r="L15" s="29">
        <f>F15*K15</f>
        <v>0.0464</v>
      </c>
      <c r="M15" s="49" t="s">
        <v>124</v>
      </c>
      <c r="P15" s="52">
        <f>IF(AG15="5",J15,0)</f>
        <v>0</v>
      </c>
      <c r="R15" s="52">
        <f>IF(AG15="1",H15,0)</f>
        <v>0</v>
      </c>
      <c r="S15" s="52">
        <f>IF(AG15="1",I15,0)</f>
        <v>0</v>
      </c>
      <c r="T15" s="52">
        <f>IF(AG15="7",H15,0)</f>
        <v>0</v>
      </c>
      <c r="U15" s="52">
        <f>IF(AG15="7",I15,0)</f>
        <v>0</v>
      </c>
      <c r="V15" s="52">
        <f>IF(AG15="2",H15,0)</f>
        <v>0</v>
      </c>
      <c r="W15" s="52">
        <f>IF(AG15="2",I15,0)</f>
        <v>0</v>
      </c>
      <c r="X15" s="52">
        <f>IF(AG15="0",J15,0)</f>
        <v>0</v>
      </c>
      <c r="Y15" s="43"/>
      <c r="Z15" s="29">
        <f>IF(AD15=0,J15,0)</f>
        <v>0</v>
      </c>
      <c r="AA15" s="29">
        <f>IF(AD15=15,J15,0)</f>
        <v>0</v>
      </c>
      <c r="AB15" s="29">
        <f>IF(AD15=21,J15,0)</f>
        <v>0</v>
      </c>
      <c r="AD15" s="52">
        <v>15</v>
      </c>
      <c r="AE15" s="52">
        <f>G15*0.259087837837838</f>
        <v>0</v>
      </c>
      <c r="AF15" s="52">
        <f>G15*(1-0.259087837837838)</f>
        <v>0</v>
      </c>
      <c r="AG15" s="49" t="s">
        <v>13</v>
      </c>
      <c r="AM15" s="52">
        <f>F15*AE15</f>
        <v>0</v>
      </c>
      <c r="AN15" s="52">
        <f>F15*AF15</f>
        <v>0</v>
      </c>
      <c r="AO15" s="53" t="s">
        <v>136</v>
      </c>
      <c r="AP15" s="53" t="s">
        <v>139</v>
      </c>
      <c r="AQ15" s="43" t="s">
        <v>140</v>
      </c>
      <c r="AS15" s="52">
        <f>AM15+AN15</f>
        <v>0</v>
      </c>
      <c r="AT15" s="52">
        <f>G15/(100-AU15)*100</f>
        <v>0</v>
      </c>
      <c r="AU15" s="52">
        <v>0</v>
      </c>
      <c r="AV15" s="52">
        <f>L15</f>
        <v>0.0464</v>
      </c>
    </row>
    <row r="16" spans="1:48" ht="12.75">
      <c r="A16" s="10" t="s">
        <v>9</v>
      </c>
      <c r="B16" s="10"/>
      <c r="C16" s="10" t="s">
        <v>39</v>
      </c>
      <c r="D16" s="10" t="s">
        <v>71</v>
      </c>
      <c r="E16" s="10" t="s">
        <v>102</v>
      </c>
      <c r="F16" s="29">
        <v>80</v>
      </c>
      <c r="G16" s="29">
        <v>0</v>
      </c>
      <c r="H16" s="29">
        <f>F16*AE16</f>
        <v>0</v>
      </c>
      <c r="I16" s="29">
        <f>J16-H16</f>
        <v>0</v>
      </c>
      <c r="J16" s="29">
        <f>F16*G16</f>
        <v>0</v>
      </c>
      <c r="K16" s="29">
        <v>0.00111</v>
      </c>
      <c r="L16" s="29">
        <f>F16*K16</f>
        <v>0.0888</v>
      </c>
      <c r="M16" s="49" t="s">
        <v>124</v>
      </c>
      <c r="P16" s="52">
        <f>IF(AG16="5",J16,0)</f>
        <v>0</v>
      </c>
      <c r="R16" s="52">
        <f>IF(AG16="1",H16,0)</f>
        <v>0</v>
      </c>
      <c r="S16" s="52">
        <f>IF(AG16="1",I16,0)</f>
        <v>0</v>
      </c>
      <c r="T16" s="52">
        <f>IF(AG16="7",H16,0)</f>
        <v>0</v>
      </c>
      <c r="U16" s="52">
        <f>IF(AG16="7",I16,0)</f>
        <v>0</v>
      </c>
      <c r="V16" s="52">
        <f>IF(AG16="2",H16,0)</f>
        <v>0</v>
      </c>
      <c r="W16" s="52">
        <f>IF(AG16="2",I16,0)</f>
        <v>0</v>
      </c>
      <c r="X16" s="52">
        <f>IF(AG16="0",J16,0)</f>
        <v>0</v>
      </c>
      <c r="Y16" s="43"/>
      <c r="Z16" s="29">
        <f>IF(AD16=0,J16,0)</f>
        <v>0</v>
      </c>
      <c r="AA16" s="29">
        <f>IF(AD16=15,J16,0)</f>
        <v>0</v>
      </c>
      <c r="AB16" s="29">
        <f>IF(AD16=21,J16,0)</f>
        <v>0</v>
      </c>
      <c r="AD16" s="52">
        <v>15</v>
      </c>
      <c r="AE16" s="52">
        <f>G16*0.453596837944664</f>
        <v>0</v>
      </c>
      <c r="AF16" s="52">
        <f>G16*(1-0.453596837944664)</f>
        <v>0</v>
      </c>
      <c r="AG16" s="49" t="s">
        <v>13</v>
      </c>
      <c r="AM16" s="52">
        <f>F16*AE16</f>
        <v>0</v>
      </c>
      <c r="AN16" s="52">
        <f>F16*AF16</f>
        <v>0</v>
      </c>
      <c r="AO16" s="53" t="s">
        <v>136</v>
      </c>
      <c r="AP16" s="53" t="s">
        <v>139</v>
      </c>
      <c r="AQ16" s="43" t="s">
        <v>140</v>
      </c>
      <c r="AS16" s="52">
        <f>AM16+AN16</f>
        <v>0</v>
      </c>
      <c r="AT16" s="52">
        <f>G16/(100-AU16)*100</f>
        <v>0</v>
      </c>
      <c r="AU16" s="52">
        <v>0</v>
      </c>
      <c r="AV16" s="52">
        <f>L16</f>
        <v>0.0888</v>
      </c>
    </row>
    <row r="17" spans="1:48" ht="12.75">
      <c r="A17" s="10" t="s">
        <v>10</v>
      </c>
      <c r="B17" s="10"/>
      <c r="C17" s="10" t="s">
        <v>40</v>
      </c>
      <c r="D17" s="10" t="s">
        <v>72</v>
      </c>
      <c r="E17" s="10" t="s">
        <v>101</v>
      </c>
      <c r="F17" s="29">
        <v>9</v>
      </c>
      <c r="G17" s="29">
        <v>0</v>
      </c>
      <c r="H17" s="29">
        <f>F17*AE17</f>
        <v>0</v>
      </c>
      <c r="I17" s="29">
        <f>J17-H17</f>
        <v>0</v>
      </c>
      <c r="J17" s="29">
        <f>F17*G17</f>
        <v>0</v>
      </c>
      <c r="K17" s="29">
        <v>0.00037</v>
      </c>
      <c r="L17" s="29">
        <f>F17*K17</f>
        <v>0.00333</v>
      </c>
      <c r="M17" s="49" t="s">
        <v>124</v>
      </c>
      <c r="P17" s="52">
        <f>IF(AG17="5",J17,0)</f>
        <v>0</v>
      </c>
      <c r="R17" s="52">
        <f>IF(AG17="1",H17,0)</f>
        <v>0</v>
      </c>
      <c r="S17" s="52">
        <f>IF(AG17="1",I17,0)</f>
        <v>0</v>
      </c>
      <c r="T17" s="52">
        <f>IF(AG17="7",H17,0)</f>
        <v>0</v>
      </c>
      <c r="U17" s="52">
        <f>IF(AG17="7",I17,0)</f>
        <v>0</v>
      </c>
      <c r="V17" s="52">
        <f>IF(AG17="2",H17,0)</f>
        <v>0</v>
      </c>
      <c r="W17" s="52">
        <f>IF(AG17="2",I17,0)</f>
        <v>0</v>
      </c>
      <c r="X17" s="52">
        <f>IF(AG17="0",J17,0)</f>
        <v>0</v>
      </c>
      <c r="Y17" s="43"/>
      <c r="Z17" s="29">
        <f>IF(AD17=0,J17,0)</f>
        <v>0</v>
      </c>
      <c r="AA17" s="29">
        <f>IF(AD17=15,J17,0)</f>
        <v>0</v>
      </c>
      <c r="AB17" s="29">
        <f>IF(AD17=21,J17,0)</f>
        <v>0</v>
      </c>
      <c r="AD17" s="52">
        <v>15</v>
      </c>
      <c r="AE17" s="52">
        <f>G17*0.804749878829622</f>
        <v>0</v>
      </c>
      <c r="AF17" s="52">
        <f>G17*(1-0.804749878829622)</f>
        <v>0</v>
      </c>
      <c r="AG17" s="49" t="s">
        <v>13</v>
      </c>
      <c r="AM17" s="52">
        <f>F17*AE17</f>
        <v>0</v>
      </c>
      <c r="AN17" s="52">
        <f>F17*AF17</f>
        <v>0</v>
      </c>
      <c r="AO17" s="53" t="s">
        <v>136</v>
      </c>
      <c r="AP17" s="53" t="s">
        <v>139</v>
      </c>
      <c r="AQ17" s="43" t="s">
        <v>140</v>
      </c>
      <c r="AS17" s="52">
        <f>AM17+AN17</f>
        <v>0</v>
      </c>
      <c r="AT17" s="52">
        <f>G17/(100-AU17)*100</f>
        <v>0</v>
      </c>
      <c r="AU17" s="52">
        <v>0</v>
      </c>
      <c r="AV17" s="52">
        <f>L17</f>
        <v>0.00333</v>
      </c>
    </row>
    <row r="18" spans="1:48" ht="12.75">
      <c r="A18" s="10" t="s">
        <v>11</v>
      </c>
      <c r="B18" s="10"/>
      <c r="C18" s="10" t="s">
        <v>41</v>
      </c>
      <c r="D18" s="10" t="s">
        <v>73</v>
      </c>
      <c r="E18" s="10" t="s">
        <v>101</v>
      </c>
      <c r="F18" s="29">
        <v>11</v>
      </c>
      <c r="G18" s="29">
        <v>0</v>
      </c>
      <c r="H18" s="29">
        <f>F18*AE18</f>
        <v>0</v>
      </c>
      <c r="I18" s="29">
        <f>J18-H18</f>
        <v>0</v>
      </c>
      <c r="J18" s="29">
        <f>F18*G18</f>
        <v>0</v>
      </c>
      <c r="K18" s="29">
        <v>0.00066</v>
      </c>
      <c r="L18" s="29">
        <f>F18*K18</f>
        <v>0.00726</v>
      </c>
      <c r="M18" s="49" t="s">
        <v>124</v>
      </c>
      <c r="P18" s="52">
        <f>IF(AG18="5",J18,0)</f>
        <v>0</v>
      </c>
      <c r="R18" s="52">
        <f>IF(AG18="1",H18,0)</f>
        <v>0</v>
      </c>
      <c r="S18" s="52">
        <f>IF(AG18="1",I18,0)</f>
        <v>0</v>
      </c>
      <c r="T18" s="52">
        <f>IF(AG18="7",H18,0)</f>
        <v>0</v>
      </c>
      <c r="U18" s="52">
        <f>IF(AG18="7",I18,0)</f>
        <v>0</v>
      </c>
      <c r="V18" s="52">
        <f>IF(AG18="2",H18,0)</f>
        <v>0</v>
      </c>
      <c r="W18" s="52">
        <f>IF(AG18="2",I18,0)</f>
        <v>0</v>
      </c>
      <c r="X18" s="52">
        <f>IF(AG18="0",J18,0)</f>
        <v>0</v>
      </c>
      <c r="Y18" s="43"/>
      <c r="Z18" s="29">
        <f>IF(AD18=0,J18,0)</f>
        <v>0</v>
      </c>
      <c r="AA18" s="29">
        <f>IF(AD18=15,J18,0)</f>
        <v>0</v>
      </c>
      <c r="AB18" s="29">
        <f>IF(AD18=21,J18,0)</f>
        <v>0</v>
      </c>
      <c r="AD18" s="52">
        <v>15</v>
      </c>
      <c r="AE18" s="52">
        <f>G18*0.868448275862069</f>
        <v>0</v>
      </c>
      <c r="AF18" s="52">
        <f>G18*(1-0.868448275862069)</f>
        <v>0</v>
      </c>
      <c r="AG18" s="49" t="s">
        <v>13</v>
      </c>
      <c r="AM18" s="52">
        <f>F18*AE18</f>
        <v>0</v>
      </c>
      <c r="AN18" s="52">
        <f>F18*AF18</f>
        <v>0</v>
      </c>
      <c r="AO18" s="53" t="s">
        <v>136</v>
      </c>
      <c r="AP18" s="53" t="s">
        <v>139</v>
      </c>
      <c r="AQ18" s="43" t="s">
        <v>140</v>
      </c>
      <c r="AS18" s="52">
        <f>AM18+AN18</f>
        <v>0</v>
      </c>
      <c r="AT18" s="52">
        <f>G18/(100-AU18)*100</f>
        <v>0</v>
      </c>
      <c r="AU18" s="52">
        <v>0</v>
      </c>
      <c r="AV18" s="52">
        <f>L18</f>
        <v>0.00726</v>
      </c>
    </row>
    <row r="19" spans="1:48" ht="12.75">
      <c r="A19" s="10" t="s">
        <v>12</v>
      </c>
      <c r="B19" s="10"/>
      <c r="C19" s="10" t="s">
        <v>42</v>
      </c>
      <c r="D19" s="10" t="s">
        <v>74</v>
      </c>
      <c r="E19" s="10" t="s">
        <v>101</v>
      </c>
      <c r="F19" s="29">
        <v>2</v>
      </c>
      <c r="G19" s="29">
        <v>0</v>
      </c>
      <c r="H19" s="29">
        <f>F19*AE19</f>
        <v>0</v>
      </c>
      <c r="I19" s="29">
        <f>J19-H19</f>
        <v>0</v>
      </c>
      <c r="J19" s="29">
        <f>F19*G19</f>
        <v>0</v>
      </c>
      <c r="K19" s="29">
        <v>0.00136</v>
      </c>
      <c r="L19" s="29">
        <f>F19*K19</f>
        <v>0.00272</v>
      </c>
      <c r="M19" s="49" t="s">
        <v>124</v>
      </c>
      <c r="P19" s="52">
        <f>IF(AG19="5",J19,0)</f>
        <v>0</v>
      </c>
      <c r="R19" s="52">
        <f>IF(AG19="1",H19,0)</f>
        <v>0</v>
      </c>
      <c r="S19" s="52">
        <f>IF(AG19="1",I19,0)</f>
        <v>0</v>
      </c>
      <c r="T19" s="52">
        <f>IF(AG19="7",H19,0)</f>
        <v>0</v>
      </c>
      <c r="U19" s="52">
        <f>IF(AG19="7",I19,0)</f>
        <v>0</v>
      </c>
      <c r="V19" s="52">
        <f>IF(AG19="2",H19,0)</f>
        <v>0</v>
      </c>
      <c r="W19" s="52">
        <f>IF(AG19="2",I19,0)</f>
        <v>0</v>
      </c>
      <c r="X19" s="52">
        <f>IF(AG19="0",J19,0)</f>
        <v>0</v>
      </c>
      <c r="Y19" s="43"/>
      <c r="Z19" s="29">
        <f>IF(AD19=0,J19,0)</f>
        <v>0</v>
      </c>
      <c r="AA19" s="29">
        <f>IF(AD19=15,J19,0)</f>
        <v>0</v>
      </c>
      <c r="AB19" s="29">
        <f>IF(AD19=21,J19,0)</f>
        <v>0</v>
      </c>
      <c r="AD19" s="52">
        <v>15</v>
      </c>
      <c r="AE19" s="52">
        <f>G19*0.902997010463378</f>
        <v>0</v>
      </c>
      <c r="AF19" s="52">
        <f>G19*(1-0.902997010463378)</f>
        <v>0</v>
      </c>
      <c r="AG19" s="49" t="s">
        <v>13</v>
      </c>
      <c r="AM19" s="52">
        <f>F19*AE19</f>
        <v>0</v>
      </c>
      <c r="AN19" s="52">
        <f>F19*AF19</f>
        <v>0</v>
      </c>
      <c r="AO19" s="53" t="s">
        <v>136</v>
      </c>
      <c r="AP19" s="53" t="s">
        <v>139</v>
      </c>
      <c r="AQ19" s="43" t="s">
        <v>140</v>
      </c>
      <c r="AS19" s="52">
        <f>AM19+AN19</f>
        <v>0</v>
      </c>
      <c r="AT19" s="52">
        <f>G19/(100-AU19)*100</f>
        <v>0</v>
      </c>
      <c r="AU19" s="52">
        <v>0</v>
      </c>
      <c r="AV19" s="52">
        <f>L19</f>
        <v>0.00272</v>
      </c>
    </row>
    <row r="20" spans="1:48" ht="12.75">
      <c r="A20" s="10" t="s">
        <v>13</v>
      </c>
      <c r="B20" s="10"/>
      <c r="C20" s="10" t="s">
        <v>43</v>
      </c>
      <c r="D20" s="10" t="s">
        <v>75</v>
      </c>
      <c r="E20" s="10" t="s">
        <v>101</v>
      </c>
      <c r="F20" s="29">
        <v>2</v>
      </c>
      <c r="G20" s="29">
        <v>0</v>
      </c>
      <c r="H20" s="29">
        <f>F20*AE20</f>
        <v>0</v>
      </c>
      <c r="I20" s="29">
        <f>J20-H20</f>
        <v>0</v>
      </c>
      <c r="J20" s="29">
        <f>F20*G20</f>
        <v>0</v>
      </c>
      <c r="K20" s="29">
        <v>0.00216</v>
      </c>
      <c r="L20" s="29">
        <f>F20*K20</f>
        <v>0.00432</v>
      </c>
      <c r="M20" s="49" t="s">
        <v>124</v>
      </c>
      <c r="P20" s="52">
        <f>IF(AG20="5",J20,0)</f>
        <v>0</v>
      </c>
      <c r="R20" s="52">
        <f>IF(AG20="1",H20,0)</f>
        <v>0</v>
      </c>
      <c r="S20" s="52">
        <f>IF(AG20="1",I20,0)</f>
        <v>0</v>
      </c>
      <c r="T20" s="52">
        <f>IF(AG20="7",H20,0)</f>
        <v>0</v>
      </c>
      <c r="U20" s="52">
        <f>IF(AG20="7",I20,0)</f>
        <v>0</v>
      </c>
      <c r="V20" s="52">
        <f>IF(AG20="2",H20,0)</f>
        <v>0</v>
      </c>
      <c r="W20" s="52">
        <f>IF(AG20="2",I20,0)</f>
        <v>0</v>
      </c>
      <c r="X20" s="52">
        <f>IF(AG20="0",J20,0)</f>
        <v>0</v>
      </c>
      <c r="Y20" s="43"/>
      <c r="Z20" s="29">
        <f>IF(AD20=0,J20,0)</f>
        <v>0</v>
      </c>
      <c r="AA20" s="29">
        <f>IF(AD20=15,J20,0)</f>
        <v>0</v>
      </c>
      <c r="AB20" s="29">
        <f>IF(AD20=21,J20,0)</f>
        <v>0</v>
      </c>
      <c r="AD20" s="52">
        <v>15</v>
      </c>
      <c r="AE20" s="52">
        <f>G20*0.924630170047259</f>
        <v>0</v>
      </c>
      <c r="AF20" s="52">
        <f>G20*(1-0.924630170047259)</f>
        <v>0</v>
      </c>
      <c r="AG20" s="49" t="s">
        <v>13</v>
      </c>
      <c r="AM20" s="52">
        <f>F20*AE20</f>
        <v>0</v>
      </c>
      <c r="AN20" s="52">
        <f>F20*AF20</f>
        <v>0</v>
      </c>
      <c r="AO20" s="53" t="s">
        <v>136</v>
      </c>
      <c r="AP20" s="53" t="s">
        <v>139</v>
      </c>
      <c r="AQ20" s="43" t="s">
        <v>140</v>
      </c>
      <c r="AS20" s="52">
        <f>AM20+AN20</f>
        <v>0</v>
      </c>
      <c r="AT20" s="52">
        <f>G20/(100-AU20)*100</f>
        <v>0</v>
      </c>
      <c r="AU20" s="52">
        <v>0</v>
      </c>
      <c r="AV20" s="52">
        <f>L20</f>
        <v>0.00432</v>
      </c>
    </row>
    <row r="21" spans="1:48" ht="12.75">
      <c r="A21" s="10" t="s">
        <v>14</v>
      </c>
      <c r="B21" s="10"/>
      <c r="C21" s="10" t="s">
        <v>44</v>
      </c>
      <c r="D21" s="10" t="s">
        <v>76</v>
      </c>
      <c r="E21" s="10" t="s">
        <v>101</v>
      </c>
      <c r="F21" s="29">
        <v>36</v>
      </c>
      <c r="G21" s="29">
        <v>0</v>
      </c>
      <c r="H21" s="29">
        <f>F21*AE21</f>
        <v>0</v>
      </c>
      <c r="I21" s="29">
        <f>J21-H21</f>
        <v>0</v>
      </c>
      <c r="J21" s="29">
        <f>F21*G21</f>
        <v>0</v>
      </c>
      <c r="K21" s="29">
        <v>0.00023</v>
      </c>
      <c r="L21" s="29">
        <f>F21*K21</f>
        <v>0.008280000000000001</v>
      </c>
      <c r="M21" s="49" t="s">
        <v>124</v>
      </c>
      <c r="P21" s="52">
        <f>IF(AG21="5",J21,0)</f>
        <v>0</v>
      </c>
      <c r="R21" s="52">
        <f>IF(AG21="1",H21,0)</f>
        <v>0</v>
      </c>
      <c r="S21" s="52">
        <f>IF(AG21="1",I21,0)</f>
        <v>0</v>
      </c>
      <c r="T21" s="52">
        <f>IF(AG21="7",H21,0)</f>
        <v>0</v>
      </c>
      <c r="U21" s="52">
        <f>IF(AG21="7",I21,0)</f>
        <v>0</v>
      </c>
      <c r="V21" s="52">
        <f>IF(AG21="2",H21,0)</f>
        <v>0</v>
      </c>
      <c r="W21" s="52">
        <f>IF(AG21="2",I21,0)</f>
        <v>0</v>
      </c>
      <c r="X21" s="52">
        <f>IF(AG21="0",J21,0)</f>
        <v>0</v>
      </c>
      <c r="Y21" s="43"/>
      <c r="Z21" s="29">
        <f>IF(AD21=0,J21,0)</f>
        <v>0</v>
      </c>
      <c r="AA21" s="29">
        <f>IF(AD21=15,J21,0)</f>
        <v>0</v>
      </c>
      <c r="AB21" s="29">
        <f>IF(AD21=21,J21,0)</f>
        <v>0</v>
      </c>
      <c r="AD21" s="52">
        <v>15</v>
      </c>
      <c r="AE21" s="52">
        <f>G21*0.103813674255438</f>
        <v>0</v>
      </c>
      <c r="AF21" s="52">
        <f>G21*(1-0.103813674255438)</f>
        <v>0</v>
      </c>
      <c r="AG21" s="49" t="s">
        <v>13</v>
      </c>
      <c r="AM21" s="52">
        <f>F21*AE21</f>
        <v>0</v>
      </c>
      <c r="AN21" s="52">
        <f>F21*AF21</f>
        <v>0</v>
      </c>
      <c r="AO21" s="53" t="s">
        <v>136</v>
      </c>
      <c r="AP21" s="53" t="s">
        <v>139</v>
      </c>
      <c r="AQ21" s="43" t="s">
        <v>140</v>
      </c>
      <c r="AS21" s="52">
        <f>AM21+AN21</f>
        <v>0</v>
      </c>
      <c r="AT21" s="52">
        <f>G21/(100-AU21)*100</f>
        <v>0</v>
      </c>
      <c r="AU21" s="52">
        <v>0</v>
      </c>
      <c r="AV21" s="52">
        <f>L21</f>
        <v>0.008280000000000001</v>
      </c>
    </row>
    <row r="22" spans="1:48" ht="12.75">
      <c r="A22" s="10" t="s">
        <v>15</v>
      </c>
      <c r="B22" s="10"/>
      <c r="C22" s="10" t="s">
        <v>45</v>
      </c>
      <c r="D22" s="10" t="s">
        <v>77</v>
      </c>
      <c r="E22" s="10" t="s">
        <v>102</v>
      </c>
      <c r="F22" s="29">
        <v>310</v>
      </c>
      <c r="G22" s="29">
        <v>0</v>
      </c>
      <c r="H22" s="29">
        <f>F22*AE22</f>
        <v>0</v>
      </c>
      <c r="I22" s="29">
        <f>J22-H22</f>
        <v>0</v>
      </c>
      <c r="J22" s="29">
        <f>F22*G22</f>
        <v>0</v>
      </c>
      <c r="K22" s="29">
        <v>0.00018</v>
      </c>
      <c r="L22" s="29">
        <f>F22*K22</f>
        <v>0.0558</v>
      </c>
      <c r="M22" s="49" t="s">
        <v>124</v>
      </c>
      <c r="P22" s="52">
        <f>IF(AG22="5",J22,0)</f>
        <v>0</v>
      </c>
      <c r="R22" s="52">
        <f>IF(AG22="1",H22,0)</f>
        <v>0</v>
      </c>
      <c r="S22" s="52">
        <f>IF(AG22="1",I22,0)</f>
        <v>0</v>
      </c>
      <c r="T22" s="52">
        <f>IF(AG22="7",H22,0)</f>
        <v>0</v>
      </c>
      <c r="U22" s="52">
        <f>IF(AG22="7",I22,0)</f>
        <v>0</v>
      </c>
      <c r="V22" s="52">
        <f>IF(AG22="2",H22,0)</f>
        <v>0</v>
      </c>
      <c r="W22" s="52">
        <f>IF(AG22="2",I22,0)</f>
        <v>0</v>
      </c>
      <c r="X22" s="52">
        <f>IF(AG22="0",J22,0)</f>
        <v>0</v>
      </c>
      <c r="Y22" s="43"/>
      <c r="Z22" s="29">
        <f>IF(AD22=0,J22,0)</f>
        <v>0</v>
      </c>
      <c r="AA22" s="29">
        <f>IF(AD22=15,J22,0)</f>
        <v>0</v>
      </c>
      <c r="AB22" s="29">
        <f>IF(AD22=21,J22,0)</f>
        <v>0</v>
      </c>
      <c r="AD22" s="52">
        <v>15</v>
      </c>
      <c r="AE22" s="52">
        <f>G22*0.201525374009974</f>
        <v>0</v>
      </c>
      <c r="AF22" s="52">
        <f>G22*(1-0.201525374009974)</f>
        <v>0</v>
      </c>
      <c r="AG22" s="49" t="s">
        <v>13</v>
      </c>
      <c r="AM22" s="52">
        <f>F22*AE22</f>
        <v>0</v>
      </c>
      <c r="AN22" s="52">
        <f>F22*AF22</f>
        <v>0</v>
      </c>
      <c r="AO22" s="53" t="s">
        <v>136</v>
      </c>
      <c r="AP22" s="53" t="s">
        <v>139</v>
      </c>
      <c r="AQ22" s="43" t="s">
        <v>140</v>
      </c>
      <c r="AS22" s="52">
        <f>AM22+AN22</f>
        <v>0</v>
      </c>
      <c r="AT22" s="52">
        <f>G22/(100-AU22)*100</f>
        <v>0</v>
      </c>
      <c r="AU22" s="52">
        <v>0</v>
      </c>
      <c r="AV22" s="52">
        <f>L22</f>
        <v>0.0558</v>
      </c>
    </row>
    <row r="23" spans="1:48" ht="12.75">
      <c r="A23" s="10" t="s">
        <v>16</v>
      </c>
      <c r="B23" s="10"/>
      <c r="C23" s="10" t="s">
        <v>46</v>
      </c>
      <c r="D23" s="10" t="s">
        <v>78</v>
      </c>
      <c r="E23" s="10" t="s">
        <v>102</v>
      </c>
      <c r="F23" s="29">
        <v>160</v>
      </c>
      <c r="G23" s="29">
        <v>0</v>
      </c>
      <c r="H23" s="29">
        <f>F23*AE23</f>
        <v>0</v>
      </c>
      <c r="I23" s="29">
        <f>J23-H23</f>
        <v>0</v>
      </c>
      <c r="J23" s="29">
        <f>F23*G23</f>
        <v>0</v>
      </c>
      <c r="K23" s="29">
        <v>5E-05</v>
      </c>
      <c r="L23" s="29">
        <f>F23*K23</f>
        <v>0.008</v>
      </c>
      <c r="M23" s="49" t="s">
        <v>124</v>
      </c>
      <c r="P23" s="52">
        <f>IF(AG23="5",J23,0)</f>
        <v>0</v>
      </c>
      <c r="R23" s="52">
        <f>IF(AG23="1",H23,0)</f>
        <v>0</v>
      </c>
      <c r="S23" s="52">
        <f>IF(AG23="1",I23,0)</f>
        <v>0</v>
      </c>
      <c r="T23" s="52">
        <f>IF(AG23="7",H23,0)</f>
        <v>0</v>
      </c>
      <c r="U23" s="52">
        <f>IF(AG23="7",I23,0)</f>
        <v>0</v>
      </c>
      <c r="V23" s="52">
        <f>IF(AG23="2",H23,0)</f>
        <v>0</v>
      </c>
      <c r="W23" s="52">
        <f>IF(AG23="2",I23,0)</f>
        <v>0</v>
      </c>
      <c r="X23" s="52">
        <f>IF(AG23="0",J23,0)</f>
        <v>0</v>
      </c>
      <c r="Y23" s="43"/>
      <c r="Z23" s="29">
        <f>IF(AD23=0,J23,0)</f>
        <v>0</v>
      </c>
      <c r="AA23" s="29">
        <f>IF(AD23=15,J23,0)</f>
        <v>0</v>
      </c>
      <c r="AB23" s="29">
        <f>IF(AD23=21,J23,0)</f>
        <v>0</v>
      </c>
      <c r="AD23" s="52">
        <v>15</v>
      </c>
      <c r="AE23" s="52">
        <f>G23*0.437227074235808</f>
        <v>0</v>
      </c>
      <c r="AF23" s="52">
        <f>G23*(1-0.437227074235808)</f>
        <v>0</v>
      </c>
      <c r="AG23" s="49" t="s">
        <v>13</v>
      </c>
      <c r="AM23" s="52">
        <f>F23*AE23</f>
        <v>0</v>
      </c>
      <c r="AN23" s="52">
        <f>F23*AF23</f>
        <v>0</v>
      </c>
      <c r="AO23" s="53" t="s">
        <v>136</v>
      </c>
      <c r="AP23" s="53" t="s">
        <v>139</v>
      </c>
      <c r="AQ23" s="43" t="s">
        <v>140</v>
      </c>
      <c r="AS23" s="52">
        <f>AM23+AN23</f>
        <v>0</v>
      </c>
      <c r="AT23" s="52">
        <f>G23/(100-AU23)*100</f>
        <v>0</v>
      </c>
      <c r="AU23" s="52">
        <v>0</v>
      </c>
      <c r="AV23" s="52">
        <f>L23</f>
        <v>0.008</v>
      </c>
    </row>
    <row r="24" spans="1:48" ht="12.75">
      <c r="A24" s="10" t="s">
        <v>17</v>
      </c>
      <c r="B24" s="10"/>
      <c r="C24" s="10" t="s">
        <v>47</v>
      </c>
      <c r="D24" s="10" t="s">
        <v>79</v>
      </c>
      <c r="E24" s="10" t="s">
        <v>102</v>
      </c>
      <c r="F24" s="29">
        <v>150</v>
      </c>
      <c r="G24" s="29">
        <v>0</v>
      </c>
      <c r="H24" s="29">
        <f>F24*AE24</f>
        <v>0</v>
      </c>
      <c r="I24" s="29">
        <f>J24-H24</f>
        <v>0</v>
      </c>
      <c r="J24" s="29">
        <f>F24*G24</f>
        <v>0</v>
      </c>
      <c r="K24" s="29">
        <v>0.00014</v>
      </c>
      <c r="L24" s="29">
        <f>F24*K24</f>
        <v>0.020999999999999998</v>
      </c>
      <c r="M24" s="49" t="s">
        <v>124</v>
      </c>
      <c r="P24" s="52">
        <f>IF(AG24="5",J24,0)</f>
        <v>0</v>
      </c>
      <c r="R24" s="52">
        <f>IF(AG24="1",H24,0)</f>
        <v>0</v>
      </c>
      <c r="S24" s="52">
        <f>IF(AG24="1",I24,0)</f>
        <v>0</v>
      </c>
      <c r="T24" s="52">
        <f>IF(AG24="7",H24,0)</f>
        <v>0</v>
      </c>
      <c r="U24" s="52">
        <f>IF(AG24="7",I24,0)</f>
        <v>0</v>
      </c>
      <c r="V24" s="52">
        <f>IF(AG24="2",H24,0)</f>
        <v>0</v>
      </c>
      <c r="W24" s="52">
        <f>IF(AG24="2",I24,0)</f>
        <v>0</v>
      </c>
      <c r="X24" s="52">
        <f>IF(AG24="0",J24,0)</f>
        <v>0</v>
      </c>
      <c r="Y24" s="43"/>
      <c r="Z24" s="29">
        <f>IF(AD24=0,J24,0)</f>
        <v>0</v>
      </c>
      <c r="AA24" s="29">
        <f>IF(AD24=15,J24,0)</f>
        <v>0</v>
      </c>
      <c r="AB24" s="29">
        <f>IF(AD24=21,J24,0)</f>
        <v>0</v>
      </c>
      <c r="AD24" s="52">
        <v>15</v>
      </c>
      <c r="AE24" s="52">
        <f>G24*0.696764705882353</f>
        <v>0</v>
      </c>
      <c r="AF24" s="52">
        <f>G24*(1-0.696764705882353)</f>
        <v>0</v>
      </c>
      <c r="AG24" s="49" t="s">
        <v>13</v>
      </c>
      <c r="AM24" s="52">
        <f>F24*AE24</f>
        <v>0</v>
      </c>
      <c r="AN24" s="52">
        <f>F24*AF24</f>
        <v>0</v>
      </c>
      <c r="AO24" s="53" t="s">
        <v>136</v>
      </c>
      <c r="AP24" s="53" t="s">
        <v>139</v>
      </c>
      <c r="AQ24" s="43" t="s">
        <v>140</v>
      </c>
      <c r="AS24" s="52">
        <f>AM24+AN24</f>
        <v>0</v>
      </c>
      <c r="AT24" s="52">
        <f>G24/(100-AU24)*100</f>
        <v>0</v>
      </c>
      <c r="AU24" s="52">
        <v>0</v>
      </c>
      <c r="AV24" s="52">
        <f>L24</f>
        <v>0.020999999999999998</v>
      </c>
    </row>
    <row r="25" spans="1:48" ht="12.75">
      <c r="A25" s="10" t="s">
        <v>18</v>
      </c>
      <c r="B25" s="10"/>
      <c r="C25" s="10" t="s">
        <v>48</v>
      </c>
      <c r="D25" s="10" t="s">
        <v>80</v>
      </c>
      <c r="E25" s="10" t="s">
        <v>103</v>
      </c>
      <c r="F25" s="29">
        <v>400</v>
      </c>
      <c r="G25" s="29">
        <v>0</v>
      </c>
      <c r="H25" s="29">
        <f>F25*AE25</f>
        <v>0</v>
      </c>
      <c r="I25" s="29">
        <f>J25-H25</f>
        <v>0</v>
      </c>
      <c r="J25" s="29">
        <f>F25*G25</f>
        <v>0</v>
      </c>
      <c r="K25" s="29">
        <v>0</v>
      </c>
      <c r="L25" s="29">
        <f>F25*K25</f>
        <v>0</v>
      </c>
      <c r="M25" s="49"/>
      <c r="P25" s="52">
        <f>IF(AG25="5",J25,0)</f>
        <v>0</v>
      </c>
      <c r="R25" s="52">
        <f>IF(AG25="1",H25,0)</f>
        <v>0</v>
      </c>
      <c r="S25" s="52">
        <f>IF(AG25="1",I25,0)</f>
        <v>0</v>
      </c>
      <c r="T25" s="52">
        <f>IF(AG25="7",H25,0)</f>
        <v>0</v>
      </c>
      <c r="U25" s="52">
        <f>IF(AG25="7",I25,0)</f>
        <v>0</v>
      </c>
      <c r="V25" s="52">
        <f>IF(AG25="2",H25,0)</f>
        <v>0</v>
      </c>
      <c r="W25" s="52">
        <f>IF(AG25="2",I25,0)</f>
        <v>0</v>
      </c>
      <c r="X25" s="52">
        <f>IF(AG25="0",J25,0)</f>
        <v>0</v>
      </c>
      <c r="Y25" s="43"/>
      <c r="Z25" s="29">
        <f>IF(AD25=0,J25,0)</f>
        <v>0</v>
      </c>
      <c r="AA25" s="29">
        <f>IF(AD25=15,J25,0)</f>
        <v>0</v>
      </c>
      <c r="AB25" s="29">
        <f>IF(AD25=21,J25,0)</f>
        <v>0</v>
      </c>
      <c r="AD25" s="52">
        <v>15</v>
      </c>
      <c r="AE25" s="52">
        <f>G25*1</f>
        <v>0</v>
      </c>
      <c r="AF25" s="52">
        <f>G25*(1-1)</f>
        <v>0</v>
      </c>
      <c r="AG25" s="49" t="s">
        <v>13</v>
      </c>
      <c r="AM25" s="52">
        <f>F25*AE25</f>
        <v>0</v>
      </c>
      <c r="AN25" s="52">
        <f>F25*AF25</f>
        <v>0</v>
      </c>
      <c r="AO25" s="53" t="s">
        <v>136</v>
      </c>
      <c r="AP25" s="53" t="s">
        <v>139</v>
      </c>
      <c r="AQ25" s="43" t="s">
        <v>140</v>
      </c>
      <c r="AS25" s="52">
        <f>AM25+AN25</f>
        <v>0</v>
      </c>
      <c r="AT25" s="52">
        <f>G25/(100-AU25)*100</f>
        <v>0</v>
      </c>
      <c r="AU25" s="52">
        <v>0</v>
      </c>
      <c r="AV25" s="52">
        <f>L25</f>
        <v>0</v>
      </c>
    </row>
    <row r="26" spans="1:48" ht="12.75">
      <c r="A26" s="10" t="s">
        <v>19</v>
      </c>
      <c r="B26" s="10"/>
      <c r="C26" s="10" t="s">
        <v>49</v>
      </c>
      <c r="D26" s="10" t="s">
        <v>81</v>
      </c>
      <c r="E26" s="10" t="s">
        <v>103</v>
      </c>
      <c r="F26" s="29">
        <v>350</v>
      </c>
      <c r="G26" s="29">
        <v>0</v>
      </c>
      <c r="H26" s="29">
        <f>F26*AE26</f>
        <v>0</v>
      </c>
      <c r="I26" s="29">
        <f>J26-H26</f>
        <v>0</v>
      </c>
      <c r="J26" s="29">
        <f>F26*G26</f>
        <v>0</v>
      </c>
      <c r="K26" s="29">
        <v>0</v>
      </c>
      <c r="L26" s="29">
        <f>F26*K26</f>
        <v>0</v>
      </c>
      <c r="M26" s="49"/>
      <c r="P26" s="52">
        <f>IF(AG26="5",J26,0)</f>
        <v>0</v>
      </c>
      <c r="R26" s="52">
        <f>IF(AG26="1",H26,0)</f>
        <v>0</v>
      </c>
      <c r="S26" s="52">
        <f>IF(AG26="1",I26,0)</f>
        <v>0</v>
      </c>
      <c r="T26" s="52">
        <f>IF(AG26="7",H26,0)</f>
        <v>0</v>
      </c>
      <c r="U26" s="52">
        <f>IF(AG26="7",I26,0)</f>
        <v>0</v>
      </c>
      <c r="V26" s="52">
        <f>IF(AG26="2",H26,0)</f>
        <v>0</v>
      </c>
      <c r="W26" s="52">
        <f>IF(AG26="2",I26,0)</f>
        <v>0</v>
      </c>
      <c r="X26" s="52">
        <f>IF(AG26="0",J26,0)</f>
        <v>0</v>
      </c>
      <c r="Y26" s="43"/>
      <c r="Z26" s="29">
        <f>IF(AD26=0,J26,0)</f>
        <v>0</v>
      </c>
      <c r="AA26" s="29">
        <f>IF(AD26=15,J26,0)</f>
        <v>0</v>
      </c>
      <c r="AB26" s="29">
        <f>IF(AD26=21,J26,0)</f>
        <v>0</v>
      </c>
      <c r="AD26" s="52">
        <v>15</v>
      </c>
      <c r="AE26" s="52">
        <f>G26*1</f>
        <v>0</v>
      </c>
      <c r="AF26" s="52">
        <f>G26*(1-1)</f>
        <v>0</v>
      </c>
      <c r="AG26" s="49" t="s">
        <v>13</v>
      </c>
      <c r="AM26" s="52">
        <f>F26*AE26</f>
        <v>0</v>
      </c>
      <c r="AN26" s="52">
        <f>F26*AF26</f>
        <v>0</v>
      </c>
      <c r="AO26" s="53" t="s">
        <v>136</v>
      </c>
      <c r="AP26" s="53" t="s">
        <v>139</v>
      </c>
      <c r="AQ26" s="43" t="s">
        <v>140</v>
      </c>
      <c r="AS26" s="52">
        <f>AM26+AN26</f>
        <v>0</v>
      </c>
      <c r="AT26" s="52">
        <f>G26/(100-AU26)*100</f>
        <v>0</v>
      </c>
      <c r="AU26" s="52">
        <v>0</v>
      </c>
      <c r="AV26" s="52">
        <f>L26</f>
        <v>0</v>
      </c>
    </row>
    <row r="27" spans="1:48" ht="12.75">
      <c r="A27" s="10" t="s">
        <v>20</v>
      </c>
      <c r="B27" s="10"/>
      <c r="C27" s="10" t="s">
        <v>50</v>
      </c>
      <c r="D27" s="10" t="s">
        <v>82</v>
      </c>
      <c r="E27" s="10" t="s">
        <v>102</v>
      </c>
      <c r="F27" s="29">
        <v>310</v>
      </c>
      <c r="G27" s="29">
        <v>0</v>
      </c>
      <c r="H27" s="29">
        <f>F27*AE27</f>
        <v>0</v>
      </c>
      <c r="I27" s="29">
        <f>J27-H27</f>
        <v>0</v>
      </c>
      <c r="J27" s="29">
        <f>F27*G27</f>
        <v>0</v>
      </c>
      <c r="K27" s="29">
        <v>1E-05</v>
      </c>
      <c r="L27" s="29">
        <f>F27*K27</f>
        <v>0.0031000000000000003</v>
      </c>
      <c r="M27" s="49" t="s">
        <v>124</v>
      </c>
      <c r="P27" s="52">
        <f>IF(AG27="5",J27,0)</f>
        <v>0</v>
      </c>
      <c r="R27" s="52">
        <f>IF(AG27="1",H27,0)</f>
        <v>0</v>
      </c>
      <c r="S27" s="52">
        <f>IF(AG27="1",I27,0)</f>
        <v>0</v>
      </c>
      <c r="T27" s="52">
        <f>IF(AG27="7",H27,0)</f>
        <v>0</v>
      </c>
      <c r="U27" s="52">
        <f>IF(AG27="7",I27,0)</f>
        <v>0</v>
      </c>
      <c r="V27" s="52">
        <f>IF(AG27="2",H27,0)</f>
        <v>0</v>
      </c>
      <c r="W27" s="52">
        <f>IF(AG27="2",I27,0)</f>
        <v>0</v>
      </c>
      <c r="X27" s="52">
        <f>IF(AG27="0",J27,0)</f>
        <v>0</v>
      </c>
      <c r="Y27" s="43"/>
      <c r="Z27" s="29">
        <f>IF(AD27=0,J27,0)</f>
        <v>0</v>
      </c>
      <c r="AA27" s="29">
        <f>IF(AD27=15,J27,0)</f>
        <v>0</v>
      </c>
      <c r="AB27" s="29">
        <f>IF(AD27=21,J27,0)</f>
        <v>0</v>
      </c>
      <c r="AD27" s="52">
        <v>15</v>
      </c>
      <c r="AE27" s="52">
        <f>G27*0.0594262295081967</f>
        <v>0</v>
      </c>
      <c r="AF27" s="52">
        <f>G27*(1-0.0594262295081967)</f>
        <v>0</v>
      </c>
      <c r="AG27" s="49" t="s">
        <v>13</v>
      </c>
      <c r="AM27" s="52">
        <f>F27*AE27</f>
        <v>0</v>
      </c>
      <c r="AN27" s="52">
        <f>F27*AF27</f>
        <v>0</v>
      </c>
      <c r="AO27" s="53" t="s">
        <v>136</v>
      </c>
      <c r="AP27" s="53" t="s">
        <v>139</v>
      </c>
      <c r="AQ27" s="43" t="s">
        <v>140</v>
      </c>
      <c r="AS27" s="52">
        <f>AM27+AN27</f>
        <v>0</v>
      </c>
      <c r="AT27" s="52">
        <f>G27/(100-AU27)*100</f>
        <v>0</v>
      </c>
      <c r="AU27" s="52">
        <v>0</v>
      </c>
      <c r="AV27" s="52">
        <f>L27</f>
        <v>0.0031000000000000003</v>
      </c>
    </row>
    <row r="28" spans="1:48" ht="12.75">
      <c r="A28" s="10" t="s">
        <v>21</v>
      </c>
      <c r="B28" s="10"/>
      <c r="C28" s="10" t="s">
        <v>51</v>
      </c>
      <c r="D28" s="10" t="s">
        <v>83</v>
      </c>
      <c r="E28" s="10" t="s">
        <v>104</v>
      </c>
      <c r="F28" s="29">
        <v>55</v>
      </c>
      <c r="G28" s="29">
        <v>0</v>
      </c>
      <c r="H28" s="29">
        <f>F28*AE28</f>
        <v>0</v>
      </c>
      <c r="I28" s="29">
        <f>J28-H28</f>
        <v>0</v>
      </c>
      <c r="J28" s="29">
        <f>F28*G28</f>
        <v>0</v>
      </c>
      <c r="K28" s="29">
        <v>0</v>
      </c>
      <c r="L28" s="29">
        <f>F28*K28</f>
        <v>0</v>
      </c>
      <c r="M28" s="49"/>
      <c r="P28" s="52">
        <f>IF(AG28="5",J28,0)</f>
        <v>0</v>
      </c>
      <c r="R28" s="52">
        <f>IF(AG28="1",H28,0)</f>
        <v>0</v>
      </c>
      <c r="S28" s="52">
        <f>IF(AG28="1",I28,0)</f>
        <v>0</v>
      </c>
      <c r="T28" s="52">
        <f>IF(AG28="7",H28,0)</f>
        <v>0</v>
      </c>
      <c r="U28" s="52">
        <f>IF(AG28="7",I28,0)</f>
        <v>0</v>
      </c>
      <c r="V28" s="52">
        <f>IF(AG28="2",H28,0)</f>
        <v>0</v>
      </c>
      <c r="W28" s="52">
        <f>IF(AG28="2",I28,0)</f>
        <v>0</v>
      </c>
      <c r="X28" s="52">
        <f>IF(AG28="0",J28,0)</f>
        <v>0</v>
      </c>
      <c r="Y28" s="43"/>
      <c r="Z28" s="29">
        <f>IF(AD28=0,J28,0)</f>
        <v>0</v>
      </c>
      <c r="AA28" s="29">
        <f>IF(AD28=15,J28,0)</f>
        <v>0</v>
      </c>
      <c r="AB28" s="29">
        <f>IF(AD28=21,J28,0)</f>
        <v>0</v>
      </c>
      <c r="AD28" s="52">
        <v>15</v>
      </c>
      <c r="AE28" s="52">
        <f>G28*1</f>
        <v>0</v>
      </c>
      <c r="AF28" s="52">
        <f>G28*(1-1)</f>
        <v>0</v>
      </c>
      <c r="AG28" s="49" t="s">
        <v>13</v>
      </c>
      <c r="AM28" s="52">
        <f>F28*AE28</f>
        <v>0</v>
      </c>
      <c r="AN28" s="52">
        <f>F28*AF28</f>
        <v>0</v>
      </c>
      <c r="AO28" s="53" t="s">
        <v>136</v>
      </c>
      <c r="AP28" s="53" t="s">
        <v>139</v>
      </c>
      <c r="AQ28" s="43" t="s">
        <v>140</v>
      </c>
      <c r="AS28" s="52">
        <f>AM28+AN28</f>
        <v>0</v>
      </c>
      <c r="AT28" s="52">
        <f>G28/(100-AU28)*100</f>
        <v>0</v>
      </c>
      <c r="AU28" s="52">
        <v>0</v>
      </c>
      <c r="AV28" s="52">
        <f>L28</f>
        <v>0</v>
      </c>
    </row>
    <row r="29" spans="1:48" ht="12.75">
      <c r="A29" s="10" t="s">
        <v>22</v>
      </c>
      <c r="B29" s="10"/>
      <c r="C29" s="10" t="s">
        <v>52</v>
      </c>
      <c r="D29" s="10" t="s">
        <v>84</v>
      </c>
      <c r="E29" s="10" t="s">
        <v>103</v>
      </c>
      <c r="F29" s="29">
        <v>105</v>
      </c>
      <c r="G29" s="29">
        <v>0</v>
      </c>
      <c r="H29" s="29">
        <f>F29*AE29</f>
        <v>0</v>
      </c>
      <c r="I29" s="29">
        <f>J29-H29</f>
        <v>0</v>
      </c>
      <c r="J29" s="29">
        <f>F29*G29</f>
        <v>0</v>
      </c>
      <c r="K29" s="29">
        <v>0</v>
      </c>
      <c r="L29" s="29">
        <f>F29*K29</f>
        <v>0</v>
      </c>
      <c r="M29" s="49"/>
      <c r="P29" s="52">
        <f>IF(AG29="5",J29,0)</f>
        <v>0</v>
      </c>
      <c r="R29" s="52">
        <f>IF(AG29="1",H29,0)</f>
        <v>0</v>
      </c>
      <c r="S29" s="52">
        <f>IF(AG29="1",I29,0)</f>
        <v>0</v>
      </c>
      <c r="T29" s="52">
        <f>IF(AG29="7",H29,0)</f>
        <v>0</v>
      </c>
      <c r="U29" s="52">
        <f>IF(AG29="7",I29,0)</f>
        <v>0</v>
      </c>
      <c r="V29" s="52">
        <f>IF(AG29="2",H29,0)</f>
        <v>0</v>
      </c>
      <c r="W29" s="52">
        <f>IF(AG29="2",I29,0)</f>
        <v>0</v>
      </c>
      <c r="X29" s="52">
        <f>IF(AG29="0",J29,0)</f>
        <v>0</v>
      </c>
      <c r="Y29" s="43"/>
      <c r="Z29" s="29">
        <f>IF(AD29=0,J29,0)</f>
        <v>0</v>
      </c>
      <c r="AA29" s="29">
        <f>IF(AD29=15,J29,0)</f>
        <v>0</v>
      </c>
      <c r="AB29" s="29">
        <f>IF(AD29=21,J29,0)</f>
        <v>0</v>
      </c>
      <c r="AD29" s="52">
        <v>15</v>
      </c>
      <c r="AE29" s="52">
        <f>G29*1</f>
        <v>0</v>
      </c>
      <c r="AF29" s="52">
        <f>G29*(1-1)</f>
        <v>0</v>
      </c>
      <c r="AG29" s="49" t="s">
        <v>13</v>
      </c>
      <c r="AM29" s="52">
        <f>F29*AE29</f>
        <v>0</v>
      </c>
      <c r="AN29" s="52">
        <f>F29*AF29</f>
        <v>0</v>
      </c>
      <c r="AO29" s="53" t="s">
        <v>136</v>
      </c>
      <c r="AP29" s="53" t="s">
        <v>139</v>
      </c>
      <c r="AQ29" s="43" t="s">
        <v>140</v>
      </c>
      <c r="AS29" s="52">
        <f>AM29+AN29</f>
        <v>0</v>
      </c>
      <c r="AT29" s="52">
        <f>G29/(100-AU29)*100</f>
        <v>0</v>
      </c>
      <c r="AU29" s="52">
        <v>0</v>
      </c>
      <c r="AV29" s="52">
        <f>L29</f>
        <v>0</v>
      </c>
    </row>
    <row r="30" spans="1:48" ht="12.75">
      <c r="A30" s="10" t="s">
        <v>23</v>
      </c>
      <c r="B30" s="10"/>
      <c r="C30" s="10" t="s">
        <v>53</v>
      </c>
      <c r="D30" s="10" t="s">
        <v>85</v>
      </c>
      <c r="E30" s="10" t="s">
        <v>104</v>
      </c>
      <c r="F30" s="29">
        <v>35</v>
      </c>
      <c r="G30" s="29">
        <v>0</v>
      </c>
      <c r="H30" s="29">
        <f>F30*AE30</f>
        <v>0</v>
      </c>
      <c r="I30" s="29">
        <f>J30-H30</f>
        <v>0</v>
      </c>
      <c r="J30" s="29">
        <f>F30*G30</f>
        <v>0</v>
      </c>
      <c r="K30" s="29">
        <v>0</v>
      </c>
      <c r="L30" s="29">
        <f>F30*K30</f>
        <v>0</v>
      </c>
      <c r="M30" s="49"/>
      <c r="P30" s="52">
        <f>IF(AG30="5",J30,0)</f>
        <v>0</v>
      </c>
      <c r="R30" s="52">
        <f>IF(AG30="1",H30,0)</f>
        <v>0</v>
      </c>
      <c r="S30" s="52">
        <f>IF(AG30="1",I30,0)</f>
        <v>0</v>
      </c>
      <c r="T30" s="52">
        <f>IF(AG30="7",H30,0)</f>
        <v>0</v>
      </c>
      <c r="U30" s="52">
        <f>IF(AG30="7",I30,0)</f>
        <v>0</v>
      </c>
      <c r="V30" s="52">
        <f>IF(AG30="2",H30,0)</f>
        <v>0</v>
      </c>
      <c r="W30" s="52">
        <f>IF(AG30="2",I30,0)</f>
        <v>0</v>
      </c>
      <c r="X30" s="52">
        <f>IF(AG30="0",J30,0)</f>
        <v>0</v>
      </c>
      <c r="Y30" s="43"/>
      <c r="Z30" s="29">
        <f>IF(AD30=0,J30,0)</f>
        <v>0</v>
      </c>
      <c r="AA30" s="29">
        <f>IF(AD30=15,J30,0)</f>
        <v>0</v>
      </c>
      <c r="AB30" s="29">
        <f>IF(AD30=21,J30,0)</f>
        <v>0</v>
      </c>
      <c r="AD30" s="52">
        <v>15</v>
      </c>
      <c r="AE30" s="52">
        <f>G30*1</f>
        <v>0</v>
      </c>
      <c r="AF30" s="52">
        <f>G30*(1-1)</f>
        <v>0</v>
      </c>
      <c r="AG30" s="49" t="s">
        <v>13</v>
      </c>
      <c r="AM30" s="52">
        <f>F30*AE30</f>
        <v>0</v>
      </c>
      <c r="AN30" s="52">
        <f>F30*AF30</f>
        <v>0</v>
      </c>
      <c r="AO30" s="53" t="s">
        <v>136</v>
      </c>
      <c r="AP30" s="53" t="s">
        <v>139</v>
      </c>
      <c r="AQ30" s="43" t="s">
        <v>140</v>
      </c>
      <c r="AS30" s="52">
        <f>AM30+AN30</f>
        <v>0</v>
      </c>
      <c r="AT30" s="52">
        <f>G30/(100-AU30)*100</f>
        <v>0</v>
      </c>
      <c r="AU30" s="52">
        <v>0</v>
      </c>
      <c r="AV30" s="52">
        <f>L30</f>
        <v>0</v>
      </c>
    </row>
    <row r="31" spans="1:48" ht="12.75">
      <c r="A31" s="10" t="s">
        <v>24</v>
      </c>
      <c r="B31" s="10"/>
      <c r="C31" s="10" t="s">
        <v>54</v>
      </c>
      <c r="D31" s="10" t="s">
        <v>86</v>
      </c>
      <c r="E31" s="10" t="s">
        <v>105</v>
      </c>
      <c r="F31" s="29">
        <v>33</v>
      </c>
      <c r="G31" s="29">
        <v>0</v>
      </c>
      <c r="H31" s="29">
        <f>F31*AE31</f>
        <v>0</v>
      </c>
      <c r="I31" s="29">
        <f>J31-H31</f>
        <v>0</v>
      </c>
      <c r="J31" s="29">
        <f>F31*G31</f>
        <v>0</v>
      </c>
      <c r="K31" s="29">
        <v>0</v>
      </c>
      <c r="L31" s="29">
        <f>F31*K31</f>
        <v>0</v>
      </c>
      <c r="M31" s="49" t="s">
        <v>124</v>
      </c>
      <c r="P31" s="52">
        <f>IF(AG31="5",J31,0)</f>
        <v>0</v>
      </c>
      <c r="R31" s="52">
        <f>IF(AG31="1",H31,0)</f>
        <v>0</v>
      </c>
      <c r="S31" s="52">
        <f>IF(AG31="1",I31,0)</f>
        <v>0</v>
      </c>
      <c r="T31" s="52">
        <f>IF(AG31="7",H31,0)</f>
        <v>0</v>
      </c>
      <c r="U31" s="52">
        <f>IF(AG31="7",I31,0)</f>
        <v>0</v>
      </c>
      <c r="V31" s="52">
        <f>IF(AG31="2",H31,0)</f>
        <v>0</v>
      </c>
      <c r="W31" s="52">
        <f>IF(AG31="2",I31,0)</f>
        <v>0</v>
      </c>
      <c r="X31" s="52">
        <f>IF(AG31="0",J31,0)</f>
        <v>0</v>
      </c>
      <c r="Y31" s="43"/>
      <c r="Z31" s="29">
        <f>IF(AD31=0,J31,0)</f>
        <v>0</v>
      </c>
      <c r="AA31" s="29">
        <f>IF(AD31=15,J31,0)</f>
        <v>0</v>
      </c>
      <c r="AB31" s="29">
        <f>IF(AD31=21,J31,0)</f>
        <v>0</v>
      </c>
      <c r="AD31" s="52">
        <v>15</v>
      </c>
      <c r="AE31" s="52">
        <f>G31*0</f>
        <v>0</v>
      </c>
      <c r="AF31" s="52">
        <f>G31*(1-0)</f>
        <v>0</v>
      </c>
      <c r="AG31" s="49" t="s">
        <v>13</v>
      </c>
      <c r="AM31" s="52">
        <f>F31*AE31</f>
        <v>0</v>
      </c>
      <c r="AN31" s="52">
        <f>F31*AF31</f>
        <v>0</v>
      </c>
      <c r="AO31" s="53" t="s">
        <v>136</v>
      </c>
      <c r="AP31" s="53" t="s">
        <v>139</v>
      </c>
      <c r="AQ31" s="43" t="s">
        <v>140</v>
      </c>
      <c r="AS31" s="52">
        <f>AM31+AN31</f>
        <v>0</v>
      </c>
      <c r="AT31" s="52">
        <f>G31/(100-AU31)*100</f>
        <v>0</v>
      </c>
      <c r="AU31" s="52">
        <v>0</v>
      </c>
      <c r="AV31" s="52">
        <f>L31</f>
        <v>0</v>
      </c>
    </row>
    <row r="32" spans="1:48" ht="12.75">
      <c r="A32" s="10" t="s">
        <v>25</v>
      </c>
      <c r="B32" s="10"/>
      <c r="C32" s="10" t="s">
        <v>55</v>
      </c>
      <c r="D32" s="10" t="s">
        <v>87</v>
      </c>
      <c r="E32" s="10" t="s">
        <v>102</v>
      </c>
      <c r="F32" s="29">
        <v>30</v>
      </c>
      <c r="G32" s="29">
        <v>0</v>
      </c>
      <c r="H32" s="29">
        <f>F32*AE32</f>
        <v>0</v>
      </c>
      <c r="I32" s="29">
        <f>J32-H32</f>
        <v>0</v>
      </c>
      <c r="J32" s="29">
        <f>F32*G32</f>
        <v>0</v>
      </c>
      <c r="K32" s="29">
        <v>0.00046</v>
      </c>
      <c r="L32" s="29">
        <f>F32*K32</f>
        <v>0.0138</v>
      </c>
      <c r="M32" s="49" t="s">
        <v>125</v>
      </c>
      <c r="P32" s="52">
        <f>IF(AG32="5",J32,0)</f>
        <v>0</v>
      </c>
      <c r="R32" s="52">
        <f>IF(AG32="1",H32,0)</f>
        <v>0</v>
      </c>
      <c r="S32" s="52">
        <f>IF(AG32="1",I32,0)</f>
        <v>0</v>
      </c>
      <c r="T32" s="52">
        <f>IF(AG32="7",H32,0)</f>
        <v>0</v>
      </c>
      <c r="U32" s="52">
        <f>IF(AG32="7",I32,0)</f>
        <v>0</v>
      </c>
      <c r="V32" s="52">
        <f>IF(AG32="2",H32,0)</f>
        <v>0</v>
      </c>
      <c r="W32" s="52">
        <f>IF(AG32="2",I32,0)</f>
        <v>0</v>
      </c>
      <c r="X32" s="52">
        <f>IF(AG32="0",J32,0)</f>
        <v>0</v>
      </c>
      <c r="Y32" s="43"/>
      <c r="Z32" s="29">
        <f>IF(AD32=0,J32,0)</f>
        <v>0</v>
      </c>
      <c r="AA32" s="29">
        <f>IF(AD32=15,J32,0)</f>
        <v>0</v>
      </c>
      <c r="AB32" s="29">
        <f>IF(AD32=21,J32,0)</f>
        <v>0</v>
      </c>
      <c r="AD32" s="52">
        <v>15</v>
      </c>
      <c r="AE32" s="52">
        <f>G32*0.214145383104126</f>
        <v>0</v>
      </c>
      <c r="AF32" s="52">
        <f>G32*(1-0.214145383104126)</f>
        <v>0</v>
      </c>
      <c r="AG32" s="49" t="s">
        <v>13</v>
      </c>
      <c r="AM32" s="52">
        <f>F32*AE32</f>
        <v>0</v>
      </c>
      <c r="AN32" s="52">
        <f>F32*AF32</f>
        <v>0</v>
      </c>
      <c r="AO32" s="53" t="s">
        <v>136</v>
      </c>
      <c r="AP32" s="53" t="s">
        <v>139</v>
      </c>
      <c r="AQ32" s="43" t="s">
        <v>140</v>
      </c>
      <c r="AS32" s="52">
        <f>AM32+AN32</f>
        <v>0</v>
      </c>
      <c r="AT32" s="52">
        <f>G32/(100-AU32)*100</f>
        <v>0</v>
      </c>
      <c r="AU32" s="52">
        <v>0</v>
      </c>
      <c r="AV32" s="52">
        <f>L32</f>
        <v>0.0138</v>
      </c>
    </row>
    <row r="33" spans="1:48" ht="12.75">
      <c r="A33" s="10" t="s">
        <v>26</v>
      </c>
      <c r="B33" s="10"/>
      <c r="C33" s="10" t="s">
        <v>56</v>
      </c>
      <c r="D33" s="10" t="s">
        <v>88</v>
      </c>
      <c r="E33" s="10" t="s">
        <v>102</v>
      </c>
      <c r="F33" s="29">
        <v>310</v>
      </c>
      <c r="G33" s="29">
        <v>0</v>
      </c>
      <c r="H33" s="29">
        <f>F33*AE33</f>
        <v>0</v>
      </c>
      <c r="I33" s="29">
        <f>J33-H33</f>
        <v>0</v>
      </c>
      <c r="J33" s="29">
        <f>F33*G33</f>
        <v>0</v>
      </c>
      <c r="K33" s="29">
        <v>0</v>
      </c>
      <c r="L33" s="29">
        <f>F33*K33</f>
        <v>0</v>
      </c>
      <c r="M33" s="49"/>
      <c r="P33" s="52">
        <f>IF(AG33="5",J33,0)</f>
        <v>0</v>
      </c>
      <c r="R33" s="52">
        <f>IF(AG33="1",H33,0)</f>
        <v>0</v>
      </c>
      <c r="S33" s="52">
        <f>IF(AG33="1",I33,0)</f>
        <v>0</v>
      </c>
      <c r="T33" s="52">
        <f>IF(AG33="7",H33,0)</f>
        <v>0</v>
      </c>
      <c r="U33" s="52">
        <f>IF(AG33="7",I33,0)</f>
        <v>0</v>
      </c>
      <c r="V33" s="52">
        <f>IF(AG33="2",H33,0)</f>
        <v>0</v>
      </c>
      <c r="W33" s="52">
        <f>IF(AG33="2",I33,0)</f>
        <v>0</v>
      </c>
      <c r="X33" s="52">
        <f>IF(AG33="0",J33,0)</f>
        <v>0</v>
      </c>
      <c r="Y33" s="43"/>
      <c r="Z33" s="29">
        <f>IF(AD33=0,J33,0)</f>
        <v>0</v>
      </c>
      <c r="AA33" s="29">
        <f>IF(AD33=15,J33,0)</f>
        <v>0</v>
      </c>
      <c r="AB33" s="29">
        <f>IF(AD33=21,J33,0)</f>
        <v>0</v>
      </c>
      <c r="AD33" s="52">
        <v>15</v>
      </c>
      <c r="AE33" s="52">
        <f>G33*1</f>
        <v>0</v>
      </c>
      <c r="AF33" s="52">
        <f>G33*(1-1)</f>
        <v>0</v>
      </c>
      <c r="AG33" s="49" t="s">
        <v>13</v>
      </c>
      <c r="AM33" s="52">
        <f>F33*AE33</f>
        <v>0</v>
      </c>
      <c r="AN33" s="52">
        <f>F33*AF33</f>
        <v>0</v>
      </c>
      <c r="AO33" s="53" t="s">
        <v>136</v>
      </c>
      <c r="AP33" s="53" t="s">
        <v>139</v>
      </c>
      <c r="AQ33" s="43" t="s">
        <v>140</v>
      </c>
      <c r="AS33" s="52">
        <f>AM33+AN33</f>
        <v>0</v>
      </c>
      <c r="AT33" s="52">
        <f>G33/(100-AU33)*100</f>
        <v>0</v>
      </c>
      <c r="AU33" s="52">
        <v>0</v>
      </c>
      <c r="AV33" s="52">
        <f>L33</f>
        <v>0</v>
      </c>
    </row>
    <row r="34" spans="1:48" ht="12.75">
      <c r="A34" s="10" t="s">
        <v>27</v>
      </c>
      <c r="B34" s="10"/>
      <c r="C34" s="10" t="s">
        <v>57</v>
      </c>
      <c r="D34" s="10" t="s">
        <v>89</v>
      </c>
      <c r="E34" s="10" t="s">
        <v>101</v>
      </c>
      <c r="F34" s="29">
        <v>13</v>
      </c>
      <c r="G34" s="29">
        <v>0</v>
      </c>
      <c r="H34" s="29">
        <f>F34*AE34</f>
        <v>0</v>
      </c>
      <c r="I34" s="29">
        <f>J34-H34</f>
        <v>0</v>
      </c>
      <c r="J34" s="29">
        <f>F34*G34</f>
        <v>0</v>
      </c>
      <c r="K34" s="29">
        <v>0.00041</v>
      </c>
      <c r="L34" s="29">
        <f>F34*K34</f>
        <v>0.00533</v>
      </c>
      <c r="M34" s="49" t="s">
        <v>125</v>
      </c>
      <c r="P34" s="52">
        <f>IF(AG34="5",J34,0)</f>
        <v>0</v>
      </c>
      <c r="R34" s="52">
        <f>IF(AG34="1",H34,0)</f>
        <v>0</v>
      </c>
      <c r="S34" s="52">
        <f>IF(AG34="1",I34,0)</f>
        <v>0</v>
      </c>
      <c r="T34" s="52">
        <f>IF(AG34="7",H34,0)</f>
        <v>0</v>
      </c>
      <c r="U34" s="52">
        <f>IF(AG34="7",I34,0)</f>
        <v>0</v>
      </c>
      <c r="V34" s="52">
        <f>IF(AG34="2",H34,0)</f>
        <v>0</v>
      </c>
      <c r="W34" s="52">
        <f>IF(AG34="2",I34,0)</f>
        <v>0</v>
      </c>
      <c r="X34" s="52">
        <f>IF(AG34="0",J34,0)</f>
        <v>0</v>
      </c>
      <c r="Y34" s="43"/>
      <c r="Z34" s="29">
        <f>IF(AD34=0,J34,0)</f>
        <v>0</v>
      </c>
      <c r="AA34" s="29">
        <f>IF(AD34=15,J34,0)</f>
        <v>0</v>
      </c>
      <c r="AB34" s="29">
        <f>IF(AD34=21,J34,0)</f>
        <v>0</v>
      </c>
      <c r="AD34" s="52">
        <v>15</v>
      </c>
      <c r="AE34" s="52">
        <f>G34*0.509916167664671</f>
        <v>0</v>
      </c>
      <c r="AF34" s="52">
        <f>G34*(1-0.509916167664671)</f>
        <v>0</v>
      </c>
      <c r="AG34" s="49" t="s">
        <v>13</v>
      </c>
      <c r="AM34" s="52">
        <f>F34*AE34</f>
        <v>0</v>
      </c>
      <c r="AN34" s="52">
        <f>F34*AF34</f>
        <v>0</v>
      </c>
      <c r="AO34" s="53" t="s">
        <v>136</v>
      </c>
      <c r="AP34" s="53" t="s">
        <v>139</v>
      </c>
      <c r="AQ34" s="43" t="s">
        <v>140</v>
      </c>
      <c r="AS34" s="52">
        <f>AM34+AN34</f>
        <v>0</v>
      </c>
      <c r="AT34" s="52">
        <f>G34/(100-AU34)*100</f>
        <v>0</v>
      </c>
      <c r="AU34" s="52">
        <v>0</v>
      </c>
      <c r="AV34" s="52">
        <f>L34</f>
        <v>0.00533</v>
      </c>
    </row>
    <row r="35" spans="1:48" ht="12.75">
      <c r="A35" s="10" t="s">
        <v>28</v>
      </c>
      <c r="B35" s="10"/>
      <c r="C35" s="10" t="s">
        <v>58</v>
      </c>
      <c r="D35" s="10" t="s">
        <v>90</v>
      </c>
      <c r="E35" s="10" t="s">
        <v>102</v>
      </c>
      <c r="F35" s="29">
        <v>120</v>
      </c>
      <c r="G35" s="29">
        <v>0</v>
      </c>
      <c r="H35" s="29">
        <f>F35*AE35</f>
        <v>0</v>
      </c>
      <c r="I35" s="29">
        <f>J35-H35</f>
        <v>0</v>
      </c>
      <c r="J35" s="29">
        <f>F35*G35</f>
        <v>0</v>
      </c>
      <c r="K35" s="29">
        <v>0.00074</v>
      </c>
      <c r="L35" s="29">
        <f>F35*K35</f>
        <v>0.0888</v>
      </c>
      <c r="M35" s="49" t="s">
        <v>125</v>
      </c>
      <c r="P35" s="52">
        <f>IF(AG35="5",J35,0)</f>
        <v>0</v>
      </c>
      <c r="R35" s="52">
        <f>IF(AG35="1",H35,0)</f>
        <v>0</v>
      </c>
      <c r="S35" s="52">
        <f>IF(AG35="1",I35,0)</f>
        <v>0</v>
      </c>
      <c r="T35" s="52">
        <f>IF(AG35="7",H35,0)</f>
        <v>0</v>
      </c>
      <c r="U35" s="52">
        <f>IF(AG35="7",I35,0)</f>
        <v>0</v>
      </c>
      <c r="V35" s="52">
        <f>IF(AG35="2",H35,0)</f>
        <v>0</v>
      </c>
      <c r="W35" s="52">
        <f>IF(AG35="2",I35,0)</f>
        <v>0</v>
      </c>
      <c r="X35" s="52">
        <f>IF(AG35="0",J35,0)</f>
        <v>0</v>
      </c>
      <c r="Y35" s="43"/>
      <c r="Z35" s="29">
        <f>IF(AD35=0,J35,0)</f>
        <v>0</v>
      </c>
      <c r="AA35" s="29">
        <f>IF(AD35=15,J35,0)</f>
        <v>0</v>
      </c>
      <c r="AB35" s="29">
        <f>IF(AD35=21,J35,0)</f>
        <v>0</v>
      </c>
      <c r="AD35" s="52">
        <v>15</v>
      </c>
      <c r="AE35" s="52">
        <f>G35*0.311091562960855</f>
        <v>0</v>
      </c>
      <c r="AF35" s="52">
        <f>G35*(1-0.311091562960855)</f>
        <v>0</v>
      </c>
      <c r="AG35" s="49" t="s">
        <v>13</v>
      </c>
      <c r="AM35" s="52">
        <f>F35*AE35</f>
        <v>0</v>
      </c>
      <c r="AN35" s="52">
        <f>F35*AF35</f>
        <v>0</v>
      </c>
      <c r="AO35" s="53" t="s">
        <v>136</v>
      </c>
      <c r="AP35" s="53" t="s">
        <v>139</v>
      </c>
      <c r="AQ35" s="43" t="s">
        <v>140</v>
      </c>
      <c r="AS35" s="52">
        <f>AM35+AN35</f>
        <v>0</v>
      </c>
      <c r="AT35" s="52">
        <f>G35/(100-AU35)*100</f>
        <v>0</v>
      </c>
      <c r="AU35" s="52">
        <v>0</v>
      </c>
      <c r="AV35" s="52">
        <f>L35</f>
        <v>0.0888</v>
      </c>
    </row>
    <row r="36" spans="1:37" ht="12.75">
      <c r="A36" s="11"/>
      <c r="B36" s="22"/>
      <c r="C36" s="22" t="s">
        <v>59</v>
      </c>
      <c r="D36" s="22" t="s">
        <v>91</v>
      </c>
      <c r="E36" s="11" t="s">
        <v>6</v>
      </c>
      <c r="F36" s="11" t="s">
        <v>6</v>
      </c>
      <c r="G36" s="11" t="s">
        <v>6</v>
      </c>
      <c r="H36" s="55">
        <f>SUM(H37:H40)</f>
        <v>0</v>
      </c>
      <c r="I36" s="55">
        <f>SUM(I37:I40)</f>
        <v>0</v>
      </c>
      <c r="J36" s="55">
        <f>H36+I36</f>
        <v>0</v>
      </c>
      <c r="K36" s="43"/>
      <c r="L36" s="55">
        <f>SUM(L37:L40)</f>
        <v>0.26039</v>
      </c>
      <c r="M36" s="43"/>
      <c r="Y36" s="43"/>
      <c r="AI36" s="55">
        <f>SUM(Z37:Z40)</f>
        <v>0</v>
      </c>
      <c r="AJ36" s="55">
        <f>SUM(AA37:AA40)</f>
        <v>0</v>
      </c>
      <c r="AK36" s="55">
        <f>SUM(AB37:AB40)</f>
        <v>0</v>
      </c>
    </row>
    <row r="37" spans="1:48" ht="12.75">
      <c r="A37" s="10" t="s">
        <v>29</v>
      </c>
      <c r="B37" s="10"/>
      <c r="C37" s="10" t="s">
        <v>60</v>
      </c>
      <c r="D37" s="10" t="s">
        <v>92</v>
      </c>
      <c r="E37" s="10" t="s">
        <v>102</v>
      </c>
      <c r="F37" s="29">
        <v>50</v>
      </c>
      <c r="G37" s="29">
        <v>0</v>
      </c>
      <c r="H37" s="29">
        <f>F37*AE37</f>
        <v>0</v>
      </c>
      <c r="I37" s="29">
        <f>J37-H37</f>
        <v>0</v>
      </c>
      <c r="J37" s="29">
        <f>F37*G37</f>
        <v>0</v>
      </c>
      <c r="K37" s="29">
        <v>0</v>
      </c>
      <c r="L37" s="29">
        <f>F37*K37</f>
        <v>0</v>
      </c>
      <c r="M37" s="49"/>
      <c r="P37" s="52">
        <f>IF(AG37="5",J37,0)</f>
        <v>0</v>
      </c>
      <c r="R37" s="52">
        <f>IF(AG37="1",H37,0)</f>
        <v>0</v>
      </c>
      <c r="S37" s="52">
        <f>IF(AG37="1",I37,0)</f>
        <v>0</v>
      </c>
      <c r="T37" s="52">
        <f>IF(AG37="7",H37,0)</f>
        <v>0</v>
      </c>
      <c r="U37" s="52">
        <f>IF(AG37="7",I37,0)</f>
        <v>0</v>
      </c>
      <c r="V37" s="52">
        <f>IF(AG37="2",H37,0)</f>
        <v>0</v>
      </c>
      <c r="W37" s="52">
        <f>IF(AG37="2",I37,0)</f>
        <v>0</v>
      </c>
      <c r="X37" s="52">
        <f>IF(AG37="0",J37,0)</f>
        <v>0</v>
      </c>
      <c r="Y37" s="43"/>
      <c r="Z37" s="29">
        <f>IF(AD37=0,J37,0)</f>
        <v>0</v>
      </c>
      <c r="AA37" s="29">
        <f>IF(AD37=15,J37,0)</f>
        <v>0</v>
      </c>
      <c r="AB37" s="29">
        <f>IF(AD37=21,J37,0)</f>
        <v>0</v>
      </c>
      <c r="AD37" s="52">
        <v>15</v>
      </c>
      <c r="AE37" s="52">
        <f>G37*1</f>
        <v>0</v>
      </c>
      <c r="AF37" s="52">
        <f>G37*(1-1)</f>
        <v>0</v>
      </c>
      <c r="AG37" s="49" t="s">
        <v>13</v>
      </c>
      <c r="AM37" s="52">
        <f>F37*AE37</f>
        <v>0</v>
      </c>
      <c r="AN37" s="52">
        <f>F37*AF37</f>
        <v>0</v>
      </c>
      <c r="AO37" s="53" t="s">
        <v>137</v>
      </c>
      <c r="AP37" s="53" t="s">
        <v>139</v>
      </c>
      <c r="AQ37" s="43" t="s">
        <v>140</v>
      </c>
      <c r="AS37" s="52">
        <f>AM37+AN37</f>
        <v>0</v>
      </c>
      <c r="AT37" s="52">
        <f>G37/(100-AU37)*100</f>
        <v>0</v>
      </c>
      <c r="AU37" s="52">
        <v>0</v>
      </c>
      <c r="AV37" s="52">
        <f>L37</f>
        <v>0</v>
      </c>
    </row>
    <row r="38" spans="1:48" ht="12.75">
      <c r="A38" s="10" t="s">
        <v>30</v>
      </c>
      <c r="B38" s="10"/>
      <c r="C38" s="10" t="s">
        <v>61</v>
      </c>
      <c r="D38" s="10" t="s">
        <v>93</v>
      </c>
      <c r="E38" s="10" t="s">
        <v>106</v>
      </c>
      <c r="F38" s="29">
        <v>13</v>
      </c>
      <c r="G38" s="29">
        <v>0</v>
      </c>
      <c r="H38" s="29">
        <f>F38*AE38</f>
        <v>0</v>
      </c>
      <c r="I38" s="29">
        <f>J38-H38</f>
        <v>0</v>
      </c>
      <c r="J38" s="29">
        <f>F38*G38</f>
        <v>0</v>
      </c>
      <c r="K38" s="29">
        <v>0.01901</v>
      </c>
      <c r="L38" s="29">
        <f>F38*K38</f>
        <v>0.24713</v>
      </c>
      <c r="M38" s="49" t="s">
        <v>125</v>
      </c>
      <c r="P38" s="52">
        <f>IF(AG38="5",J38,0)</f>
        <v>0</v>
      </c>
      <c r="R38" s="52">
        <f>IF(AG38="1",H38,0)</f>
        <v>0</v>
      </c>
      <c r="S38" s="52">
        <f>IF(AG38="1",I38,0)</f>
        <v>0</v>
      </c>
      <c r="T38" s="52">
        <f>IF(AG38="7",H38,0)</f>
        <v>0</v>
      </c>
      <c r="U38" s="52">
        <f>IF(AG38="7",I38,0)</f>
        <v>0</v>
      </c>
      <c r="V38" s="52">
        <f>IF(AG38="2",H38,0)</f>
        <v>0</v>
      </c>
      <c r="W38" s="52">
        <f>IF(AG38="2",I38,0)</f>
        <v>0</v>
      </c>
      <c r="X38" s="52">
        <f>IF(AG38="0",J38,0)</f>
        <v>0</v>
      </c>
      <c r="Y38" s="43"/>
      <c r="Z38" s="29">
        <f>IF(AD38=0,J38,0)</f>
        <v>0</v>
      </c>
      <c r="AA38" s="29">
        <f>IF(AD38=15,J38,0)</f>
        <v>0</v>
      </c>
      <c r="AB38" s="29">
        <f>IF(AD38=21,J38,0)</f>
        <v>0</v>
      </c>
      <c r="AD38" s="52">
        <v>15</v>
      </c>
      <c r="AE38" s="52">
        <f>G38*0.707834672002919</f>
        <v>0</v>
      </c>
      <c r="AF38" s="52">
        <f>G38*(1-0.707834672002919)</f>
        <v>0</v>
      </c>
      <c r="AG38" s="49" t="s">
        <v>13</v>
      </c>
      <c r="AM38" s="52">
        <f>F38*AE38</f>
        <v>0</v>
      </c>
      <c r="AN38" s="52">
        <f>F38*AF38</f>
        <v>0</v>
      </c>
      <c r="AO38" s="53" t="s">
        <v>137</v>
      </c>
      <c r="AP38" s="53" t="s">
        <v>139</v>
      </c>
      <c r="AQ38" s="43" t="s">
        <v>140</v>
      </c>
      <c r="AS38" s="52">
        <f>AM38+AN38</f>
        <v>0</v>
      </c>
      <c r="AT38" s="52">
        <f>G38/(100-AU38)*100</f>
        <v>0</v>
      </c>
      <c r="AU38" s="52">
        <v>0</v>
      </c>
      <c r="AV38" s="52">
        <f>L38</f>
        <v>0.24713</v>
      </c>
    </row>
    <row r="39" spans="1:48" ht="12.75">
      <c r="A39" s="10" t="s">
        <v>31</v>
      </c>
      <c r="B39" s="10"/>
      <c r="C39" s="10" t="s">
        <v>62</v>
      </c>
      <c r="D39" s="10" t="s">
        <v>94</v>
      </c>
      <c r="E39" s="10" t="s">
        <v>104</v>
      </c>
      <c r="F39" s="29">
        <v>13</v>
      </c>
      <c r="G39" s="29">
        <v>0</v>
      </c>
      <c r="H39" s="29">
        <f>F39*AE39</f>
        <v>0</v>
      </c>
      <c r="I39" s="29">
        <f>J39-H39</f>
        <v>0</v>
      </c>
      <c r="J39" s="29">
        <f>F39*G39</f>
        <v>0</v>
      </c>
      <c r="K39" s="29">
        <v>0</v>
      </c>
      <c r="L39" s="29">
        <f>F39*K39</f>
        <v>0</v>
      </c>
      <c r="M39" s="49"/>
      <c r="P39" s="52">
        <f>IF(AG39="5",J39,0)</f>
        <v>0</v>
      </c>
      <c r="R39" s="52">
        <f>IF(AG39="1",H39,0)</f>
        <v>0</v>
      </c>
      <c r="S39" s="52">
        <f>IF(AG39="1",I39,0)</f>
        <v>0</v>
      </c>
      <c r="T39" s="52">
        <f>IF(AG39="7",H39,0)</f>
        <v>0</v>
      </c>
      <c r="U39" s="52">
        <f>IF(AG39="7",I39,0)</f>
        <v>0</v>
      </c>
      <c r="V39" s="52">
        <f>IF(AG39="2",H39,0)</f>
        <v>0</v>
      </c>
      <c r="W39" s="52">
        <f>IF(AG39="2",I39,0)</f>
        <v>0</v>
      </c>
      <c r="X39" s="52">
        <f>IF(AG39="0",J39,0)</f>
        <v>0</v>
      </c>
      <c r="Y39" s="43"/>
      <c r="Z39" s="29">
        <f>IF(AD39=0,J39,0)</f>
        <v>0</v>
      </c>
      <c r="AA39" s="29">
        <f>IF(AD39=15,J39,0)</f>
        <v>0</v>
      </c>
      <c r="AB39" s="29">
        <f>IF(AD39=21,J39,0)</f>
        <v>0</v>
      </c>
      <c r="AD39" s="52">
        <v>15</v>
      </c>
      <c r="AE39" s="52">
        <f>G39*1</f>
        <v>0</v>
      </c>
      <c r="AF39" s="52">
        <f>G39*(1-1)</f>
        <v>0</v>
      </c>
      <c r="AG39" s="49" t="s">
        <v>13</v>
      </c>
      <c r="AM39" s="52">
        <f>F39*AE39</f>
        <v>0</v>
      </c>
      <c r="AN39" s="52">
        <f>F39*AF39</f>
        <v>0</v>
      </c>
      <c r="AO39" s="53" t="s">
        <v>137</v>
      </c>
      <c r="AP39" s="53" t="s">
        <v>139</v>
      </c>
      <c r="AQ39" s="43" t="s">
        <v>140</v>
      </c>
      <c r="AS39" s="52">
        <f>AM39+AN39</f>
        <v>0</v>
      </c>
      <c r="AT39" s="52">
        <f>G39/(100-AU39)*100</f>
        <v>0</v>
      </c>
      <c r="AU39" s="52">
        <v>0</v>
      </c>
      <c r="AV39" s="52">
        <f>L39</f>
        <v>0</v>
      </c>
    </row>
    <row r="40" spans="1:48" ht="12.75">
      <c r="A40" s="12" t="s">
        <v>32</v>
      </c>
      <c r="B40" s="12"/>
      <c r="C40" s="12" t="s">
        <v>63</v>
      </c>
      <c r="D40" s="12" t="s">
        <v>95</v>
      </c>
      <c r="E40" s="12" t="s">
        <v>101</v>
      </c>
      <c r="F40" s="30">
        <v>13</v>
      </c>
      <c r="G40" s="30">
        <v>0</v>
      </c>
      <c r="H40" s="30">
        <f>F40*AE40</f>
        <v>0</v>
      </c>
      <c r="I40" s="30">
        <f>J40-H40</f>
        <v>0</v>
      </c>
      <c r="J40" s="30">
        <f>F40*G40</f>
        <v>0</v>
      </c>
      <c r="K40" s="30">
        <v>0.00102</v>
      </c>
      <c r="L40" s="30">
        <f>F40*K40</f>
        <v>0.013260000000000001</v>
      </c>
      <c r="M40" s="50" t="s">
        <v>125</v>
      </c>
      <c r="P40" s="52">
        <f>IF(AG40="5",J40,0)</f>
        <v>0</v>
      </c>
      <c r="R40" s="52">
        <f>IF(AG40="1",H40,0)</f>
        <v>0</v>
      </c>
      <c r="S40" s="52">
        <f>IF(AG40="1",I40,0)</f>
        <v>0</v>
      </c>
      <c r="T40" s="52">
        <f>IF(AG40="7",H40,0)</f>
        <v>0</v>
      </c>
      <c r="U40" s="52">
        <f>IF(AG40="7",I40,0)</f>
        <v>0</v>
      </c>
      <c r="V40" s="52">
        <f>IF(AG40="2",H40,0)</f>
        <v>0</v>
      </c>
      <c r="W40" s="52">
        <f>IF(AG40="2",I40,0)</f>
        <v>0</v>
      </c>
      <c r="X40" s="52">
        <f>IF(AG40="0",J40,0)</f>
        <v>0</v>
      </c>
      <c r="Y40" s="43"/>
      <c r="Z40" s="29">
        <f>IF(AD40=0,J40,0)</f>
        <v>0</v>
      </c>
      <c r="AA40" s="29">
        <f>IF(AD40=15,J40,0)</f>
        <v>0</v>
      </c>
      <c r="AB40" s="29">
        <f>IF(AD40=21,J40,0)</f>
        <v>0</v>
      </c>
      <c r="AD40" s="52">
        <v>15</v>
      </c>
      <c r="AE40" s="52">
        <f>G40*0.919133757961783</f>
        <v>0</v>
      </c>
      <c r="AF40" s="52">
        <f>G40*(1-0.919133757961783)</f>
        <v>0</v>
      </c>
      <c r="AG40" s="49" t="s">
        <v>13</v>
      </c>
      <c r="AM40" s="52">
        <f>F40*AE40</f>
        <v>0</v>
      </c>
      <c r="AN40" s="52">
        <f>F40*AF40</f>
        <v>0</v>
      </c>
      <c r="AO40" s="53" t="s">
        <v>137</v>
      </c>
      <c r="AP40" s="53" t="s">
        <v>139</v>
      </c>
      <c r="AQ40" s="43" t="s">
        <v>140</v>
      </c>
      <c r="AS40" s="52">
        <f>AM40+AN40</f>
        <v>0</v>
      </c>
      <c r="AT40" s="52">
        <f>G40/(100-AU40)*100</f>
        <v>0</v>
      </c>
      <c r="AU40" s="52">
        <v>0</v>
      </c>
      <c r="AV40" s="52">
        <f>L40</f>
        <v>0.013260000000000001</v>
      </c>
    </row>
    <row r="41" spans="1:13" ht="12.75">
      <c r="A41" s="13"/>
      <c r="B41" s="13"/>
      <c r="C41" s="13"/>
      <c r="D41" s="13"/>
      <c r="E41" s="13"/>
      <c r="F41" s="13"/>
      <c r="G41" s="13"/>
      <c r="H41" s="35" t="s">
        <v>114</v>
      </c>
      <c r="I41" s="39"/>
      <c r="J41" s="56">
        <f>J12+J14+J36</f>
        <v>0</v>
      </c>
      <c r="K41" s="13"/>
      <c r="L41" s="13"/>
      <c r="M41" s="13"/>
    </row>
    <row r="42" ht="11.25" customHeight="1">
      <c r="A42" s="14" t="s">
        <v>33</v>
      </c>
    </row>
    <row r="43" spans="1:13" ht="12.75">
      <c r="A43" s="15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</sheetData>
  <mergeCells count="29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H41:I41"/>
    <mergeCell ref="A43:M4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pane ySplit="10" topLeftCell="A11" activePane="bottomLeft" state="frozen"/>
      <selection pane="bottomLeft" activeCell="A1" sqref="A1:G1"/>
    </sheetView>
  </sheetViews>
  <sheetFormatPr defaultColWidth="11.57421875" defaultRowHeight="12.75"/>
  <cols>
    <col min="1" max="2" width="16.57421875" customWidth="1"/>
    <col min="3" max="3" width="41.7109375" customWidth="1"/>
    <col min="4" max="4" width="22.140625" customWidth="1"/>
    <col min="5" max="5" width="21.00390625" customWidth="1"/>
    <col min="6" max="6" width="20.8515625" customWidth="1"/>
    <col min="7" max="7" width="19.7109375" customWidth="1"/>
    <col min="8" max="9" width="0" hidden="1" customWidth="1"/>
  </cols>
  <sheetData>
    <row r="1" spans="1:7" ht="72.75" customHeight="1">
      <c r="A1" s="107" t="s">
        <v>141</v>
      </c>
      <c r="B1" s="16"/>
      <c r="C1" s="16"/>
      <c r="D1" s="16"/>
      <c r="E1" s="16"/>
      <c r="F1" s="16"/>
      <c r="G1" s="16"/>
    </row>
    <row r="2" spans="1:8" ht="12.75">
      <c r="A2" s="3" t="s">
        <v>1</v>
      </c>
      <c r="B2" s="23" t="str">
        <f>'Stavební rozpočet'!D2</f>
        <v>20190221- Oprava ležatých rozvodů SV, TVU a C- 2.a3.NP  pavilon  A - CENTRUM Rožmitál p.Tř.</v>
      </c>
      <c r="C2" s="39"/>
      <c r="D2" s="36" t="s">
        <v>115</v>
      </c>
      <c r="E2" s="36" t="str">
        <f>'Stavební rozpočet'!J2</f>
        <v> </v>
      </c>
      <c r="F2" s="13"/>
      <c r="G2" s="44"/>
      <c r="H2" s="4"/>
    </row>
    <row r="3" spans="1:8" ht="12.75">
      <c r="A3" s="4"/>
      <c r="B3" s="24"/>
      <c r="C3" s="24"/>
      <c r="D3" s="17"/>
      <c r="E3" s="17"/>
      <c r="F3" s="17"/>
      <c r="G3" s="45"/>
      <c r="H3" s="4"/>
    </row>
    <row r="4" spans="1:8" ht="12.75">
      <c r="A4" s="5" t="s">
        <v>2</v>
      </c>
      <c r="B4" s="15" t="str">
        <f>'Stavební rozpočet'!D4</f>
        <v> </v>
      </c>
      <c r="C4" s="17"/>
      <c r="D4" s="15" t="s">
        <v>116</v>
      </c>
      <c r="E4" s="15" t="str">
        <f>'Stavební rozpočet'!J4</f>
        <v> </v>
      </c>
      <c r="F4" s="17"/>
      <c r="G4" s="45"/>
      <c r="H4" s="4"/>
    </row>
    <row r="5" spans="1:8" ht="12.75">
      <c r="A5" s="4"/>
      <c r="B5" s="17"/>
      <c r="C5" s="17"/>
      <c r="D5" s="17"/>
      <c r="E5" s="17"/>
      <c r="F5" s="17"/>
      <c r="G5" s="45"/>
      <c r="H5" s="4"/>
    </row>
    <row r="6" spans="1:8" ht="12.75">
      <c r="A6" s="5" t="s">
        <v>3</v>
      </c>
      <c r="B6" s="15" t="str">
        <f>'Stavební rozpočet'!D6</f>
        <v> </v>
      </c>
      <c r="C6" s="17"/>
      <c r="D6" s="15" t="s">
        <v>117</v>
      </c>
      <c r="E6" s="15" t="str">
        <f>'Stavební rozpočet'!J6</f>
        <v> </v>
      </c>
      <c r="F6" s="17"/>
      <c r="G6" s="45"/>
      <c r="H6" s="4"/>
    </row>
    <row r="7" spans="1:8" ht="12.75">
      <c r="A7" s="4"/>
      <c r="B7" s="17"/>
      <c r="C7" s="17"/>
      <c r="D7" s="17"/>
      <c r="E7" s="17"/>
      <c r="F7" s="17"/>
      <c r="G7" s="45"/>
      <c r="H7" s="4"/>
    </row>
    <row r="8" spans="1:8" ht="12.75">
      <c r="A8" s="5" t="s">
        <v>118</v>
      </c>
      <c r="B8" s="15" t="str">
        <f>'Stavební rozpočet'!J8</f>
        <v> </v>
      </c>
      <c r="C8" s="17"/>
      <c r="D8" s="27" t="s">
        <v>99</v>
      </c>
      <c r="E8" s="15" t="str">
        <f>'Stavební rozpočet'!G8</f>
        <v>31.10.2019</v>
      </c>
      <c r="F8" s="17"/>
      <c r="G8" s="45"/>
      <c r="H8" s="4"/>
    </row>
    <row r="9" spans="1:8" ht="12.75">
      <c r="A9" s="6"/>
      <c r="B9" s="18"/>
      <c r="C9" s="18"/>
      <c r="D9" s="18"/>
      <c r="E9" s="18"/>
      <c r="F9" s="18"/>
      <c r="G9" s="46"/>
      <c r="H9" s="4"/>
    </row>
    <row r="10" spans="1:8" ht="12.75">
      <c r="A10" s="57" t="s">
        <v>34</v>
      </c>
      <c r="B10" s="59" t="s">
        <v>35</v>
      </c>
      <c r="C10" s="60" t="s">
        <v>65</v>
      </c>
      <c r="D10" s="61" t="s">
        <v>142</v>
      </c>
      <c r="E10" s="61" t="s">
        <v>143</v>
      </c>
      <c r="F10" s="61" t="s">
        <v>144</v>
      </c>
      <c r="G10" s="63" t="s">
        <v>145</v>
      </c>
      <c r="H10" s="51"/>
    </row>
    <row r="11" spans="1:9" ht="12.75">
      <c r="A11" s="58"/>
      <c r="B11" s="58" t="s">
        <v>30</v>
      </c>
      <c r="C11" s="58" t="s">
        <v>67</v>
      </c>
      <c r="D11" s="64">
        <f>'Stavební rozpočet'!H12</f>
        <v>0</v>
      </c>
      <c r="E11" s="64">
        <f>'Stavební rozpočet'!I12</f>
        <v>0</v>
      </c>
      <c r="F11" s="64">
        <f>D11+E11</f>
        <v>0</v>
      </c>
      <c r="G11" s="64">
        <f>'Stavební rozpočet'!L12</f>
        <v>0.10139999999999999</v>
      </c>
      <c r="H11" s="52" t="s">
        <v>146</v>
      </c>
      <c r="I11" s="52">
        <f>IF(H11="F",0,F11)</f>
        <v>0</v>
      </c>
    </row>
    <row r="12" spans="1:9" ht="12.75">
      <c r="A12" s="27"/>
      <c r="B12" s="27" t="s">
        <v>37</v>
      </c>
      <c r="C12" s="27" t="s">
        <v>69</v>
      </c>
      <c r="D12" s="52">
        <f>'Stavební rozpočet'!H14</f>
        <v>0</v>
      </c>
      <c r="E12" s="52">
        <f>'Stavební rozpočet'!I14</f>
        <v>0</v>
      </c>
      <c r="F12" s="52">
        <f>D12+E12</f>
        <v>0</v>
      </c>
      <c r="G12" s="52">
        <f>'Stavební rozpočet'!L14</f>
        <v>0.35694</v>
      </c>
      <c r="H12" s="52" t="s">
        <v>146</v>
      </c>
      <c r="I12" s="52">
        <f>IF(H12="F",0,F12)</f>
        <v>0</v>
      </c>
    </row>
    <row r="13" spans="1:9" ht="12.75">
      <c r="A13" s="27"/>
      <c r="B13" s="27" t="s">
        <v>59</v>
      </c>
      <c r="C13" s="27" t="s">
        <v>91</v>
      </c>
      <c r="D13" s="52">
        <f>'Stavební rozpočet'!H36</f>
        <v>0</v>
      </c>
      <c r="E13" s="52">
        <f>'Stavební rozpočet'!I36</f>
        <v>0</v>
      </c>
      <c r="F13" s="52">
        <f>D13+E13</f>
        <v>0</v>
      </c>
      <c r="G13" s="52">
        <f>'Stavební rozpočet'!L36</f>
        <v>0.26039</v>
      </c>
      <c r="H13" s="52" t="s">
        <v>146</v>
      </c>
      <c r="I13" s="52">
        <f>IF(H13="F",0,F13)</f>
        <v>0</v>
      </c>
    </row>
    <row r="15" spans="5:6" ht="12.75">
      <c r="E15" s="62" t="s">
        <v>114</v>
      </c>
      <c r="F15" s="65">
        <f>SUM(I11:I13)</f>
        <v>0</v>
      </c>
    </row>
  </sheetData>
  <mergeCells count="17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11.57421875" defaultRowHeight="12.75"/>
  <cols>
    <col min="1" max="1" width="9.140625" customWidth="1"/>
    <col min="2" max="2" width="12.8515625" customWidth="1"/>
    <col min="3" max="3" width="22.8515625" customWidth="1"/>
    <col min="4" max="4" width="10.00390625" customWidth="1"/>
    <col min="5" max="5" width="14.00390625" customWidth="1"/>
    <col min="6" max="6" width="22.8515625" customWidth="1"/>
    <col min="7" max="7" width="9.140625" customWidth="1"/>
    <col min="8" max="8" width="12.8515625" customWidth="1"/>
    <col min="9" max="9" width="22.8515625" customWidth="1"/>
  </cols>
  <sheetData>
    <row r="1" spans="1:9" ht="72.75" customHeight="1">
      <c r="A1" s="106"/>
      <c r="B1" s="66"/>
      <c r="C1" s="88" t="s">
        <v>162</v>
      </c>
      <c r="D1" s="93"/>
      <c r="E1" s="93"/>
      <c r="F1" s="93"/>
      <c r="G1" s="93"/>
      <c r="H1" s="93"/>
      <c r="I1" s="93"/>
    </row>
    <row r="2" spans="1:10" ht="12.75">
      <c r="A2" s="3" t="s">
        <v>1</v>
      </c>
      <c r="B2" s="13"/>
      <c r="C2" s="23" t="str">
        <f>'Stavební rozpočet'!D2</f>
        <v>20190221- Oprava ležatých rozvodů SV, TVU a C- 2.a3.NP  pavilon  A - CENTRUM Rožmitál p.Tř.</v>
      </c>
      <c r="D2" s="39"/>
      <c r="E2" s="36" t="s">
        <v>115</v>
      </c>
      <c r="F2" s="36" t="str">
        <f>'Stavební rozpočet'!J2</f>
        <v> </v>
      </c>
      <c r="G2" s="13"/>
      <c r="H2" s="36" t="s">
        <v>187</v>
      </c>
      <c r="I2" s="100"/>
      <c r="J2" s="4"/>
    </row>
    <row r="3" spans="1:10" ht="25.5" customHeight="1">
      <c r="A3" s="4"/>
      <c r="B3" s="17"/>
      <c r="C3" s="24"/>
      <c r="D3" s="24"/>
      <c r="E3" s="17"/>
      <c r="F3" s="17"/>
      <c r="G3" s="17"/>
      <c r="H3" s="17"/>
      <c r="I3" s="45"/>
      <c r="J3" s="4"/>
    </row>
    <row r="4" spans="1:10" ht="12.75">
      <c r="A4" s="5" t="s">
        <v>2</v>
      </c>
      <c r="B4" s="17"/>
      <c r="C4" s="15" t="str">
        <f>'Stavební rozpočet'!D4</f>
        <v> </v>
      </c>
      <c r="D4" s="17"/>
      <c r="E4" s="15" t="s">
        <v>116</v>
      </c>
      <c r="F4" s="15" t="str">
        <f>'Stavební rozpočet'!J4</f>
        <v> </v>
      </c>
      <c r="G4" s="17"/>
      <c r="H4" s="15" t="s">
        <v>187</v>
      </c>
      <c r="I4" s="101"/>
      <c r="J4" s="4"/>
    </row>
    <row r="5" spans="1:10" ht="12.75">
      <c r="A5" s="4"/>
      <c r="B5" s="17"/>
      <c r="C5" s="17"/>
      <c r="D5" s="17"/>
      <c r="E5" s="17"/>
      <c r="F5" s="17"/>
      <c r="G5" s="17"/>
      <c r="H5" s="17"/>
      <c r="I5" s="45"/>
      <c r="J5" s="4"/>
    </row>
    <row r="6" spans="1:10" ht="12.75">
      <c r="A6" s="5" t="s">
        <v>3</v>
      </c>
      <c r="B6" s="17"/>
      <c r="C6" s="15" t="str">
        <f>'Stavební rozpočet'!D6</f>
        <v> </v>
      </c>
      <c r="D6" s="17"/>
      <c r="E6" s="15" t="s">
        <v>117</v>
      </c>
      <c r="F6" s="15" t="str">
        <f>'Stavební rozpočet'!J6</f>
        <v> </v>
      </c>
      <c r="G6" s="17"/>
      <c r="H6" s="15" t="s">
        <v>187</v>
      </c>
      <c r="I6" s="101"/>
      <c r="J6" s="4"/>
    </row>
    <row r="7" spans="1:10" ht="12.75">
      <c r="A7" s="4"/>
      <c r="B7" s="17"/>
      <c r="C7" s="17"/>
      <c r="D7" s="17"/>
      <c r="E7" s="17"/>
      <c r="F7" s="17"/>
      <c r="G7" s="17"/>
      <c r="H7" s="17"/>
      <c r="I7" s="45"/>
      <c r="J7" s="4"/>
    </row>
    <row r="8" spans="1:10" ht="12.75">
      <c r="A8" s="5" t="s">
        <v>97</v>
      </c>
      <c r="B8" s="17"/>
      <c r="C8" s="15" t="str">
        <f>'Stavební rozpočet'!G4</f>
        <v>01.01.2020</v>
      </c>
      <c r="D8" s="17"/>
      <c r="E8" s="15" t="s">
        <v>98</v>
      </c>
      <c r="F8" s="15" t="str">
        <f>'Stavební rozpočet'!G6</f>
        <v> </v>
      </c>
      <c r="G8" s="17"/>
      <c r="H8" s="27" t="s">
        <v>188</v>
      </c>
      <c r="I8" s="101" t="s">
        <v>32</v>
      </c>
      <c r="J8" s="4"/>
    </row>
    <row r="9" spans="1:10" ht="12.75">
      <c r="A9" s="4"/>
      <c r="B9" s="17"/>
      <c r="C9" s="17"/>
      <c r="D9" s="17"/>
      <c r="E9" s="17"/>
      <c r="F9" s="17"/>
      <c r="G9" s="17"/>
      <c r="H9" s="17"/>
      <c r="I9" s="45"/>
      <c r="J9" s="4"/>
    </row>
    <row r="10" spans="1:10" ht="12.75">
      <c r="A10" s="5" t="s">
        <v>4</v>
      </c>
      <c r="B10" s="17"/>
      <c r="C10" s="15" t="str">
        <f>'Stavební rozpočet'!D8</f>
        <v> </v>
      </c>
      <c r="D10" s="17"/>
      <c r="E10" s="15" t="s">
        <v>118</v>
      </c>
      <c r="F10" s="15" t="str">
        <f>'Stavební rozpočet'!J8</f>
        <v> </v>
      </c>
      <c r="G10" s="17"/>
      <c r="H10" s="27" t="s">
        <v>189</v>
      </c>
      <c r="I10" s="105" t="str">
        <f>'Stavební rozpočet'!G8</f>
        <v>31.10.2019</v>
      </c>
      <c r="J10" s="4"/>
    </row>
    <row r="11" spans="1:10" ht="12.75">
      <c r="A11" s="67"/>
      <c r="B11" s="66"/>
      <c r="C11" s="66"/>
      <c r="D11" s="66"/>
      <c r="E11" s="66"/>
      <c r="F11" s="66"/>
      <c r="G11" s="66"/>
      <c r="H11" s="66"/>
      <c r="I11" s="102"/>
      <c r="J11" s="4"/>
    </row>
    <row r="12" spans="1:9" ht="23.25" customHeight="1">
      <c r="A12" s="68" t="s">
        <v>147</v>
      </c>
      <c r="B12" s="79"/>
      <c r="C12" s="79"/>
      <c r="D12" s="79"/>
      <c r="E12" s="79"/>
      <c r="F12" s="79"/>
      <c r="G12" s="79"/>
      <c r="H12" s="79"/>
      <c r="I12" s="79"/>
    </row>
    <row r="13" spans="1:10" ht="26.25" customHeight="1">
      <c r="A13" s="69" t="s">
        <v>148</v>
      </c>
      <c r="B13" s="80" t="s">
        <v>160</v>
      </c>
      <c r="C13" s="89"/>
      <c r="D13" s="69" t="s">
        <v>163</v>
      </c>
      <c r="E13" s="80" t="s">
        <v>172</v>
      </c>
      <c r="F13" s="89"/>
      <c r="G13" s="69" t="s">
        <v>173</v>
      </c>
      <c r="H13" s="80" t="s">
        <v>190</v>
      </c>
      <c r="I13" s="89"/>
      <c r="J13" s="4"/>
    </row>
    <row r="14" spans="1:10" ht="15" customHeight="1">
      <c r="A14" s="70" t="s">
        <v>149</v>
      </c>
      <c r="B14" s="81" t="s">
        <v>161</v>
      </c>
      <c r="C14" s="96">
        <f>SUM('Stavební rozpočet'!R12:R40)</f>
        <v>0</v>
      </c>
      <c r="D14" s="94" t="s">
        <v>164</v>
      </c>
      <c r="E14" s="95"/>
      <c r="F14" s="96">
        <v>0</v>
      </c>
      <c r="G14" s="94" t="s">
        <v>174</v>
      </c>
      <c r="H14" s="95"/>
      <c r="I14" s="96">
        <v>0</v>
      </c>
      <c r="J14" s="4"/>
    </row>
    <row r="15" spans="1:10" ht="15" customHeight="1">
      <c r="A15" s="71"/>
      <c r="B15" s="81" t="s">
        <v>119</v>
      </c>
      <c r="C15" s="96">
        <f>SUM('Stavební rozpočet'!S12:S40)</f>
        <v>0</v>
      </c>
      <c r="D15" s="94" t="s">
        <v>165</v>
      </c>
      <c r="E15" s="95"/>
      <c r="F15" s="96">
        <v>0</v>
      </c>
      <c r="G15" s="94" t="s">
        <v>175</v>
      </c>
      <c r="H15" s="95"/>
      <c r="I15" s="96">
        <v>0</v>
      </c>
      <c r="J15" s="4"/>
    </row>
    <row r="16" spans="1:10" ht="15" customHeight="1">
      <c r="A16" s="70" t="s">
        <v>150</v>
      </c>
      <c r="B16" s="81" t="s">
        <v>161</v>
      </c>
      <c r="C16" s="96">
        <f>SUM('Stavební rozpočet'!T12:T40)</f>
        <v>0</v>
      </c>
      <c r="D16" s="94" t="s">
        <v>166</v>
      </c>
      <c r="E16" s="95"/>
      <c r="F16" s="96">
        <v>0</v>
      </c>
      <c r="G16" s="94" t="s">
        <v>176</v>
      </c>
      <c r="H16" s="95"/>
      <c r="I16" s="96">
        <v>0</v>
      </c>
      <c r="J16" s="4"/>
    </row>
    <row r="17" spans="1:10" ht="15" customHeight="1">
      <c r="A17" s="71"/>
      <c r="B17" s="81" t="s">
        <v>119</v>
      </c>
      <c r="C17" s="96">
        <f>SUM('Stavební rozpočet'!U12:U40)</f>
        <v>0</v>
      </c>
      <c r="D17" s="94"/>
      <c r="E17" s="95"/>
      <c r="F17" s="97"/>
      <c r="G17" s="94" t="s">
        <v>177</v>
      </c>
      <c r="H17" s="95"/>
      <c r="I17" s="96">
        <v>0</v>
      </c>
      <c r="J17" s="4"/>
    </row>
    <row r="18" spans="1:10" ht="15" customHeight="1">
      <c r="A18" s="70" t="s">
        <v>151</v>
      </c>
      <c r="B18" s="81" t="s">
        <v>161</v>
      </c>
      <c r="C18" s="96">
        <f>SUM('Stavební rozpočet'!V12:V40)</f>
        <v>0</v>
      </c>
      <c r="D18" s="94"/>
      <c r="E18" s="95"/>
      <c r="F18" s="97"/>
      <c r="G18" s="94" t="s">
        <v>178</v>
      </c>
      <c r="H18" s="95"/>
      <c r="I18" s="96">
        <v>0</v>
      </c>
      <c r="J18" s="4"/>
    </row>
    <row r="19" spans="1:10" ht="15" customHeight="1">
      <c r="A19" s="71"/>
      <c r="B19" s="81" t="s">
        <v>119</v>
      </c>
      <c r="C19" s="96">
        <f>SUM('Stavební rozpočet'!W12:W40)</f>
        <v>0</v>
      </c>
      <c r="D19" s="94"/>
      <c r="E19" s="95"/>
      <c r="F19" s="97"/>
      <c r="G19" s="94" t="s">
        <v>179</v>
      </c>
      <c r="H19" s="95"/>
      <c r="I19" s="96">
        <v>0</v>
      </c>
      <c r="J19" s="4"/>
    </row>
    <row r="20" spans="1:10" ht="15" customHeight="1">
      <c r="A20" s="72" t="s">
        <v>152</v>
      </c>
      <c r="B20" s="82"/>
      <c r="C20" s="96">
        <f>SUM('Stavební rozpočet'!X12:X40)</f>
        <v>0</v>
      </c>
      <c r="D20" s="94"/>
      <c r="E20" s="95"/>
      <c r="F20" s="97"/>
      <c r="G20" s="94"/>
      <c r="H20" s="95"/>
      <c r="I20" s="97"/>
      <c r="J20" s="4"/>
    </row>
    <row r="21" spans="1:10" ht="15" customHeight="1">
      <c r="A21" s="72" t="s">
        <v>153</v>
      </c>
      <c r="B21" s="82"/>
      <c r="C21" s="96">
        <f>SUM('Stavební rozpočet'!P12:P40)</f>
        <v>0</v>
      </c>
      <c r="D21" s="94"/>
      <c r="E21" s="95"/>
      <c r="F21" s="97"/>
      <c r="G21" s="94"/>
      <c r="H21" s="95"/>
      <c r="I21" s="97"/>
      <c r="J21" s="4"/>
    </row>
    <row r="22" spans="1:10" ht="16.5" customHeight="1">
      <c r="A22" s="72" t="s">
        <v>154</v>
      </c>
      <c r="B22" s="82"/>
      <c r="C22" s="96">
        <f>SUM(C14:C21)</f>
        <v>0</v>
      </c>
      <c r="D22" s="72" t="s">
        <v>167</v>
      </c>
      <c r="E22" s="82"/>
      <c r="F22" s="96">
        <f>SUM(F14:F21)</f>
        <v>0</v>
      </c>
      <c r="G22" s="72" t="s">
        <v>180</v>
      </c>
      <c r="H22" s="82"/>
      <c r="I22" s="96">
        <f>SUM(I14:I21)</f>
        <v>0</v>
      </c>
      <c r="J22" s="4"/>
    </row>
    <row r="23" spans="1:10" ht="15" customHeight="1">
      <c r="A23" s="13"/>
      <c r="B23" s="13"/>
      <c r="C23" s="44"/>
      <c r="D23" s="72" t="s">
        <v>168</v>
      </c>
      <c r="E23" s="82"/>
      <c r="F23" s="98">
        <v>0</v>
      </c>
      <c r="G23" s="72" t="s">
        <v>181</v>
      </c>
      <c r="H23" s="82"/>
      <c r="I23" s="96">
        <v>0</v>
      </c>
      <c r="J23" s="4"/>
    </row>
    <row r="24" spans="4:9" ht="15" customHeight="1">
      <c r="D24" s="13"/>
      <c r="E24" s="13"/>
      <c r="F24" s="99"/>
      <c r="G24" s="72" t="s">
        <v>182</v>
      </c>
      <c r="H24" s="82"/>
      <c r="I24" s="103"/>
    </row>
    <row r="25" spans="6:10" ht="15" customHeight="1">
      <c r="F25" s="45"/>
      <c r="G25" s="72" t="s">
        <v>183</v>
      </c>
      <c r="H25" s="82"/>
      <c r="I25" s="96">
        <v>0</v>
      </c>
      <c r="J25" s="4"/>
    </row>
    <row r="26" spans="1:9" ht="12.75">
      <c r="A26" s="66"/>
      <c r="B26" s="66"/>
      <c r="C26" s="66"/>
      <c r="G26" s="13"/>
      <c r="H26" s="13"/>
      <c r="I26" s="13"/>
    </row>
    <row r="27" spans="1:9" ht="15" customHeight="1">
      <c r="A27" s="73" t="s">
        <v>155</v>
      </c>
      <c r="B27" s="83"/>
      <c r="C27" s="104">
        <f>SUM('Stavební rozpočet'!Z12:Z40)</f>
        <v>0</v>
      </c>
      <c r="D27" s="67"/>
      <c r="E27" s="66"/>
      <c r="F27" s="66"/>
      <c r="G27" s="66"/>
      <c r="H27" s="66"/>
      <c r="I27" s="66"/>
    </row>
    <row r="28" spans="1:10" ht="15" customHeight="1">
      <c r="A28" s="73" t="s">
        <v>156</v>
      </c>
      <c r="B28" s="83"/>
      <c r="C28" s="104">
        <f>SUM('Stavební rozpočet'!AA12:AA40)+(F22+I22+F23+I23+I24+I25)</f>
        <v>0</v>
      </c>
      <c r="D28" s="73" t="s">
        <v>169</v>
      </c>
      <c r="E28" s="83"/>
      <c r="F28" s="104">
        <f>ROUND(C28*(15/100),2)</f>
        <v>0</v>
      </c>
      <c r="G28" s="73" t="s">
        <v>184</v>
      </c>
      <c r="H28" s="83"/>
      <c r="I28" s="104">
        <f>SUM(C27:C29)</f>
        <v>0</v>
      </c>
      <c r="J28" s="4"/>
    </row>
    <row r="29" spans="1:10" ht="15" customHeight="1">
      <c r="A29" s="73" t="s">
        <v>157</v>
      </c>
      <c r="B29" s="83"/>
      <c r="C29" s="104">
        <f>SUM('Stavební rozpočet'!AB12:AB40)</f>
        <v>0</v>
      </c>
      <c r="D29" s="73" t="s">
        <v>170</v>
      </c>
      <c r="E29" s="83"/>
      <c r="F29" s="104">
        <f>ROUND(C29*(21/100),2)</f>
        <v>0</v>
      </c>
      <c r="G29" s="73" t="s">
        <v>185</v>
      </c>
      <c r="H29" s="83"/>
      <c r="I29" s="104">
        <f>SUM(F28:F29)+I28</f>
        <v>0</v>
      </c>
      <c r="J29" s="4"/>
    </row>
    <row r="30" spans="1:9" ht="12.75">
      <c r="A30" s="74"/>
      <c r="B30" s="74"/>
      <c r="C30" s="74"/>
      <c r="D30" s="74"/>
      <c r="E30" s="74"/>
      <c r="F30" s="74"/>
      <c r="G30" s="74"/>
      <c r="H30" s="74"/>
      <c r="I30" s="74"/>
    </row>
    <row r="31" spans="1:10" ht="14.25" customHeight="1">
      <c r="A31" s="75" t="s">
        <v>158</v>
      </c>
      <c r="B31" s="84"/>
      <c r="C31" s="90"/>
      <c r="D31" s="75" t="s">
        <v>171</v>
      </c>
      <c r="E31" s="84"/>
      <c r="F31" s="90"/>
      <c r="G31" s="75" t="s">
        <v>186</v>
      </c>
      <c r="H31" s="84"/>
      <c r="I31" s="90"/>
      <c r="J31" s="51"/>
    </row>
    <row r="32" spans="1:10" ht="14.25" customHeight="1">
      <c r="A32" s="76"/>
      <c r="B32" s="85"/>
      <c r="C32" s="91"/>
      <c r="D32" s="76"/>
      <c r="E32" s="85"/>
      <c r="F32" s="91"/>
      <c r="G32" s="76"/>
      <c r="H32" s="85"/>
      <c r="I32" s="91"/>
      <c r="J32" s="51"/>
    </row>
    <row r="33" spans="1:10" ht="14.25" customHeight="1">
      <c r="A33" s="76"/>
      <c r="B33" s="85"/>
      <c r="C33" s="91"/>
      <c r="D33" s="76"/>
      <c r="E33" s="85"/>
      <c r="F33" s="91"/>
      <c r="G33" s="76"/>
      <c r="H33" s="85"/>
      <c r="I33" s="91"/>
      <c r="J33" s="51"/>
    </row>
    <row r="34" spans="1:10" ht="14.25" customHeight="1">
      <c r="A34" s="76"/>
      <c r="B34" s="85"/>
      <c r="C34" s="91"/>
      <c r="D34" s="76"/>
      <c r="E34" s="85"/>
      <c r="F34" s="91"/>
      <c r="G34" s="76"/>
      <c r="H34" s="85"/>
      <c r="I34" s="91"/>
      <c r="J34" s="51"/>
    </row>
    <row r="35" spans="1:10" ht="14.25" customHeight="1">
      <c r="A35" s="77" t="s">
        <v>159</v>
      </c>
      <c r="B35" s="86"/>
      <c r="C35" s="92"/>
      <c r="D35" s="77" t="s">
        <v>159</v>
      </c>
      <c r="E35" s="86"/>
      <c r="F35" s="92"/>
      <c r="G35" s="77" t="s">
        <v>159</v>
      </c>
      <c r="H35" s="86"/>
      <c r="I35" s="92"/>
      <c r="J35" s="51"/>
    </row>
    <row r="36" spans="1:9" ht="11.25" customHeight="1">
      <c r="A36" s="78" t="s">
        <v>33</v>
      </c>
      <c r="B36" s="87"/>
      <c r="C36" s="87"/>
      <c r="D36" s="87"/>
      <c r="E36" s="87"/>
      <c r="F36" s="87"/>
      <c r="G36" s="87"/>
      <c r="H36" s="87"/>
      <c r="I36" s="87"/>
    </row>
    <row r="37" spans="1:9" ht="12.75">
      <c r="A37" s="15"/>
      <c r="B37" s="17"/>
      <c r="C37" s="17"/>
      <c r="D37" s="17"/>
      <c r="E37" s="17"/>
      <c r="F37" s="17"/>
      <c r="G37" s="17"/>
      <c r="H37" s="17"/>
      <c r="I37" s="17"/>
    </row>
  </sheetData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