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45" activeTab="9"/>
  </bookViews>
  <sheets>
    <sheet name="Rekapitulace" sheetId="1" r:id="rId1"/>
    <sheet name="SO 101" sheetId="2" r:id="rId2"/>
    <sheet name="SO 201" sheetId="3" r:id="rId3"/>
    <sheet name="VYKAZ_VYMER_SO201" sheetId="4" r:id="rId4"/>
    <sheet name="SO 202" sheetId="5" r:id="rId5"/>
    <sheet name="VYKAZ_VYMER_SO202" sheetId="6" r:id="rId6"/>
    <sheet name="SO 203" sheetId="7" r:id="rId7"/>
    <sheet name="SO 301" sheetId="8" r:id="rId8"/>
    <sheet name="SO 401" sheetId="9" r:id="rId9"/>
    <sheet name="VON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data_BodNazev">'[1]DATA'!$D$11</definedName>
    <definedName name="data_BodPopis">'[1]DATA'!$D$15</definedName>
    <definedName name="dd" localSheetId="3">'[2]NK2_MNQ_roznos MVL'!#REF!</definedName>
    <definedName name="dd">'[2]NK2_MNQ_roznos MVL'!#REF!</definedName>
    <definedName name="G">'[3]DATA'!$D$15</definedName>
    <definedName name="h_podp">#REF!</definedName>
    <definedName name="kszs_PouziteZS">'[5]KOMBINACE SZS'!$C$47</definedName>
    <definedName name="kszs_SZSImportFile">#REF!</definedName>
    <definedName name="KZFileName">#REF!</definedName>
    <definedName name="mí_x">#REF!</definedName>
    <definedName name="mí_y">#REF!</definedName>
    <definedName name="mnqnk2" localSheetId="3">'[2]NK2_MNQ_roznos MVL'!#REF!</definedName>
    <definedName name="mnqnk2">'[2]NK2_MNQ_roznos MVL'!#REF!</definedName>
    <definedName name="mosty">#REF!</definedName>
    <definedName name="_xlnm.Print_Area" localSheetId="2">'SO 201'!$A$1:$J$41</definedName>
    <definedName name="_xlnm.Print_Area" localSheetId="4">'SO 202'!$A$1:$J$465</definedName>
    <definedName name="_xlnm.Print_Area" localSheetId="9">'VON'!$A$1:$J$138</definedName>
    <definedName name="_xlnm.Print_Area" localSheetId="3">'VYKAZ_VYMER_SO201'!$A$1:$L$39</definedName>
    <definedName name="_xlnm.Print_Area" localSheetId="5">'VYKAZ_VYMER_SO202'!$A$1:$I$534</definedName>
    <definedName name="pokus">#REF!</definedName>
    <definedName name="pokus1">#REF!,#REF!</definedName>
    <definedName name="prutxx">#REF!</definedName>
    <definedName name="S">'[3]DATA'!$D$11</definedName>
    <definedName name="Tab_a_domi">#REF!</definedName>
    <definedName name="Tab_comb_gr">#REF!</definedName>
    <definedName name="Tab_comb_ksi0">#REF!</definedName>
    <definedName name="Tab_comb_ksi1">#REF!</definedName>
    <definedName name="Tab_mnv1">#REF!</definedName>
    <definedName name="Tab_q_domi">#REF!</definedName>
    <definedName name="Tab_souc_zat">#REF!</definedName>
    <definedName name="Tab_x" localSheetId="3">'[6]GM'!#REF!</definedName>
    <definedName name="Tab_x">'[6]GM'!#REF!</definedName>
    <definedName name="Tab_y" localSheetId="3">'[6]GM'!#REF!</definedName>
    <definedName name="Tab_y">'[6]GM'!#REF!</definedName>
    <definedName name="zahl">#REF!,#REF!</definedName>
    <definedName name="ZSFileName">#REF!</definedName>
  </definedNames>
  <calcPr fullCalcOnLoad="1"/>
</workbook>
</file>

<file path=xl/sharedStrings.xml><?xml version="1.0" encoding="utf-8"?>
<sst xmlns="http://schemas.openxmlformats.org/spreadsheetml/2006/main" count="4799" uniqueCount="1223">
  <si>
    <t>Soupis objektů s DPH</t>
  </si>
  <si>
    <t>Stavba: 6822 - III/27922 Loukov, most</t>
  </si>
  <si>
    <t>Odbytová cena:</t>
  </si>
  <si>
    <t>OC+DPH:</t>
  </si>
  <si>
    <t>Objekt</t>
  </si>
  <si>
    <t>Popis</t>
  </si>
  <si>
    <t>OC</t>
  </si>
  <si>
    <t>DPH</t>
  </si>
  <si>
    <t>OC+DPH</t>
  </si>
  <si>
    <t>ASPE230</t>
  </si>
  <si>
    <t>S</t>
  </si>
  <si>
    <t>Stavba:</t>
  </si>
  <si>
    <t>6822</t>
  </si>
  <si>
    <t>III/27922 Loukov, most</t>
  </si>
  <si>
    <t>O</t>
  </si>
  <si>
    <t>Rozpočet:</t>
  </si>
  <si>
    <t>0,00</t>
  </si>
  <si>
    <t>15,00</t>
  </si>
  <si>
    <t>21,00</t>
  </si>
  <si>
    <t>3</t>
  </si>
  <si>
    <t>2</t>
  </si>
  <si>
    <t>SO 101</t>
  </si>
  <si>
    <t>Úprava silnice III/27922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</si>
  <si>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</si>
  <si>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</si>
  <si>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</si>
  <si>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</si>
  <si>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</si>
  <si>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</si>
  <si>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</si>
  <si>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</si>
  <si>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</si>
  <si>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</si>
  <si>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</si>
  <si>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</si>
  <si>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</si>
  <si>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</si>
  <si>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</si>
  <si>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</si>
  <si>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</si>
  <si>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Cenová soustava</t>
  </si>
  <si>
    <t>11</t>
  </si>
  <si>
    <t>SD</t>
  </si>
  <si>
    <t>Všeobecné podmínky</t>
  </si>
  <si>
    <t>P</t>
  </si>
  <si>
    <t>014101</t>
  </si>
  <si>
    <t/>
  </si>
  <si>
    <t>POPLATKY ZA SKLÁDKU</t>
  </si>
  <si>
    <t>M3</t>
  </si>
  <si>
    <t>2018_OTSKP</t>
  </si>
  <si>
    <t>PP</t>
  </si>
  <si>
    <t>zemina</t>
  </si>
  <si>
    <t>VV</t>
  </si>
  <si>
    <t>148,1+95,8</t>
  </si>
  <si>
    <t>TS</t>
  </si>
  <si>
    <t>zahrnuje veškeré poplatky provozovateli skládky související s uložením odpadu na skládce.</t>
  </si>
  <si>
    <t>014102</t>
  </si>
  <si>
    <t>T</t>
  </si>
  <si>
    <t>vybouraný asfaltový beton</t>
  </si>
  <si>
    <t>55,63*2,54</t>
  </si>
  <si>
    <t>podkladní vrstvy komunikací</t>
  </si>
  <si>
    <t>77,7*1,8</t>
  </si>
  <si>
    <t>beton, kameny</t>
  </si>
  <si>
    <t>7,8*2,2</t>
  </si>
  <si>
    <t>Zemní práce</t>
  </si>
  <si>
    <t>113138</t>
  </si>
  <si>
    <t>ODSTRANĚNÍ KRYTU ZPEVNĚNÝCH PLOCH S ASFALT POJIVEM, ODVOZ DO 20KM</t>
  </si>
  <si>
    <t>bourání krytu vozovky 491 m2 *0,11 + bourání krytu chodníku 27 m2* 0,06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</si>
  <si>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</si>
  <si>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113721</t>
  </si>
  <si>
    <t>FRÉZOVÁNÍ ZPEVNĚNÝCH PLOCH ASFALTOVÝCH, ODVOZ DO 1KM</t>
  </si>
  <si>
    <t>bude použito pro položku 56362</t>
  </si>
  <si>
    <t>frézování a odstranění krytu pro napojení na starou vozovku  12 m2 *0,04</t>
  </si>
  <si>
    <t>7</t>
  </si>
  <si>
    <t>113328</t>
  </si>
  <si>
    <t>ODSTRAN PODKL ZPEVNĚNÝCH PLOCH Z KAMENIVA NESTMEL, ODVOZ DO 20KM</t>
  </si>
  <si>
    <t>odstranění podkladu vozovky a chodníku 518 m2 *0,15</t>
  </si>
  <si>
    <t>8</t>
  </si>
  <si>
    <t>113534</t>
  </si>
  <si>
    <t>ODSTRANĚNÍ CHODNÍKOVÝCH KAMENNÝCH OBRUBNÍKŮ, ODVOZ DO 5KM</t>
  </si>
  <si>
    <t>M</t>
  </si>
  <si>
    <t>Odstranění stávajícího kamenného krajníku 110x200x500mm 26,5 m</t>
  </si>
  <si>
    <t>11353B</t>
  </si>
  <si>
    <t>ODSTRANĚNÍ CHODNÍKOVÝCH KAMENNÝCH OBRUBNÍKŮ - DOPRAVA</t>
  </si>
  <si>
    <t>tkm</t>
  </si>
  <si>
    <t>dalších 15 km   0,11*0,2*0,5*26,5*  2,5 t/m3  * 15 km</t>
  </si>
  <si>
    <t>Položka zahrnuje samostatnou dopravu suti a vybouraných hmot. Množství se určí jako součin hmotnosti [t] a požadované vzdálenosti [km].</t>
  </si>
  <si>
    <t>123838</t>
  </si>
  <si>
    <t>ODKOP PRO SPOD STAVBU SILNIC A ŽELEZNIC TŘ. II, ODVOZ DO 20KM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</si>
  <si>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</si>
  <si>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126838</t>
  </si>
  <si>
    <t>ZŘÍZENÍ STUPŇŮ V PODLOŽÍ NÁSYPŮ TŘ. II, ODVOZ DO 20KM</t>
  </si>
  <si>
    <t>9,6+42,2+36,6+7,4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</si>
  <si>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eventuelně nutné druhotné rozpojení odstřelené horniny 
- ruční vykopávky, odstranění kořenů a napadávek 
- pažení, vzepření a rozepření vč. přepažování (vyjma štětových stěn)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</si>
  <si>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12</t>
  </si>
  <si>
    <t>17180</t>
  </si>
  <si>
    <t>ULOŽENÍ SYPANINY DO NÁSYPŮ Z NAKUPOVANÝCH MATERIÁLŮ</t>
  </si>
  <si>
    <t>položka zahrnuje: 
- kompletní provedení zemní konstrukce (násypového tělesa včetně aktivní zóny)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</si>
  <si>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13</t>
  </si>
  <si>
    <t>17581</t>
  </si>
  <si>
    <t>OBSYP POTRUBÍ A OBJEKTŮ Z NAKUPOVANÝCH MATERIÁLŮ</t>
  </si>
  <si>
    <t>Obsyp drenáže z kameniva</t>
  </si>
  <si>
    <t>položka zahrnuje: 
- kompletní provedení zemní konstrukce včetně nákupu a dopravy materiálu dle zadávací dokumentace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</si>
  <si>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14</t>
  </si>
  <si>
    <t>18120</t>
  </si>
  <si>
    <t>ÚPRAVA PLÁNĚ SE ZHUTNĚNÍM V HORNINĚ TŘ. II</t>
  </si>
  <si>
    <t>M2</t>
  </si>
  <si>
    <t>(463+324+73,5+17,25)*1,05</t>
  </si>
  <si>
    <t>položka zahrnuje úpravu pláně včetně vyrovnání výškových rozdílů. Míru zhutnění určuje projekt.</t>
  </si>
  <si>
    <t>15</t>
  </si>
  <si>
    <t>18130</t>
  </si>
  <si>
    <t>ÚPRAVA PLÁNĚ BEZ ZHUTNĚNÍ</t>
  </si>
  <si>
    <t>49,3+345,7</t>
  </si>
  <si>
    <t>položka zahrnuje úpravu pláně včetně vyrovnání výškových rozdílů</t>
  </si>
  <si>
    <t>16</t>
  </si>
  <si>
    <t>18222</t>
  </si>
  <si>
    <t>ROZPROSTŘENÍ ORNICE VE SVAHU V TL DO 0,15M</t>
  </si>
  <si>
    <t>položka zahrnuje: 
nutné přemístění ornice z dočasných skládek vzdálených do 50m 
rozprostření ornice v předepsané tloušťce ve svahu přes 1:5</t>
  </si>
  <si>
    <t>17</t>
  </si>
  <si>
    <t>18242</t>
  </si>
  <si>
    <t>ZALOŽENÍ TRÁVNÍKU HYDROOSEVEM NA ORNICI</t>
  </si>
  <si>
    <t>Zahrnuje dodání předepsané travní směsi, hydroosev na ornici, zalévání, první pokosení, to vše bez ohledu na sklon terénu</t>
  </si>
  <si>
    <t>18</t>
  </si>
  <si>
    <t>18247</t>
  </si>
  <si>
    <t>OŠETŘOVÁNÍ TRÁVNÍKU</t>
  </si>
  <si>
    <t>Zahrnuje pokosení se shrabáním, naložení shrabků na dopravní prostředek, s odvozem a se složením, to vše bez ohledu na sklon terénu 
zahrnuje nutné zalití a hnojení</t>
  </si>
  <si>
    <t>19</t>
  </si>
  <si>
    <t>183511</t>
  </si>
  <si>
    <t>CHEMICKÉ ODPLEVELENÍ CELOPLOŠNÉ</t>
  </si>
  <si>
    <t>položka zahrnuje celoplošný postřik a chemickou likvidace nežádoucích rostlin nebo jejích částí a zabránění jejich dalšímu růstu na urovnaném volném terénu</t>
  </si>
  <si>
    <t>20</t>
  </si>
  <si>
    <t>18600</t>
  </si>
  <si>
    <t>ZALÉVÁNÍ VODOU</t>
  </si>
  <si>
    <t>položka zahrnuje veškerý materiál, výrobky a polotovary, včetně mimostaveništní a vnitrostaveništní dopravy (rovněž přesuny), včetně naložení a složení, případně s uložením</t>
  </si>
  <si>
    <t>Základy</t>
  </si>
  <si>
    <t>21</t>
  </si>
  <si>
    <t>21197</t>
  </si>
  <si>
    <t>OPLÁŠTĚNÍ ODVODŇOVACÍCH ŽEBER Z GEOTEXTILIE</t>
  </si>
  <si>
    <t>geotextilie netkaná PP 300 g/m2 - obalení drenáže</t>
  </si>
  <si>
    <t>položka zahrnuje dodávku předepsané geotextilie, mimostaveništní a vnitrostaveništní dopravu a její uložení včetně potřebných přesahů (nezapočítávají se do výměry)</t>
  </si>
  <si>
    <t>Vodorovné konstrukce</t>
  </si>
  <si>
    <t>22</t>
  </si>
  <si>
    <t>465512</t>
  </si>
  <si>
    <t>DLAŽBY Z LOMOVÉHO KAMENE NA MC</t>
  </si>
  <si>
    <t>78,4*0,2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</si>
  <si>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</si>
  <si>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23</t>
  </si>
  <si>
    <t>451313</t>
  </si>
  <si>
    <t>PODKLADNÍ A VÝPLŇOVÉ VRSTVY Z PROSTÉHO BETONU C16/20</t>
  </si>
  <si>
    <t>pod dlažbu 78,4*0,2 + práh 13,68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</si>
  <si>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</si>
  <si>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Komunikace</t>
  </si>
  <si>
    <t>24</t>
  </si>
  <si>
    <t>574A33</t>
  </si>
  <si>
    <t>ASFALTOVÝ BETON PRO OBRUSNÉ VRSTVY ACO 11 TL. 40MM</t>
  </si>
  <si>
    <t>(287+250)*1,02+12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</si>
  <si>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</si>
  <si>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25</t>
  </si>
  <si>
    <t>572213</t>
  </si>
  <si>
    <t>SPOJOVACÍ POSTŘIK Z EMULZE DO 0,5KG/M2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</si>
  <si>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</si>
  <si>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26</t>
  </si>
  <si>
    <t>572123</t>
  </si>
  <si>
    <t>INFILTRAČNÍ POSTŘIK Z EMULZE DO 1,0KG/M2</t>
  </si>
  <si>
    <t>(287+250)*1,02</t>
  </si>
  <si>
    <t>27</t>
  </si>
  <si>
    <t>574E66</t>
  </si>
  <si>
    <t>ASFALTOVÝ BETON PRO PODKLADNÍ VRSTVY ACP 16+, 16S TL. 70MM</t>
  </si>
  <si>
    <t>28</t>
  </si>
  <si>
    <t>56333</t>
  </si>
  <si>
    <t>VOZOVKOVÉ VRSTVY ZE ŠTĚRKODRTI TL. DO 150MM</t>
  </si>
  <si>
    <t>Štěrkodrť ŠDa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</si>
  <si>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</si>
  <si>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29</t>
  </si>
  <si>
    <t>Štěrkodrť ŠDb</t>
  </si>
  <si>
    <t>(287+250)*1,02+51,5</t>
  </si>
  <si>
    <t>30</t>
  </si>
  <si>
    <t>56335</t>
  </si>
  <si>
    <t>VOZOVKOVÉ VRSTVY ZE ŠTĚRKODRTI TL. DO 250MM</t>
  </si>
  <si>
    <t>99,9+31 + pod krajnicí z kařírku  9,6</t>
  </si>
  <si>
    <t>31</t>
  </si>
  <si>
    <t>56362</t>
  </si>
  <si>
    <t>VOZOVKOVÉ VRSTVY Z RECYKLOVANÉHO MATERIÁLU TL DO 100MM</t>
  </si>
  <si>
    <t>- dodání recyklátu v požadované kvalitě 
- očištění podkladu 
- uložení recyklátu dle předepsaného technologického předpisu, zhutnění vrstvy v předepsané tloušťce 
- zřízení vrstvy bez rozlišení šířky, pokládání vrstvy po etapách, včetně pracovních spar a spojů 
- úpravu napojení, ukončení  
- nezahrnuje postřiky, nátěry</t>
  </si>
  <si>
    <t>32</t>
  </si>
  <si>
    <t>58221</t>
  </si>
  <si>
    <t>DLÁŽDĚNÉ KRYTY Z DROBNÝCH KOSTEK DO LOŽE Z KAMENIVA</t>
  </si>
  <si>
    <t>Drobná kamenná dlažba - ze štípaných kostek, čedič, kroužková vazba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</si>
  <si>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</si>
  <si>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33</t>
  </si>
  <si>
    <t>582312</t>
  </si>
  <si>
    <t>DLÁŽDĚNÉ KRYTY Z MOZAIK KOSTEK VÍCEBAREVNÝCH DO LOŽE Z KAMENIVA</t>
  </si>
  <si>
    <t>Drobná kamenná mozaika - ze štípaných kostek, čedič, kroužková vazba</t>
  </si>
  <si>
    <t>34</t>
  </si>
  <si>
    <t>56932</t>
  </si>
  <si>
    <t>ZPEVNĚNÍ KRAJNIC ZE ŠTĚRKODRTI TL. DO 100MM</t>
  </si>
  <si>
    <t>Krajnice z praného kameniva (kačírek), tl. 100mm</t>
  </si>
  <si>
    <t>- dodání kameniva předepsané kvality a zrnitosti 
- rozprostření a zhutnění vrstvy v předepsané tloušťce 
- zřízení vrstvy bez rozlišení šířky, pokládání vrstvy po etapách</t>
  </si>
  <si>
    <t>35</t>
  </si>
  <si>
    <t>56933</t>
  </si>
  <si>
    <t>ZPEVNĚNÍ KRAJNIC ZE ŠTĚRKODRTI TL. DO 150MM</t>
  </si>
  <si>
    <t>33,3+9,3</t>
  </si>
  <si>
    <t>36</t>
  </si>
  <si>
    <t>58920</t>
  </si>
  <si>
    <t>VÝPLŇ SPAR MODIFIKOVANÝM ASFALTEM</t>
  </si>
  <si>
    <t>položka zahrnuje: 
- dodávku předepsaného materiálu 
- vyčištění a výplň spar tímto materiálem</t>
  </si>
  <si>
    <t>Potrubí</t>
  </si>
  <si>
    <t>37</t>
  </si>
  <si>
    <t>89712</t>
  </si>
  <si>
    <t>VPUSŤ KANALIZAČNÍ ULIČNÍ KOMPLETNÍ Z BETONOVÝCH DÍLCŮ</t>
  </si>
  <si>
    <t>KUS</t>
  </si>
  <si>
    <t>položka zahrnuje: 
- dodávku a osazení předepsaných dílů včetně mříže 
- výplň, těsnění  a tmelení spar a spojů, 
- opatření  povrchů  betonu  izolací  proti zemní vlhkosti v částech, kde přijdou do styku se zeminou nebo kamenivem, 
- předepsané podkladní konstrukce</t>
  </si>
  <si>
    <t>38</t>
  </si>
  <si>
    <t>875342</t>
  </si>
  <si>
    <t>POTRUBÍ DREN Z TRUB PLAST DN DO 200MM DĚROVANÝCH</t>
  </si>
  <si>
    <t>Drenážní trubka DN 160, perforace 240°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</si>
  <si>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</t>
  </si>
  <si>
    <t>Ostatní práce</t>
  </si>
  <si>
    <t>39</t>
  </si>
  <si>
    <t>9113A1</t>
  </si>
  <si>
    <t>SVODIDLO OCEL SILNIČ JEDNOSTR, ÚROVEŇ ZADRŽ N1, N2 - DODÁVKA A MONTÁŽ</t>
  </si>
  <si>
    <t>43+42</t>
  </si>
  <si>
    <t>položka zahrnuje: 
- kompletní dodávku všech dílů ocelového svodidla s předepsanou povrchovou úpravou včetně spojovacích prvků 
- montáž a osazení svodidla, osazení sloupků zaberaněním nebo osazením do betonových bloků (včetně betonových bloků a nutných zemních prací 
- ukončení zapuštěním do betonových bloků (včetně betonového bloku a nutných zemních prací) nebo koncovkou 
- přechod na jiný typ svodidla nebo přes mostní závěr 
- ochranu proti bludným proudům a vývody pro jejich měření 
nezahrnuje odrazky nebo retroreflexní fólie</t>
  </si>
  <si>
    <t>40</t>
  </si>
  <si>
    <t>917425</t>
  </si>
  <si>
    <t>CHODNÍKOVÉ OBRUBY Z KAMENNÝCH OBRUBNÍKŮ ŠÍŘ 200MM</t>
  </si>
  <si>
    <t>Kamenný krajník G3 (žula) 110x200x400-600mm, včetně bet. lože</t>
  </si>
  <si>
    <t>Položka zahrnuje: 
dodání a pokládku kamenných obrubníků o rozměrech předepsaných zadávací dokumentací 
betonové lože i boční betonovou opěrku.</t>
  </si>
  <si>
    <t>41</t>
  </si>
  <si>
    <t>917426</t>
  </si>
  <si>
    <t>CHODNÍKOVÉ OBRUBY Z KAMENNÝCH OBRUBNÍKŮ ŠÍŘ 250MM</t>
  </si>
  <si>
    <t>kamenný obrubník OP6 150x250x500mm včetně bet. lože</t>
  </si>
  <si>
    <t>42</t>
  </si>
  <si>
    <t>919112</t>
  </si>
  <si>
    <t>ŘEZÁNÍ ASFALTOVÉHO KRYTU VOZOVEK TL DO 100MM</t>
  </si>
  <si>
    <t>položka zahrnuje řezání vozovkové vrstvy v předepsané tloušťce, včetně spotřeby vody</t>
  </si>
  <si>
    <t>43</t>
  </si>
  <si>
    <t>91235</t>
  </si>
  <si>
    <t>SMĚR SLOUPKY KOVOVÉ - NÁST NA SVOD VČET ODRAZ PÁSKU</t>
  </si>
  <si>
    <t>položka zahrnuje: 
- dodání a osazení sloupku včetně nutných zemních prací 
- vnitrostaveništní a mimostaveništní doprava 
- odrazky plastové nebo z retroreflexní fólie</t>
  </si>
  <si>
    <t>44</t>
  </si>
  <si>
    <t>914113</t>
  </si>
  <si>
    <t>DOPRAVNÍ ZNAČKY ZÁKLADNÍ VELIKOSTI OCELOVÉ NEREFLEXNÍ - DEMONTÁŽ</t>
  </si>
  <si>
    <t>Položka zahrnuje odstranění, demontáž a odklizení materiálu s odvozem na předepsané místo</t>
  </si>
  <si>
    <t>45</t>
  </si>
  <si>
    <t>9113E3</t>
  </si>
  <si>
    <t>SVODIDLO OCEL SILNIČ JEDNOSTR, ÚROVEŇ ZADRŽ H4 - DEMONTÁŽ S PŘESUNEM</t>
  </si>
  <si>
    <t>položka zahrnuje: 
- demontáž a odstranění zařízení 
- jeho odvoz na předepsané místo</t>
  </si>
  <si>
    <t>46</t>
  </si>
  <si>
    <t>96687</t>
  </si>
  <si>
    <t>VYBOURÁNÍ ULIČNÍCH VPUSTÍ KOMPLETNÍCH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</si>
  <si>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položka zahrnuje veškeré další práce plynoucí z technologického předpisu a z platných předpisů</t>
  </si>
  <si>
    <t>47</t>
  </si>
  <si>
    <t>966158</t>
  </si>
  <si>
    <t>BOURÁNÍ KONSTRUKCÍ Z PROST BETONU S ODVOZEM DO 20KM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</si>
  <si>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</si>
  <si>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SO 201</t>
  </si>
  <si>
    <t>Demolice stáv. most ev.č. 27922-2</t>
  </si>
  <si>
    <t>9,46*2,54</t>
  </si>
  <si>
    <t>31,218*2,5</t>
  </si>
  <si>
    <t>dřevo</t>
  </si>
  <si>
    <t>6,551*0,7</t>
  </si>
  <si>
    <t>stávající asfaltová vozovka na NK 40*4,3*0,06</t>
  </si>
  <si>
    <t>966168</t>
  </si>
  <si>
    <t>BOURÁNÍ KONSTRUKCÍ ZE ŽELEZOBETONU S ODVOZEM DO 20KM</t>
  </si>
  <si>
    <t>Mostovka NK - mezi štětovnicema 40*4,3*0,18</t>
  </si>
  <si>
    <t>966188</t>
  </si>
  <si>
    <t>DEMONTÁŽ KONSTRUKCÍ KOVOVÝCH S ODVOZEM DO 20KM</t>
  </si>
  <si>
    <t>položka zahrnuje: 
- rozebrání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</si>
  <si>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966178</t>
  </si>
  <si>
    <t>BOURÁNÍ KONSTRUKCÍ ZE DŘEVA S ODVOZEM DO 20KM</t>
  </si>
  <si>
    <t>fošna na chodníku (NK+OP1) 45,40*1,35*0,05 
trám 3 x na chodníku (NK+OP1) 45,40*0,48*0,16</t>
  </si>
  <si>
    <t>SO 202</t>
  </si>
  <si>
    <t>Most ev.č. 27922-2</t>
  </si>
  <si>
    <t>886,99+273,075-265,485-201,2</t>
  </si>
  <si>
    <t>135,96*2,5+25,2*2,5</t>
  </si>
  <si>
    <t>111208</t>
  </si>
  <si>
    <t>ODSTRANĚNÍ KŘOVIN S ODVOZEM DO 20KM</t>
  </si>
  <si>
    <t>včetně likvidace odpadu</t>
  </si>
  <si>
    <t>výpočet viz příloha: VÝKAZ VÝMĚR SO 202</t>
  </si>
  <si>
    <t>odstranění křovin a stromů do průměru 100 mm 
doprava dřevin na předepsanou vzdálenost 
spálení na hromadách nebo štěpkování</t>
  </si>
  <si>
    <t>112018</t>
  </si>
  <si>
    <t>KÁCENÍ STROMŮ D KMENE DO 0,5M S ODSTRANĚNÍM PAŘEZŮ, ODVOZ DO 20KM</t>
  </si>
  <si>
    <t>Kácení stromů se měří v [ks] poražených stromů (průměr stromů se měří v místě řezu) a zahrnuje zejména: 
- poražení stromu a osekání větví 
- spálení větví na hromadách nebo štěpkování 
- dopravu a uložení kmenů, případné další práce s nimi dle pokynů zadávací dokumentace 
Odstranění pařezů se měří v [ks] vytrhaných nebo vykopaných pařezů a zahrnuje zejména: 
- vytrhání nebo vykopání pařezů 
- veškeré zemní práce spojené s odstraněním pařezů 
- dopravu a uložení pařezů, případně další práce s nimi dle pokynů zadávací dokumentace 
- zásyp jam po pařezech</t>
  </si>
  <si>
    <t>112028</t>
  </si>
  <si>
    <t>KÁCENÍ STROMŮ D KMENE DO 0,9M S ODSTRANĚNÍM PAŘEZŮ, ODVOZ DO 20KM</t>
  </si>
  <si>
    <t>11231</t>
  </si>
  <si>
    <t>ŠTĚPKOVÁNÍ PAŘEZŮ D DO 0,5M</t>
  </si>
  <si>
    <t>zahrnuje potřebný stroj a odvoz vyzískaného materiálu dle pokynů zadávací dokumentace 
položka je určena pro zpracování hmoty z odstraněných pařezů, které nebyly frézované</t>
  </si>
  <si>
    <t>11232</t>
  </si>
  <si>
    <t>ŠTĚPKOVÁNÍ PAŘEZŮ D DO 0,9M</t>
  </si>
  <si>
    <t>CHODNÍK OBRUBY Z KAMEN ŘEZANÝCH STUPŇŮ ŠÍŘ 150MM, h=210 mm, š. 150 mm, líc 5:1</t>
  </si>
  <si>
    <t>dalších 15 km 0,15*0,21*95,4*2,5*15</t>
  </si>
  <si>
    <t>121108</t>
  </si>
  <si>
    <t>SEJMUTÍ ORNICE NEBO LESNÍ PŮDY S ODVOZEM DO 20KM</t>
  </si>
  <si>
    <t>210*0,15</t>
  </si>
  <si>
    <t>položka zahrnuje sejmutí ornice bez ohledu na tloušťku vrstvy a její vodorovnou dopravu 
nezahrnuje uložení na trvalou skládku</t>
  </si>
  <si>
    <t>11511</t>
  </si>
  <si>
    <t>ČERPÁNÍ VODY DO 500 L/MIN</t>
  </si>
  <si>
    <t>HOD</t>
  </si>
  <si>
    <t>Položka čerpání vody na povrchu zahrnuje i potrubí, pohotovost záložní čerpací soupravy a zřízení čerpací jímky. Součástí položky je také následná demontáž a likvidace těchto zařízení</t>
  </si>
  <si>
    <t>131738</t>
  </si>
  <si>
    <t>HLOUBENÍ JAM ZAPAŽ I NEPAŽ TŘ. I, ODVOZ DO 20KM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</si>
  <si>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eventuelně nutné druhotné rozpojení odstřelené horniny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</si>
  <si>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131938</t>
  </si>
  <si>
    <t>HLOUBENÍ JAM ZAPAŽ I NEPAŽ TŘ. III, ODVOZ DO 20KM</t>
  </si>
  <si>
    <t>125738</t>
  </si>
  <si>
    <t>VYKOPÁVKY ZE ZEMNÍKŮ A SKLÁDEK TŘ. I, ODVOZ DO 20KM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</si>
  <si>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ruční vykopávky, odstranění kořenů a napadávek 
- pažení, vzepření a rozepření vč. přepažování (vyjma štětových stěn) 
- úpravu, ochranu a očištění dna, základové spáry, stěn a svahů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položka nezahrnuje: 
- práce spojené s otvírkou zemníku</t>
  </si>
  <si>
    <t>171101</t>
  </si>
  <si>
    <t>ULOŽENÍ SYPANINY DO NÁSYPŮ SE ZHUTNĚNÍM DO 95% PS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</si>
  <si>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</si>
  <si>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171103</t>
  </si>
  <si>
    <t>ULOŽENÍ SYPANINY DO NÁSYPŮ SE ZHUTNĚNÍM DO 100% PS</t>
  </si>
  <si>
    <t>18110</t>
  </si>
  <si>
    <t>ÚPRAVA PLÁNĚ SE ZHUTNĚNÍM V HORNINĚ TŘ. I</t>
  </si>
  <si>
    <t>210*0,05</t>
  </si>
  <si>
    <t>21341</t>
  </si>
  <si>
    <t>DRENÁŽNÍ VRSTVY Z PLASTBETONU (PLASTMALTY)</t>
  </si>
  <si>
    <t>žlab podél mostu a u závěru, kolem odvodňovačů a trubiček, uložení obrubníků, dilatační spáry říms</t>
  </si>
  <si>
    <t>Položka zahrnuje: 
- dodávku předepsaného materiálu pro drenážní vrstvu, včetně mimostaveništní a vnitrostaveništní dopravy 
- provedení drenážní vrstvy předepsaných rozměrů a předepsaného tvaru</t>
  </si>
  <si>
    <t>21331</t>
  </si>
  <si>
    <t>DRENÁŽNÍ VRSTVY Z BETONU MEZEROVITÉHO (DRENÁŽNÍHO)</t>
  </si>
  <si>
    <t>21361</t>
  </si>
  <si>
    <t>DRENÁŽNÍ VRSTVY Z GEOTEXTILIE</t>
  </si>
  <si>
    <t>1 x vrstva geotextilie na rubu obrubníku</t>
  </si>
  <si>
    <t>0,24*47,7*2</t>
  </si>
  <si>
    <t>Položka zahrnuje: 
- dodávku předepsané geotextilie (včetně nutných přesahů) pro drenážní vrstvu, včetně mimostaveništní a vnitrostaveništní dopravy 
- provedení drenážní vrstvy předepsaných rozměrů a předepsaného tvaru</t>
  </si>
  <si>
    <t>23217A</t>
  </si>
  <si>
    <t>ŠTĚTOVÉ STĚNY BERANĚNÉ Z KOVOVÝCH DÍLCŮ DOČASNÉ (PLOCHA)</t>
  </si>
  <si>
    <t>dočasné pažící konstrukce, včetně kotevních prvků štětovnicové stěny plavebního kanálu, 155 kg/m2</t>
  </si>
  <si>
    <t>35,4*4</t>
  </si>
  <si>
    <t>- zřízení stěny 
- opotřebení štětovnic, případně jejich ošetřování, řezání, nastavování a další úpravy 
- kleštiny, převázky. a další pomocné a doplňkové konstrukce 
- nastražení a zaberanění štětovnic do jakékoliv třídy horniny 
- veškerou dopravu, nájem, provoz a přemístění beranících zařízení a dalších mechanismů 
- lešení a podpěrné konstrukce pro práci a manipulaci beranících zařízení a dalších mechanismů 
- beranící plošiny vč. zemních prací, zpevnění, odvodnění a pod. 
- při provádění z lodi náklady na prám nebo lodi 
- těsnění stěny, je-li nutné 
- kotvení stěny, je-li nutné nebo vzepření, případně rozepření 
- vodící piloty nebo stabilizační hrázky 
- zhotovení koutových štětovnic 
- dílenská dokumentace, včetně technologického předpisu spojování, 
- dodání spojovacího materiálu, 
- zřízení  montážních  a  dilatačních  spojů,  spar, včetně potřebných úprav, vložek, opracování, očištění a ošetření, 
- jakákoliv doprava a manipulace dílců  a  montážních  sestav,  včetně  dopravy konstrukce z výrobny na stavbu, 
- montážní dokumentace včetně technologického předpisu montáže, 
- výplň, těsnění a tmelení spar a spojů,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</t>
  </si>
  <si>
    <t>23717A</t>
  </si>
  <si>
    <t>ODSTRANĚNÍ ŠTĚTOVÝCH STĚN Z KOVOVÝCH DÍLCŮ V PLOŠE</t>
  </si>
  <si>
    <t>položka zahrnuje odstranění stěn včetně odvozu a uložení na skládku</t>
  </si>
  <si>
    <t>28999</t>
  </si>
  <si>
    <t>OPLÁŠTĚNÍ (ZPEVNĚNÍ) Z FÓLIE</t>
  </si>
  <si>
    <t>TĚSNÍCÍ FOLIE</t>
  </si>
  <si>
    <t>Položka zahrnuje: 
- dodávku předepsané fólie 
- úpravu, očištění a ochranu podkladu 
- přichycení k podkladu, případně zatížení 
- úpravy spojů a zajištění okrajů 
- úpravy pro odvodnění 
- nutné přesahy 
- mimostaveništní a vnitrostaveništní dopravu</t>
  </si>
  <si>
    <t>285361</t>
  </si>
  <si>
    <t>KOTVENÍ NA POVRCHU Z BETONÁŘSKÉ VÝZTUŽE DL. DO 3M</t>
  </si>
  <si>
    <t>svorníky zajištění skalního svahu</t>
  </si>
  <si>
    <t>položka zahrnuje dodávku předepsané kotvy, případně její protikorozní úpravu, její osazení do vrtu, zainjektování a napnutí, případně opěrné desky 
nezahrnuje vrty</t>
  </si>
  <si>
    <t>224325</t>
  </si>
  <si>
    <t>PILOTY ZE ŽELEZOBETONU C30/37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</si>
  <si>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 
- zhotovení nepropustného, mrazuvzdorného betonu a betonu požadované trvanlivosti a vlastností 
- užití potřebných přísad a technologií výroby betonu 
- zřízení pracovních a dilatačních spar, včetně potřebných úprav, výplně, vložek, opracování, očištění a ošetření 
- bednění  požadovaných  konstr. (i ztracené) s úpravou  dle požadované  kvality povrchu betonu, včetně odbedňovacích a odskružovacích prostředků 
- podpěrné  konstr. (skruže) a lešení všech druhů pro bednění, uložení čerstvého betonu, výztuže a doplňkových konstr., vč. požadovaných otvorů, ochranných a bezpečnostních opatření a základů těchto konstrukcí a lešení 
- vytvoření kotevních čel, kapes, nálitků, a sedel 
- zřízení  všech  požadovaných  otvorů, kapes, výklenků, prostupů, dutin, drážek a pod., vč. ztížení práce a úprav  kolem nich 
- úpravy pro osazení výztuže, doplňkových konstrukcí a vybavení 
- úpravy povrchu pro položení požadované izolace, povlaků a nátěrů, případně vyspravení 
- upevnění kotevních prvků a doplňkových konstrukcí 
- nátěry zabraňující soudržnost betonu a bednění 
- výplň, těsnění  a tmelení spar a spojů 
- opatření  povrchů  betonu  izolací  proti zemní vlhkosti v částech, kde přijdou do styku se zeminou nebo kamenivem 
- případné zřízení spojovací vrstvy u základů 
- úpravy pro osazení zařízení ochrany konstrukce proti vlivu bludných proudů 
- objem betonu pro přebetonování a nadbetonování, který se nepřičítá ke stanovenému objemu výplně piloty 
- ukončení piloty pod ústím vrtu a vyplnění zbývající části sypaninou nebo kamenivem 
- odbourání a odstranění znehodnocené části výplně a úprava hlavy piloty před výstavbou další konstrukční části 
- zřízení výplně piloty pod hladinou vody 
- veškerý materiál, výrobky a polotovary, včetně mimostaveništní a vnitrostaveništní dopravy 
- nezahrnuje dodání a osazení výztuže, nezahrnuje vrty</t>
  </si>
  <si>
    <t>224365</t>
  </si>
  <si>
    <t>VÝZTUŽ PILOT Z OCELI 10505, B500B</t>
  </si>
  <si>
    <t>položka zahrnuje: 
- veškerý materiál, výrobky a polotovary, včetně mimostaveništní a vnitrostaveništní dopravy 
- dodání betonářské výztuže v požadované kvalitě, stříhání, řezání, ohýbání a spojování do všech požadovaných tvarů (vč. armakošů) a uložení s požadovaným zajištěním polohy a krytí výztuže betonem 
- veškeré svary nebo jiné spoje výztuže 
- pomocné konstrukce a práce pro osazení a upevnění výztuže 
- zednické výpomoci pro montáž betonářské výztuže 
- úpravy výztuže pro osazení doplňkových konstrukcí 
- ochranu výztuže do doby jejího zabetonování 
- úpravy výztuže pro zřízení kotevních prvků, závěsných ok a doplňkových konstrukcí 
- veškerá opatření pro zajištění soudržnosti výztuže a betonu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 
- separaci výztuže 
- osazení měřících zařízení a úpravy pro ně 
- osazení měřících skříní nebo míst pro měření bludných proudů</t>
  </si>
  <si>
    <t>264141</t>
  </si>
  <si>
    <t>VRTY PRO PILOTY TŘ. I D DO 1000MM</t>
  </si>
  <si>
    <t>položka zahrnuje: 
- zřízení vrtu, svislou a vodorovnou dopravu zeminy bez uložení na skládku, vrtací práce zapaž. i nepaž. vrtu 
- čerpání vody z vrtu, vyčištění vrtu 
- zabezpečení vrtacích prací 
- dopravu, nájem, provoz a přemístění, montáž a demontáž vrtacích zařízení a dalších mechanismů 
- lešení a podpěrné konstrukce pro práci a manipulaci s vrtacím zařízení a dalších mechanismů 
- vrtací plošiny vč. zemních prací, zpevnění, odvodnění a pod. 
- v případě zapažení dočasnými pažnicemi jejich opotřebení 
- v případě zapažení suspenzí veškeré hospodaření s ní 
- nezahrnuje zapažení trvalými pažnicemi 
- nezahrnuje uložení zeminy na skládku a poplatek za skládku 
nevykazuje se hluché vrtání</t>
  </si>
  <si>
    <t>264341</t>
  </si>
  <si>
    <t>VRTY PRO PILOTY TŘ. III D DO 1000MM</t>
  </si>
  <si>
    <t>227841</t>
  </si>
  <si>
    <t>MIKROPILOTY KOMPLET D DO 200MM NA POVRCHU</t>
  </si>
  <si>
    <t>TR 108/16</t>
  </si>
  <si>
    <t>Položka mikropiloty obsahuje kompletní práce, které jsou nutné pro předepsanou funkci mikropilot, t.j. dodání trubek a injekčních hmot, osazení a zainjektování trubek, včetně pomocných konstrukcí (lešení, montážní plošiny a pod.). Neobsahuje vrty (uvedou se v položce 261 nebo 266).</t>
  </si>
  <si>
    <t>26134</t>
  </si>
  <si>
    <t>VRTY PRO KOTVENÍ, INJEKTÁŽ A MIKROPILOTY NA POVRCHU TŘ. III D DO 200MM</t>
  </si>
  <si>
    <t>položka zahrnuje: 
přemístění, montáž a demontáž vrtných souprav 
svislou dopravu zeminy z vrtu 
vodorovnou dopravu zeminy bez uložení na skládku 
případně nutné pažení dočasné (včetně odpažení) i trvalé</t>
  </si>
  <si>
    <t>R2900001</t>
  </si>
  <si>
    <t>KOTVY KABELOVÉ TRVALÉ PRO NOSNOST DO 0,16 MN</t>
  </si>
  <si>
    <t>[bez vazby na CS]</t>
  </si>
  <si>
    <t>5*8</t>
  </si>
  <si>
    <t>položka zahrnuje: dodávku a montáž kotev, provedení vrtů, injektáž kořene, napnutí kotev</t>
  </si>
  <si>
    <t>272325</t>
  </si>
  <si>
    <t>ZÁKLADY ZE ŽELEZOBETONU DO C30/37</t>
  </si>
  <si>
    <t>vč. izolace proti zemní vlhkosti</t>
  </si>
  <si>
    <t>- dodání čerstvého betonu (betonové směsi) požadované kvality, jeho uložení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požadovaných konstr. (i ztracené) s úpravou dle požadované kvality povrchu betonu, včetně odbedňovacích a odskružovacích prostředků, 
- podpěrné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všech požadovaných otvorů, kapes, výklenků, prostupů, dutin, drážek a pod., vč. ztížení práce a úprav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a tmelení spar a spojů, 
- opatření povrchů betonu izolací proti zemní vlhkosti v částech, kde přijdou do styku se zeminou nebo kamenivem, 
- případné zřízení spojovací vrstvy u základů, 
- úpravy pro osazení zařízení ochrany konstrukce proti vlivu bludných proudů,</t>
  </si>
  <si>
    <t>272365</t>
  </si>
  <si>
    <t>VÝZTUŽ ZÁKLADŮ Z OCELI 10505, B500B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</si>
  <si>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</si>
  <si>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261513</t>
  </si>
  <si>
    <t>VRTY PRO KOTVENÍ A INJEKTÁŽ TŘ V NA POVRCHU D DO 25MM</t>
  </si>
  <si>
    <t>vrty do obrubníků, vč. odvozu a likvidace vývrtu</t>
  </si>
  <si>
    <t>261316</t>
  </si>
  <si>
    <t>VRTY PRO KOTV, INJEKT, MIKROPIL NA POVRCHU TŘ III D DO 80MM</t>
  </si>
  <si>
    <t>vrty pro tyčové sporníky, pažení stavební jámy OP2, 2 úrovně (dl. 2,0  m + dl. 1,5m) á 2 m, vč. odvozu a likvidace vývrtu</t>
  </si>
  <si>
    <t>vrty pro výplň diskotinuit, vč. odvozu a likvidace vývrtu</t>
  </si>
  <si>
    <t>26155</t>
  </si>
  <si>
    <t>VRTY PRO KOTVENÍ, INJEKTÁŽ A MIKROPILOTY NA POVRCHU TŘ. V D DO 300MM</t>
  </si>
  <si>
    <t>předvrty ve stávajícícm základu na OP1 pro vrtání pilot, vč. odvozu a likvidace vývrtu</t>
  </si>
  <si>
    <t>28932</t>
  </si>
  <si>
    <t>STŘÍKANÝ ŽELEZOBETON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</si>
  <si>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proudů,</t>
  </si>
  <si>
    <t>289366</t>
  </si>
  <si>
    <t>VÝZTUŽ STŘÍKANÉHO BETONU Z KARI SITÍ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</si>
  <si>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 (provedení vrtu, dodání a vsunutí kotvičky, její zalepení předepsaným pojivem),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</si>
  <si>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281451</t>
  </si>
  <si>
    <t>INJEKTOVÁNÍ NÍZKOTLAKÉ Z CEMENTOVÉ MALTY NA POVRCHU</t>
  </si>
  <si>
    <t>výplň diskontinuit v podloží pod opěrou OP2</t>
  </si>
  <si>
    <t>Položka injektážních prací obsahuje kompletní práce, mimo zřízení vrtů (vykazují se položkami 261, 262), které jsou nutné pro předepsanou funkci injektáže (statickou, těsnící a pod.).  
Položka obsahuje vodní tlakové zkoušky před a po injektáži. 
Položka zahrnuje veškerý materiál, výrobky a polotovary, včetně mimostaveništní a vnitrostaveništní dopravy (rovněž přesuny), včetně naložení a složení, případně s uložením.</t>
  </si>
  <si>
    <t>Svislé konstrukce</t>
  </si>
  <si>
    <t>317325</t>
  </si>
  <si>
    <t>ŘÍMSY ZE ŽELEZOBETONU DO C30/37</t>
  </si>
  <si>
    <t>položka zahrnuje: 
- dodání čerstvého betonu (betonové směsi) požadované kvality, jeho uložení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požadovaných konstr. (i ztracené) s úpravou dle požadované kvality povrchu betonu, včetně odbedňovacích a odskružovacích prostředků, 
- podpěrné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všech požadovaných otvorů, kapes, výklenků, prostupů, dutin, drážek a pod., vč. ztížení práce a úprav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a tmelení spar a spojů, 
- opatření povrchů betonu izolací proti zemní vlhkosti v částech, kde přijdou do styku se zeminou nebo kamenivem, 
- případné zřízení spojovací vrstvy u základů, 
- úpravy pro osazení zařízení ochrany konstrukce proti vlivu bludných proudů</t>
  </si>
  <si>
    <t>317365</t>
  </si>
  <si>
    <t>VÝZTUŽ ŘÍMS Z OCELI 10505, B500B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</si>
  <si>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</si>
  <si>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31717</t>
  </si>
  <si>
    <t>KOVOVÉ KONSTRUKCE PRO KOTVENÍ ŘÍMSY</t>
  </si>
  <si>
    <t>KG</t>
  </si>
  <si>
    <t>Položka zahrnuje dodávku (výrobu) kotevního prvku předepsaného tvaru a jeho osazení do předepsané polohy včetně nezbytných prací (vrty, zálivky apod.)</t>
  </si>
  <si>
    <t>333325</t>
  </si>
  <si>
    <t>MOSTNÍ OPĚRY A KŘÍDLA ZE ŽELEZOVÉHO BETONU DO C30/37</t>
  </si>
  <si>
    <t>- dodání čerstvého betonu (betonové směsi) požadované kvality, jeho uložení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požadovaných konstr. (i ztracené) s úpravou dle požadované kvality povrchu betonu, včetně odbedňovacích a odskružovacích prostředků, 
- podpěrné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všech požadovaných otvorů, kapes, výklenků, prostupů, dutin, drážek a pod., vč. ztížení práce a úprav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a tmelení spar a spojů, 
- opatření povrchů betonu izolací proti zemní vlhkosti v částech, kde přijdou do styku se zeminou nebo kamenivem, 
- případné zřízení spojovací vrstvy u základů, 
- úpravy pro osazení zařízení ochrany konstrukce proti vlivu bludných proudů</t>
  </si>
  <si>
    <t>333365</t>
  </si>
  <si>
    <t>VÝZTUŽ MOSTNÍCH OPĚR A KŘÍDEL Z OCELI 10505, B500B</t>
  </si>
  <si>
    <t>333213</t>
  </si>
  <si>
    <t>OBKLAD MOST OPĚR A KŘÍDEL Z LOM KAMENE</t>
  </si>
  <si>
    <t>položka zahrnuje dodávku a osazení lomového kamene, jeho výběr a případnou úpravu, jeho případné kotvení se všemi souvisejícími materiály a pracemi, dodávku předepsané malty, spárování.</t>
  </si>
  <si>
    <t>33311</t>
  </si>
  <si>
    <t>MOSTNÍ OPĚRY A KŘÍDLA Z DÍLCŮ BETON</t>
  </si>
  <si>
    <t>OBKLAD MOST OPĚR A KŘÍDEL Z BETONOVÝCH TVÁRNIC, obklad pod terénem 
včetně  kotvení se všemi souvisejícími materiály a pracemi (předpoklad 12 kotev/m2), dodávku předepsané malty, spárování, celková tl. 200 mm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</si>
  <si>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</si>
  <si>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318124</t>
  </si>
  <si>
    <t>ZDI ODDĚLOVACÍ A OHRADNÍ Z DÍLCŮ ŽELEZOBETON DO C25/30</t>
  </si>
  <si>
    <t>podezdívka plotu</t>
  </si>
  <si>
    <t>327212</t>
  </si>
  <si>
    <t>ZDI OPĚRNÉ, ZÁRUBNÍ, NÁBŘEŽNÍ Z LOMOVÉHO KAMENE NA MC</t>
  </si>
  <si>
    <t>položka zahrnuje dodávku a osazení lomového kamene, jeho výběr a případnou úpravu, dodávku předepsané malty, spárování.</t>
  </si>
  <si>
    <t>451312</t>
  </si>
  <si>
    <t>PODKLADNÍ A VÝPLŇOVÉ VRSTVY Z PROSTÉHO BETONU C12/15</t>
  </si>
  <si>
    <t>PODKLADNÍ BETON</t>
  </si>
  <si>
    <t>451314</t>
  </si>
  <si>
    <t>PODKLADNÍ A VÝPLŇOVÉ VRSTVY Z PROSTÉHO BETONU C25/30</t>
  </si>
  <si>
    <t>TĚSNÍCÍ VRSTVA PŘECHODOVÁ OBLAST</t>
  </si>
  <si>
    <t>vyrovnání terénu pod dlažby</t>
  </si>
  <si>
    <t>46451</t>
  </si>
  <si>
    <t>POHOZ DNA A SVAHŮ Z LOMOVÉHO KAMENE</t>
  </si>
  <si>
    <t>kamenný zához opěry OP1 na levém břehu Jizery (kámen min. 100 kg/ks)</t>
  </si>
  <si>
    <t>položka zahrnuje dodávku předepsaného kamene, mimostaveništní a vnitrostaveništní dopravu a jeho uložení 
není-li v zadávací dokumentaci uvedeno jinak, jedná se o nakupovaný materiál</t>
  </si>
  <si>
    <t>R42194X1</t>
  </si>
  <si>
    <t>421326</t>
  </si>
  <si>
    <t>MOSTNÍ NOSNÉ DESKOVÉ KONSTRUKCE ZE ŽELEZOBETONU C40/50</t>
  </si>
  <si>
    <t>421365</t>
  </si>
  <si>
    <t>VÝZTUŽ MOSTNÍ DESKOVÉ KONSTRUKCE Z OCELI 10505, B500B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</si>
  <si>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74. 
- povrchovou antikorozní úpravu výztuže, 
- separaci výztuže, 
- osazení měřících zařízení a úpravy pro ně, 
- osazení měřících skříní nebo míst pro měření bludných proudů.</t>
  </si>
  <si>
    <t>428993</t>
  </si>
  <si>
    <t>MOSTNÍ LOŽISKA OSTATNÍ PRO ZATÍŽ DO 5,0MN</t>
  </si>
  <si>
    <t>PEVNÉ</t>
  </si>
  <si>
    <t>- výrobní dokumentaci, jde-li o ložisko individuálně vyráběné 
- dodání kompletních ložisek požadované kvality 
- přípravu, očištění a úpravy úložných ploch 
- osazení ložisek podle předepsaného technologického předpisu bez ohledu na způsob uložení a kotvení 
- uložení do malty jakéhokoliv druhu včetně dodávky této malty 
- uložení na plastické vložky nebo maltu včetně dodávky této vložky nebo malty 
- uložení na vrstvu plastbetonové malty nebo podobné vrstvy jako ochranu proti průchodu bludných proudů 
- vyplnění kotevních otvorů 
- lešení a podpěrné konstrukce 
- tmelení, těsnění a výplně spar 
- nastavení ložisek a odborná prohlídka 
- dočasné zpevnění nebo naopak dočasné uvolnění ložisek 
- opatření ložisek znakem výrobce a typovým číslem 
- úpravy, očištění a ošetření okolí ložisek 
- přiměřeným způsobem je nutné zahrnout ustanovení pro TMCH 94 pro kovové konstrukce.</t>
  </si>
  <si>
    <t>JEDNOSMĚRNĚ POSUVNÉ</t>
  </si>
  <si>
    <t>VŠESMĚRNÉ</t>
  </si>
  <si>
    <t>46452</t>
  </si>
  <si>
    <t>POHOZ DNA A SVAHŮ Z KAMENIVA DRCENÉHO</t>
  </si>
  <si>
    <t>položka zahrnuje dodávku předepsaného kameniva, mimostaveništní a vnitrostaveništní dopravu a jeho uložení 
není-li v zadávací dokumentaci uvedeno jinak, jedná se o nakupovaný materiál</t>
  </si>
  <si>
    <t>575C43</t>
  </si>
  <si>
    <t>LITÝ ASFALT MA IV (OCHRANA MOSTNÍ IZOLACE) 11 TL. 35MM</t>
  </si>
  <si>
    <t>575C03</t>
  </si>
  <si>
    <t>LITÝ ASFALT MA IV (OCHRANA MOSTNÍ IZOLACE) 11</t>
  </si>
  <si>
    <t>TL. 80 MM, odvodňovací proužek</t>
  </si>
  <si>
    <t>(1+45.7+1)*2*0.5*0,08</t>
  </si>
  <si>
    <t>582301</t>
  </si>
  <si>
    <t>DLÁŽDĚNÉ KRYTY Z MOZAIK KOSTEK JEDNOBAREV BEZ LOŽE</t>
  </si>
  <si>
    <t>- dodání dlažebního materiálu v požadované kvalitě, dodání materiálu pro předepsanou výplň spar 
- očištění podkladu 
- uložení dlažby dle předepsaného technologického předpisu včetně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</si>
  <si>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Úpravy povrchů, podlahy, výplně otvorů</t>
  </si>
  <si>
    <t>626212</t>
  </si>
  <si>
    <t>REPROFILACE VODOROVNÝCH PLOCH SHORA SANAČNÍ MALTOU JEDNOVRST TL 20MM</t>
  </si>
  <si>
    <t>podkladní vrstva kamenné mozaiky</t>
  </si>
  <si>
    <t>položka zahrnuje: 
dodávku veškerého materiálu potřebného pro předepsanou úpravu v předepsané kvalitě 
nutné vyspravení podkladu, případně zatření spar zdiva 
položení vrstvy v předepsané tloušťce 
potřebná lešení a podpěrné konstrukce</t>
  </si>
  <si>
    <t>626122</t>
  </si>
  <si>
    <t>REPROFILACE PODHLEDŮ, SVISLÝCH PLOCH SANAČNÍ MALTOU DVOUVRST TL 50MM</t>
  </si>
  <si>
    <t>podkladní vrstva kamenného obkladu</t>
  </si>
  <si>
    <t>Přidružená stavební výroba</t>
  </si>
  <si>
    <t>711111</t>
  </si>
  <si>
    <t>IZOLACE BĚŽNÝCH KONSTRUKCÍ PROTI ZEMNÍ VLHKOSTI ASFALTOVÝMI NÁTĚRY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</si>
  <si>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geotextilii</t>
  </si>
  <si>
    <t>711412</t>
  </si>
  <si>
    <t>IZOLACE MOSTOVEK CELOPLOŠNÁ ASFALTOVÝMI PÁSY</t>
  </si>
  <si>
    <t>izolace tl. 5 mm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</si>
  <si>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</si>
  <si>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711502</t>
  </si>
  <si>
    <t>OCHRANA IZOLACE NA POVRCHU ASFALTOVÝMI PÁSY</t>
  </si>
  <si>
    <t>Ochrana izolace pod řimsami (NAIP s Al vložkou)</t>
  </si>
  <si>
    <t>položka zahrnuje: 
- dodání  předepsaného ochranného materiálu 
- zřízení ochrany izolace</t>
  </si>
  <si>
    <t>7838A</t>
  </si>
  <si>
    <t>NÁTĚRY BETON KONSTR TYP S3</t>
  </si>
  <si>
    <t>ochranný nátěr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</si>
  <si>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</si>
  <si>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78383</t>
  </si>
  <si>
    <t>NÁTĚRY BETON KONSTR TYP S4 (OS-C)</t>
  </si>
  <si>
    <t>ochranný nátěr obrubníkové částí říms</t>
  </si>
  <si>
    <t>783121</t>
  </si>
  <si>
    <t>PROTIKOROZ OCHR OK NÁTĚREM VÍCEVRST SE ZÁKL S VYS OBSAHEM ZN</t>
  </si>
  <si>
    <t>protikorozní ochrana oceli NK  AI</t>
  </si>
  <si>
    <t>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</si>
  <si>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protikorozní ochrana oceli NK  AI+PS</t>
  </si>
  <si>
    <t>78314</t>
  </si>
  <si>
    <t>PROTIKOROZ OCHRANA OCEL KONSTR NÁSTŘIKEM METALIZACÍ</t>
  </si>
  <si>
    <t>76792</t>
  </si>
  <si>
    <t>OPLOCENÍ Z DRÁTĚNÉHO PLETIVA POTAŽENÉHO PLASTEM</t>
  </si>
  <si>
    <t>H=1,6 m</t>
  </si>
  <si>
    <t>- položka zahrnuje vedle vlastního pletiva i rámy, rošty, lišty, kování, podpěrné, závěsné, upevňovací prvky, spojovací a těsnící materiál, pomocný materiál, kompletní povrchovou úpravu. 
- nejsou zahrnuty sloupky, jejich základové konstrukce a zemní práce, které se vykazují v samostatných položkách 338**, 272**, 26A**, 13***, není zahrnuta podezdívka (272**) 
- součástí položky je  případně i ostnatý drát, uvažovaná plocha se pak vypočítává po horní hranu drátu.</t>
  </si>
  <si>
    <t>87633</t>
  </si>
  <si>
    <t>CHRÁNIČKY Z TRUB PLASTOVÝCH DN DO 150MM</t>
  </si>
  <si>
    <t>Kabelová chránička zemní DN přes 100 do 200 mm, chránička DN 110 mm, vč. kompenzátorů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</si>
  <si>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 včetně případně předepsaného utěsnění konců chrániček 
- položky platí pro práce prováděné v prostoru zapaženém i nezapaženém a i v kolektorech, chráničkách</t>
  </si>
  <si>
    <t>87526</t>
  </si>
  <si>
    <t>POTRUBÍ DREN Z TRUB PLAST (I FLEXIBIL) DN DO 80MM</t>
  </si>
  <si>
    <t>DN 60 vyústění rubové drenáže</t>
  </si>
  <si>
    <t>875262</t>
  </si>
  <si>
    <t>POTRUBÍ DREN Z TRUB PLAST (I FLEXIBIL) DN DO 80MM DĚROVANÝCH</t>
  </si>
  <si>
    <t>DN 60</t>
  </si>
  <si>
    <t>87534</t>
  </si>
  <si>
    <t>POTRUBÍ DREN Z TRUB PLAST DN DO 200MM</t>
  </si>
  <si>
    <t>rubová drenáž, ve svahovém kuželu</t>
  </si>
  <si>
    <t>rubová drenáž za rubem opěry</t>
  </si>
  <si>
    <t>86914</t>
  </si>
  <si>
    <t>POTRUBÍ ODPADNÍ MOSTNÍCH OBJEKTŮ Z OCEL TRUB DN DO 200MM</t>
  </si>
  <si>
    <t>- výrobní dokumentaci (včetně technologického předpisu) 
- dodání veškerého instalačního a pomocného materiálu (trouby, trubky, armatury, tvarové kusy, spojovací a těsnící materiál a pod.), podpěrných, závěsných, upevňovacích prvků, včetně potřebných úprav 
- zednické výpomoci, jako je vysekávání kapes a rýh, jejich vyplnění a začištění 
- úprava podkladu a osazení podpěr, osazení a očištění podkladu a podpěr 
- zřízení plně funkční instalace, kompletní soustavy, podle příslušného technologického předpisu 
- zřízení instalace i jednotlivých částí po etapách, včetně pracovních spar a spojů 
- úprava a příprava prostupů, okolí podpěr, zaústění a napojení a upevnění odpadních výustek 
- ochrana potrubí nátěrem, včetně úpravy povrchu, případně izolací 
- úprava, očištění a ošetření prostoru kolem instalace 
- provedení požadovaných zkoušek vodotěsnosti</t>
  </si>
  <si>
    <t>89518</t>
  </si>
  <si>
    <t>PRAMENNÍ JÍMKA Z BETON TRUB</t>
  </si>
  <si>
    <t>Vsakovací jímka včetně výplně</t>
  </si>
  <si>
    <t>položka zahrnuje: 
- poklopy s rámem předepsaného materiálu a tvaru 
- dodání a osazení předepsaných trub  požadovaného  tvaru  a  vlastností,  jejich  skladování,  dopravu  vnitrostaveništní i mimostaveništní 
- výplň, těsnění a tmelení spár a spojů, 
- očištění a ošetření úložných ploch</t>
  </si>
  <si>
    <t>R8999001</t>
  </si>
  <si>
    <t>ČEDIČOVÁ TVAROVKA  - ODVODNĚNÍ ÚLOŽNÉHO PRAHU OP1, OP2</t>
  </si>
  <si>
    <t>dodávka a montáž</t>
  </si>
  <si>
    <t>966138</t>
  </si>
  <si>
    <t>BOURÁNÍ KONSTRUKCÍ Z KAMENE NA MC S ODVOZEM DO 20KM</t>
  </si>
  <si>
    <t>91355</t>
  </si>
  <si>
    <t>EVIDENČNÍ ČÍSLO MOSTU</t>
  </si>
  <si>
    <t>položka zahrnuje štítek s evidenčním číslem mostu, sloupek dopravní značky včetně osazení a nutných zemních prací a zabetonování</t>
  </si>
  <si>
    <t>914161</t>
  </si>
  <si>
    <t>DOPRAVNÍ ZNAČKY ZÁKLADNÍ VELIKOSTI HLINÍKOVÉ FÓLIE TŘ 1 - DODÁVKA A MONTÁŽ</t>
  </si>
  <si>
    <t>IS 15a (JIZERA)</t>
  </si>
  <si>
    <t>položka zahrnuje: 
- dodávku a montáž značek v požadovaném provedení</t>
  </si>
  <si>
    <t>93152</t>
  </si>
  <si>
    <t>MOSTNÍ ZÁVĚRY POVRCHOVÉ POSUN DO 100MM</t>
  </si>
  <si>
    <t>se sníženou hlučností</t>
  </si>
  <si>
    <t>- výrobní dokumentace (vč. technologického předpisu) 
- dodání kompletního dil. zařízení vč. všech přepravních a montážních úprav a zařízení 
- řezání a sváření na staveništi a eventuelní nutnou opravu nátěrů po těchto úkonech 
- bednění a dodatečné zabetonování dilatačního zařízení 
- pro kovové součásti je nutné užít ustanovení pro TMCH.94 
- dodání spojovacího, kotevního a těsnícího materiálu 
- úprava a příprava prostoru, včetně kotevních prvků, jejich ošetření a očištění 
- zřízení kompletního mostního závěru podle příslušného technolog. předpisu, včetně předepsaného nastavení 
- zřízení mostního závěru po etapách, včetně pracovních spar a spojů 
- úprava  most. závěru  ve styku  s ostatními konstrukcemi  a zařízeními (u obrubníků a podél vozovek, na chodnících, na římsách, napojení izolací a pod.) 
- ochrana mostního závěru proti bludným proudům a vývody pro jejich měření 
- ochrana mostního závěru do doby provedení definitivního stavu, veškeré provizorní úpravy a opatření 
- konečné  úpravy most. závěru jako  povrchové  povlaky, zálivky, které  nejsou součástí jiných konstrukcí, vyčištění, osaz. krytek šroubů, tmelení, těsnění, výplň spar a pod. 
- úprava, očištění a ošetření prostoru kolem mostního závěru 
- opatření mostního závěru znakem výrobce a typovým číslem 
- provedení odborné prohlídky, je-li požadována</t>
  </si>
  <si>
    <t>936532</t>
  </si>
  <si>
    <t>MOSTNÍ ODVODŇOVACÍ SOUPRAVA 300/500</t>
  </si>
  <si>
    <t>položka zahrnuje: 
- výrobní dokumentaci (včetně technologického předpisu) 
- dodání kompletní odvodňovací soupravy,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</si>
  <si>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936541</t>
  </si>
  <si>
    <t>MOSTNÍ ODVODŇOVACÍ TRUBKA (POVRCHŮ IZOLACE) Z NEREZ OCELI</t>
  </si>
  <si>
    <t>položka zahrnuje: 
- výrobní dokumentaci (včetně technologického předpisu) 
- dodání kompletní odvodňovací soupravy z předepsaného materiálu, včetně všech montážních a přepravních úprav a zařízení 
- dodání spojovacího, kotevního a těsnícího materiálu 
- úprava a příprava úložného prostoru, včetně kotevních prvků, jejich očištění a ošetření 
- zřízení kompletní odvodňovací soupravy, dle příslušného technologického předpisu, včetně všech výškových a směrových úprav 
- zřízení odvodňovací soupravy po etapách, včetně pracovních spar a spojů 
- prodloužení  odpadní trouby pod spodní líc nosné konstr. nebo zaústěním odvodňovače do dalšího odvodňovacího zařízení 
- úprava odvod. soupravy na styku s ostatními konstrukcemi a zařízeními (u obrubníku, podél vozovek, napojení izolací a pod.) 
- ochrana odvodňovací soupravy do doby provedení definitivního stavu, veškeré provizorní úpravy a opatření 
- konečné  úpravy odvodňovací soupravy jako povrchové povlaky, zálivky, které  nejsou součástí jiných konstr., vyčištění, tmelení, těsnění, výplň spar a pod. 
- úprava, očištění a ošetření prostoru kolem odvodňovací soupravy 
- opatření odvodňovače znakem výrobce a typovým číslem 
- provedení odborné prohlídky, je-li požadována</t>
  </si>
  <si>
    <t>935832</t>
  </si>
  <si>
    <t>ŽLABY A RIGOLY DLÁŽDĚNÉ Z LOMOVÉHO KAMENE TL DO 250MMM DO BETONU TL 100MM</t>
  </si>
  <si>
    <t>žlab do tvaru rigolu do vsakovací jímky,  opěra OP1 vlevo a vpravo</t>
  </si>
  <si>
    <t>položka zahrnuje: 
- dodání a uložení předepsaného dlažebního materiálu v požadované kvalitě do předepsaného tvaru a v předepsané šířce 
- dodání a rozprostření lože z předepsaného materiálu v předepsané tloušťce a šířce 
- úravu napojení a ukončení 
- vnitrostaveništní i mimostaveništní dopravu 
- měří se vydlážděná plocha.</t>
  </si>
  <si>
    <t>93639</t>
  </si>
  <si>
    <t>ZAÚSTĚNÍ SKLUZŮ (VČET DLAŽBY Z LOM KAMENE)</t>
  </si>
  <si>
    <t>vsakovací jímka opěra OP1</t>
  </si>
  <si>
    <t>Položka zahrnuje veškerý materiál, výrobky a polotovary, včetně mimostaveništní a vnitrostaveništní dopravy (rovněž přesuny), včetně naložení a složení,případně s uložením.</t>
  </si>
  <si>
    <t>9112B1</t>
  </si>
  <si>
    <t>ZÁBRADLÍ MOSTNÍ SE SVISLOU VÝPLNÍ - DODÁVKA A MONTÁŽ</t>
  </si>
  <si>
    <t>zábradlí na opěrách, vč.povrchové úpravy PKO + žárové zinkování ponorem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</si>
  <si>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</si>
  <si>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936501</t>
  </si>
  <si>
    <t>DROBNÉ DOPLŇK KONSTR KOVOVÉ NEREZ</t>
  </si>
  <si>
    <t>položka zahrnuje: 
- dílenská dokumentace, včetně technologického předpisu spojování 
- dodání  materiálu  v požadované kvalitě a výroba konstrukce i dílenská (včetně  pomůcek,  přípravků a prostředků pro výrobu) bez ohledu na náročnost a její hmotnost, dílenská montáž 
- dodání spojovacího materiálu 
- zřízení  montážních  a  dilatačních  spojů,  spar, včetně potřebných úprav, vložek, opracování, očištění a ošetření 
- podpěr. konstr. a lešení všech druhů pro montáž konstrukcí i doplňkových, včetně požadovaných otvorů, ochranných a bezpečnostních opatření a základů pro tyto konstrukce a lešení 
- jakákoliv doprava a manipulace dílců  a  montážních  sestav,  včetně  dopravy konstrukce z výrobny na stavbu 
- montáž konstrukce na staveništi, včetně montážních prostředků a pomůcek a zednických výpomocí 
- výplň, těsnění a tmelení spar a spojů 
- čištění konstrukce a odstranění všech vrubů (vrypy, otlačeniny a pod.) 
- všechny druhy ocelového kotvení 
- dílenskou přejímku a montážní prohlídku, včetně požadovaných dokladů 
- zřízení kotevních otvorů nebo jam, nejsou-li částí jiné konstrukce, jejich úpravy, očištění a ošetření 
- osazení kotvení nebo přímo částí konstrukce do podpůrné konstrukce nebo do zeminy 
- výplň kotevních otvorů  (příp.  podlití  patních  desek)  maltou,  betonem  nebo  jinou speciální hmotou, vyplnění jam zeminou 
- předepsanou protikorozní ochranu a nátěry konstrukcí 
- osazení měřících zařízení a úpravy pro ně 
- ochranná opatření před účinky bludných proudů</t>
  </si>
  <si>
    <t>93650</t>
  </si>
  <si>
    <t>DROBNÉ DOPLŇK KONSTR KOVOVÉ</t>
  </si>
  <si>
    <t>trubky pro CHA zkoušky pilot, TR 60/3 dl. 9,1 m, 3ks/pilota</t>
  </si>
  <si>
    <t>- dílenská dokumentace, včetně technologického předpisu spojování, 
- dodání  materiálu  v požadované kvalitě a výroba konstrukce i dílenská (včetně  pomůcek,  přípravků a prostředků pro výrobu) bez ohledu na náročnost a její hmotnost, dílenská montáž, 
- dodání spojovacího materiálu, 
- zřízení  montážních  a  dilatačních  spojů,  spar, včetně potřebných úprav, vložek, opracování, očištění a ošetření, 
- podpěr. konstr. a lešení všech druhů pro montáž konstrukcí i doplňkových, včetně požadovaných otvorů, ochranných a bezpečnostních opatření a základů pro tyto konstrukce a lešení, 
- jakákoliv doprava a manipulace dílců  a  montážních  sestav,  včetně  dopravy konstrukce z výrobny na stavbu, 
- montáž konstrukce na staveništi, včetně montážních prostředků a pomůcek a zednických výpomocí, 
- montážní dokumentace včetně technologického předpisu montáže, 
- výplň, těsnění a tmelení spar a spojů, 
- čištění konstrukce a odstranění všech vrubů (vrypy, otlačeniny a pod.), 
- veškeré druhy opracování povrchů, včetně úprav pod nátěry a pod izolaci, 
- veškeré druhy dílenských základů a základních nátěrů a povlaků, 
- všechny druhy ocelového kotvení, 
- dílenskou přejímku a montážní prohlídku, včetně požadovaných dokladů, 
- zřízení kotevních otvorů nebo jam, nejsou-li částí jiné konstrukce, jejich úpravy, očištění a ošetření, 
- osazení kotvení nebo přímo částí konstrukce do podpůrné konstrukce nebo do zeminy, 
- výplň kotevních otvorů  (příp.  podlití  patních  desek)  maltou,  betonem  nebo  jinou speciální hmotou, vyplnění jam zeminou, 
- ošetření kotevní oblasti proti vzniku trhlin, vlivu povětrnosti a pod., 
- osazení nivelačních značek, včetně jejich zaměření, označení znakem výrobce a vyznačení letopočtu. 
Dokumentace pro zadání stavby může dále předepsat že cena položky ještě obsahuje například: 
- veškeré druhy protikorozní ochrany a nátěry konstrukcí, 
- žárové zinkování ponorem nebo žárové stříkání (metalizace) kovem, 
- zvláštní spojovací prostředky, rozebíratelnost konstrukce, 
- osazení měřících zařízení a úpravy pro ně 
- ochranná opatření před účinky bludných proudů 
- ochranu před přepětím.</t>
  </si>
  <si>
    <t>93313</t>
  </si>
  <si>
    <t>ZATĚŽOVACÍ ZKOUŠKA MOSTU STATICKÁ 1. POLE DO 800M2</t>
  </si>
  <si>
    <t>- podklady a dokumentaci zkoušky 
- výrobní dokumentace potřebných zařízení 
- stavební práce spojené s přípravou a provedením zkoušky (zřízení a odstranění) 
- veškerá zkušební zařízení vč. opotřebení a nájmu 
- výpomoce při vlastní zkoušce 
- dodání zatěžovacích prostředků a hmot, manipulaci s nimi a jejich opotřebení a nájem 
- přeprava zatěžovacích prostředků a hmot na stavbu a zpět, včetně zajížďky k váze a vážních poplatků 
- provedení vlastní zkoušky a její vyhodnocení, včetně všech měření a dalších potřebných činností</t>
  </si>
  <si>
    <t>933331</t>
  </si>
  <si>
    <t>ZKOUŠKA INTEGRITY ULTRAZVUKEM V TRUBKÁCH PILOT SYSTÉMOVÝCH</t>
  </si>
  <si>
    <t>zkouška CHA</t>
  </si>
  <si>
    <t>Položka zahrnuje kompletní dodávku se všemi pomocnými a doplňujícími pracemi a součástmi;  
- veškeré potřebné mechanismy;  
-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vyhodnocení, včetně všech měření a dalších potřebných činností;  
-  dodávka a montáž měřících trubek.</t>
  </si>
  <si>
    <t>933333</t>
  </si>
  <si>
    <t>ZKOUŠKA INTEGRITY ULTRAZVUKEM ODRAZ METOD PIT PILOT SYSTÉMOVÝCH</t>
  </si>
  <si>
    <t>zkouška PIT</t>
  </si>
  <si>
    <t>Položka obsahuje podklady a dokumentaci zkoušky;  
- případné stavební práce spojené s přípravou a provedením zkoušky;  
- veškerá zkušební a měřící zařízení vč. opotřebení a nájmu;  
- výpomoce při vlastní zkoušce;  
- provedení vlastní zkoušky a její vyhodnocení.</t>
  </si>
  <si>
    <t>91345</t>
  </si>
  <si>
    <t>NIVELAČNÍ ZNAČKY KOVOVÉ</t>
  </si>
  <si>
    <t>položka zahrnuje: 
- dodání a osazení nivelační značky včetně nutných zemních prací 
- vnitrostaveništní a mimostaveništní dopravu</t>
  </si>
  <si>
    <t>919113</t>
  </si>
  <si>
    <t>ŘEZÁNÍ ASFALTOVÉHO KRYTU VOZOVEK TL DO 150MM</t>
  </si>
  <si>
    <t>pro zálivky</t>
  </si>
  <si>
    <t>931324</t>
  </si>
  <si>
    <t>TĚSNĚNÍ DILATAČ SPAR ASF ZÁLIVKOU MODIFIK PRŮŘ DO 400MM2</t>
  </si>
  <si>
    <t>těsnící zálivka š.10 mm s předtěsněním vč.nátěru pro zvýšení přilnavosti - podél vozovky</t>
  </si>
  <si>
    <t>položka zahrnuje dodávku a osazení předepsaného materiálu, očištění ploch spáry před úpravou, očištění okolí spáry po úpravě 
nezahrnuje těsnící profil</t>
  </si>
  <si>
    <t>931325</t>
  </si>
  <si>
    <t>TĚSNĚNÍ DILATAČ SPAR ASF ZÁLIVKOU MODIFIK PRŮŘ DO 600MM2</t>
  </si>
  <si>
    <t>těsnící zálivka š.15 mm s předtěsněním vč.nátěru pro zvýšení přilnavosti - podél obrubníku a podél mostního závěru</t>
  </si>
  <si>
    <t>93135</t>
  </si>
  <si>
    <t>TĚSNĚNÍ DILATAČ SPAR PRYŽ PÁSKOU NEBO KRUH PROFILEM</t>
  </si>
  <si>
    <t>předtěsnění spáry podél obrubníků, dle VL4 403.42</t>
  </si>
  <si>
    <t>položka zahrnuje dodávku a osazení předepsaného materiálu, očištění ploch spáry před úpravou, očištění okolí spáry po úpravě</t>
  </si>
  <si>
    <t>931334</t>
  </si>
  <si>
    <t>TĚSNĚNÍ DILATAČNÍCH SPAR POLYURETANOVÝM TMELEM PRŮŘEZU DO 400MM2</t>
  </si>
  <si>
    <t>těsnění smršťovacích spar v římsách vč.nátěru pro zvýšení přilnavosti</t>
  </si>
  <si>
    <t>SO 203</t>
  </si>
  <si>
    <t>Úprava zárubní zdi</t>
  </si>
  <si>
    <t>50,7*2,5</t>
  </si>
  <si>
    <t>235-0,8*50,7</t>
  </si>
  <si>
    <t>0,95*27</t>
  </si>
  <si>
    <t>Drenážní beton MCB 7,5 (zásyp rubu)</t>
  </si>
  <si>
    <t>0,717*2+0,5*(1,577+0,717)*5+0,5*(5,888+1,577)*5+0,5*(6,712+5,888)*5+6,275*3,5</t>
  </si>
  <si>
    <t>289314</t>
  </si>
  <si>
    <t>STŘÍKANÝ BETON DO C25/30</t>
  </si>
  <si>
    <t>22594</t>
  </si>
  <si>
    <t>ZÁPOROVÉ PAŽENÍ Z KOVU TRVALÉ</t>
  </si>
  <si>
    <t>dle tabulky: zápory 15,244 t + převázky 2,805 t</t>
  </si>
  <si>
    <t>položka zahrnuje dodávku ocelových zápor, jejich osazení do připravených vrtů včetně zabetonování konců a obsypu, případně jejich zaberanění. Ocelová převázka se započítá do výsledné hmotnosti.</t>
  </si>
  <si>
    <t>22595</t>
  </si>
  <si>
    <t>VÝDŘEVA ZÁPOROVÉHO PAŽENÍ TRVALÁ (KUBATURA)</t>
  </si>
  <si>
    <t>dle tabulky 108*0,2</t>
  </si>
  <si>
    <t>položka zahrnuje dodávku a osazení pažin bez ohledu na druh</t>
  </si>
  <si>
    <t>264328</t>
  </si>
  <si>
    <t>VRTY PRO PILOTY TŘ. III D DO 600MM</t>
  </si>
  <si>
    <t>pro zápory, vč. odvozu a likvidace vývrtu</t>
  </si>
  <si>
    <t>dle tabulky</t>
  </si>
  <si>
    <t>261613</t>
  </si>
  <si>
    <t>VRTY PRO KOTVENÍ A INJEKTÁŽ TŘ VI NA POVRCHU D DO 25MM</t>
  </si>
  <si>
    <t>Vrty do kamene prům 20 mm, vč. odvozu a likvidace vývrtu</t>
  </si>
  <si>
    <t>(34,4+28,1+18,2)*10*0,11</t>
  </si>
  <si>
    <t>Vrty do betonu prům 20 mm, vč. odvozu a likvidace vývrtu</t>
  </si>
  <si>
    <t>(34,4+28,1+18,2)*10*0,2</t>
  </si>
  <si>
    <t>327325</t>
  </si>
  <si>
    <t>ZDI OPĚRNÉ, ZÁRUBNÍ, NÁBŘEŽNÍ ZE ŽELEZOVÉHO BETONU DO C30/37</t>
  </si>
  <si>
    <t>327365</t>
  </si>
  <si>
    <t>VÝZTUŽ ZDÍ OPĚRNÝCH, ZÁRUBNÍCH, NÁBŘEŽNÍCH Z OCELI 10505, B500B</t>
  </si>
  <si>
    <t>311221</t>
  </si>
  <si>
    <t>ZDI A STĚNY PODPĚR A VOLNÉ Z KAMENIC VÝROB - OBKLAD KVÁDR</t>
  </si>
  <si>
    <t>Kamenný obklad (pužitý stáv. kámen - úprava, řezání) tl. 150mm</t>
  </si>
  <si>
    <t>(60,6+0,579+1,338)*0,55*0,15</t>
  </si>
  <si>
    <t>Položka zahrnuje veškerý materiál, výrobky a polotovary, včetně mimostaveništní a vnitrostaveništní dopravy (rovněž přesuny), včetně naložení a složení, případně s uložením.</t>
  </si>
  <si>
    <t>Kamenný obklad (nový obklad z pískovce) tl. 150mm</t>
  </si>
  <si>
    <t>(60,6+0,579+1,338)*0,45*0,15</t>
  </si>
  <si>
    <t>31722</t>
  </si>
  <si>
    <t>ŘÍMSY Z KAMENIC VÝROBKŮ</t>
  </si>
  <si>
    <t>Kamenná římsa - čedičové desky tl. 150mm</t>
  </si>
  <si>
    <t>0,7*26*0,15</t>
  </si>
  <si>
    <t>Položka zahrnuje dodání předepsaného hlavního materiálu, spojovacího materiálu, vyzdění do předepsaného tavru, včetně mimostaveništní a vnitrostaveništní dopravy</t>
  </si>
  <si>
    <t>Podkladní beton C8/10</t>
  </si>
  <si>
    <t>pod dlažbu</t>
  </si>
  <si>
    <t>18*0,1</t>
  </si>
  <si>
    <t>1,847*2+0,5*(1,847+1,618)*5+0,5*(1,618+1,319)*5+0,5*(1,319+1,262)*5+1,283*3,5</t>
  </si>
  <si>
    <t>46591</t>
  </si>
  <si>
    <t>DLAŽBY Z KAMENICKÝCH VÝROBKŮ</t>
  </si>
  <si>
    <t>Kamenná čedičová dlažba tl. 200mm</t>
  </si>
  <si>
    <t>položka zahrnuje: 
- nutné zemní práce (svahování, úpravu pláně a pod.) 
- úpravu podkladu 
- zřízení spojovací vrstvy 
- zřízení lože dlažby z předepsaného materiálu 
- dodávku a uložení dlažby z předepsaných kamenických výrobků do předepsaného tvaru 
- spárování, těsnění, tmelení a vyplnění spar případně s vyklínováním 
- úprava povrchu pro odvedení srážkové vody 
- nezahrnuje podklad pod dlažbu, vykazuje se samostatně položkami SD 45</t>
  </si>
  <si>
    <t>711112</t>
  </si>
  <si>
    <t>IZOLACE BĚŽNÝCH KONSTRUKCÍ PROTI ZEMNÍ VLHKOSTI ASFALTOVÝMI PÁSY</t>
  </si>
  <si>
    <t>76291</t>
  </si>
  <si>
    <t>DŘEVĚNÉ OPLOCENÍ Z ŘEZIVA</t>
  </si>
  <si>
    <t>dřevěný plot se svislými plaňkami h=1,6m</t>
  </si>
  <si>
    <t>Obnovení oplocení parc. č.5 (č.p.1) -  23,5 m 
Obnovení oplocení parc. č.6 -  14,5 m</t>
  </si>
  <si>
    <t>- položky tesařských konstrukcí zahrnují kompletní konstrukci, včetně úprav řeziva (i impregnaci, povrchové úpravy a pod.), spojovací a ochranné prostředky, upevňovací prvky, lemování, lištování, spárování, není-li zahrnut v jiných položkách, i nátěr konstrukcí, včetně úpravy povrchu před nátěrem.</t>
  </si>
  <si>
    <t>76796</t>
  </si>
  <si>
    <t>VRATA A VRÁTKA</t>
  </si>
  <si>
    <t>Obnovení vjezdové brány parc. č.6 h=1,6m</t>
  </si>
  <si>
    <t>4*1,6</t>
  </si>
  <si>
    <t>- položka zahrnuje vedle vlastních vrat a vrátek i rámy, rošty, lišty, kování, podpěrné, závěsné, upevňovací prvky, spojovací a těsnící materiál, pomocný materiál, kompletní povrchovou úpravu, jsou zahrnuty i sloupky včetně kotvení, základové patky a nutných zemních prací. 
- je zahrnuto drobné zasklení nebo jiná předepsaná výplň. 
- součástí položky je  případně i ostnatý drát, uvažovaná plocha se pak vypočítává po horní hranu drátu.</t>
  </si>
  <si>
    <t>87533</t>
  </si>
  <si>
    <t>POTRUBÍ DREN Z TRUB PLAST DN DO 150MM</t>
  </si>
  <si>
    <t>R9009001</t>
  </si>
  <si>
    <t>Chemické kotvy</t>
  </si>
  <si>
    <t>kompletní prevedí kotvy vč. dodávky</t>
  </si>
  <si>
    <t>33,8*1,5</t>
  </si>
  <si>
    <t>SO 301</t>
  </si>
  <si>
    <t>Úprava obecní kanalizace</t>
  </si>
  <si>
    <t>187,2-58,15</t>
  </si>
  <si>
    <t>132738</t>
  </si>
  <si>
    <t>HLOUBENÍ RÝH ŠÍŘ DO 2M PAŽ I NEPAŽ TŘ. I, ODVOZ DO 20KM</t>
  </si>
  <si>
    <t>(1,2*15*2+3*1,2*35+3*1,5*1,2)+(1,5*1*2)+(4,5*1,5*1)+(3*1*2)+(4,5*1*0,9)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</si>
  <si>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</si>
  <si>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17411</t>
  </si>
  <si>
    <t>ZÁSYP JAM A RÝH ZEMINOU SE ZHUTNĚNÍM</t>
  </si>
  <si>
    <t>(0,85*55+0,6*19)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</si>
  <si>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</t>
  </si>
  <si>
    <t>1,2*(56*0,85+5*0,5)</t>
  </si>
  <si>
    <t>opevnění výtoku lom. kamenem do betonu</t>
  </si>
  <si>
    <t>1 m2</t>
  </si>
  <si>
    <t>pod opevnění výtoku lom. kamenem do betonu</t>
  </si>
  <si>
    <t>POTRUBÍ Z TRUB PLASTOVÝCH ODPADNÍCH DN DO 200MM</t>
  </si>
  <si>
    <t>potrubí PP DN 400 SN12, včetně odboček DN 400/200, žabí klapky DN 400, zkoušky vodotěsnosti, výstržné folie</t>
  </si>
  <si>
    <t>položky pro zhotovení potrubí platí bez ohledu na sklon 
zahrnuje: 
- výrobní dokumentaci (včetně technologického předpisu) 
- dodání veškerého trubního a pomocného materiálu  (trouby,  trubky,  tvarovky,  spojovací a těsnící  materiál a pod.), podpěrných, závěsných a upevňovacích prvků, včetně potřebných úprav 
- úprava a příprava podkladu a podpěr, očištění a ošetření podkladu a podpěr 
- zřízení plně funkčního potrubí, kompletní soustavy, podle příslušného technologického předpisu 
- zřízení potrubí i jednotlivých částí po etapách, včetně pracovních spar a spojů, pracovního zaslepení konců a pod. 
- úprava prostupů, průchodů  šachtami a komorami, okolí podpěr a vyústění, zaústění, napojení, vyvedení a upevnění odpad. výustí 
- ochrana potrubí nátěrem (vč. úpravy povrchu), případně izolací, nejsou-li tyto práce předmětem jiné položky 
- úprava, očištění a ošetření prostoru kolem potrubí 
- položky platí pro práce prováděné v prostoru zapaženém i nezapaženém a i v kolektorech, chráničkách 
- položky zahrnují i práce spojené s nutnými obtoky, převáděním a čerpáním vody 
nezahrnuje zkoušky vodotěsnosti a televizní prohlídku</t>
  </si>
  <si>
    <t>87446</t>
  </si>
  <si>
    <t>POTRUBÍ Z TRUB PLASTOVÝCH ODPADNÍCH DN DO 400MM</t>
  </si>
  <si>
    <t>potrubí PP DN 200 SN12, včetně odboček DN 400/200, zkoušky vodotěsnosti, výstržné folie</t>
  </si>
  <si>
    <t>2+4,5+3,5+4,7+4,2</t>
  </si>
  <si>
    <t>894146</t>
  </si>
  <si>
    <t>ŠACHTY KANALIZAČNÍ Z BETON DÍLCŮ NA POTRUBÍ DN DO 400MM</t>
  </si>
  <si>
    <t>šachty prefa (1000), hl.2.5m</t>
  </si>
  <si>
    <t>položka zahrnuje: 
- poklopy s rámem, mříže s rámem, stupadla, žebříky, stropy z bet. dílců a pod. 
- předepsané betonové skruže, prefabrikované nebo monolitické betonové dno a není-li uvedeno jinak i podkladní vrstvu (z kameniva nebo betonu). 
- dodání  dílce  požadovaného  tvaru  a  vlastností,  jeho  skladování,  doprava  a  osazení  do 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 
- předepsané podkladní konstrukce</t>
  </si>
  <si>
    <t>šachta spádišťová ( vněj. obtok) obložená čedičem, hl. 4m</t>
  </si>
  <si>
    <t>R899971</t>
  </si>
  <si>
    <t>Kamerový průzkum</t>
  </si>
  <si>
    <t>kompletní provedení průzkumu vč, vyhodnocení a vypracování zprávy</t>
  </si>
  <si>
    <t>SO 401</t>
  </si>
  <si>
    <t>Přeložka kabelu CETIN</t>
  </si>
  <si>
    <t>zahrnuje veškeré náklady spojené s objednatelem požadovanými pracemi</t>
  </si>
  <si>
    <t>KS</t>
  </si>
  <si>
    <t>KPL</t>
  </si>
  <si>
    <t>VON</t>
  </si>
  <si>
    <t>Vedlejší a ostatní náklady</t>
  </si>
  <si>
    <t>02943</t>
  </si>
  <si>
    <t>OSTATNÍ POŽADAVKY - VYPRACOVÁNÍ RDS</t>
  </si>
  <si>
    <t>029412</t>
  </si>
  <si>
    <t>OSTATNÍ POŽADAVKY - VYPRACOVÁNÍ MOSTNÍHO LISTU</t>
  </si>
  <si>
    <t>02950</t>
  </si>
  <si>
    <t>OSTATNÍ POŽADAVKY - POSUDKY, KONTROLY, REVIZNÍ ZPRÁVY</t>
  </si>
  <si>
    <t>02953</t>
  </si>
  <si>
    <t>OSTATNÍ POŽADAVKY - HLAVNÍ MOSTNÍ PROHLÍDKA</t>
  </si>
  <si>
    <t>02960</t>
  </si>
  <si>
    <t>OSTATNÍ POŽADAVKY - ODBORNÝ DOZOR</t>
  </si>
  <si>
    <t>02911</t>
  </si>
  <si>
    <t>OSTATNÍ POŽADAVKY - GEODETICKÉ ZAMĚŘENÍ - GEOMETRICKÝ PLÁN</t>
  </si>
  <si>
    <t>OSTATNÍ POŽADAVKY - GEODETICKÉ ZAMĚŘENÍ  - VYTYČENÍ OBVODU STAVBY</t>
  </si>
  <si>
    <t>02944</t>
  </si>
  <si>
    <t>OSTAT POŽADAVKY - DOKUMENTACE SKUTEČ PROVEDENÍ V DIGIT FORMĚ</t>
  </si>
  <si>
    <t>t</t>
  </si>
  <si>
    <t>DŘEVĚNÉ ČÁSTI CELKEM</t>
  </si>
  <si>
    <r>
      <t>m</t>
    </r>
    <r>
      <rPr>
        <vertAlign val="superscript"/>
        <sz val="10"/>
        <rFont val="Arial CE"/>
        <family val="2"/>
      </rPr>
      <t>3</t>
    </r>
  </si>
  <si>
    <t>trám 3 x na chodníku (NK+OP1)</t>
  </si>
  <si>
    <t>fošna na chodníku (NK+OP1)</t>
  </si>
  <si>
    <t>BOURÁNÍ - DŘEVĚNÉ VOZOVKY</t>
  </si>
  <si>
    <t>ASFALTOVÉ ČÁSTI CELKEM</t>
  </si>
  <si>
    <t>stávající asfaltová vozovka na NK</t>
  </si>
  <si>
    <t>BOURÁNÍ - ASFALTOVÉ VOZOVKY</t>
  </si>
  <si>
    <t>KOVOVÉ ČÁSTI CELKEM</t>
  </si>
  <si>
    <t>štetovnice chodníku 14 ks dl. 1.7 m</t>
  </si>
  <si>
    <t>štetovnice desky mostovky</t>
  </si>
  <si>
    <t>chodník vč. zábradlí NK + opěra OP1</t>
  </si>
  <si>
    <t>x</t>
  </si>
  <si>
    <t>ocelová svodidla na NK</t>
  </si>
  <si>
    <t>podélníky  4 x I 360</t>
  </si>
  <si>
    <t>nosná konstrukce ŽM 16 1p1s (1,8 t/bm)</t>
  </si>
  <si>
    <t xml:space="preserve">BOURÁNÍ - KOVOVÉ ČÁSTI </t>
  </si>
  <si>
    <t>m3</t>
  </si>
  <si>
    <t>Mostovka NK - mezi štětovnicema</t>
  </si>
  <si>
    <t>BOURÁNÍ - ŽELEZOBETON</t>
  </si>
  <si>
    <t>kg/bm</t>
  </si>
  <si>
    <t>kg.m-3</t>
  </si>
  <si>
    <t>m</t>
  </si>
  <si>
    <t>m2</t>
  </si>
  <si>
    <t>Hmotnost</t>
  </si>
  <si>
    <t>Hmot. plocha</t>
  </si>
  <si>
    <t>Hmot. délka</t>
  </si>
  <si>
    <t>Objem. hm.</t>
  </si>
  <si>
    <t>Objem</t>
  </si>
  <si>
    <t>Výška</t>
  </si>
  <si>
    <t>Plocha</t>
  </si>
  <si>
    <t>Šířka</t>
  </si>
  <si>
    <t>Délka</t>
  </si>
  <si>
    <t xml:space="preserve">POPIS BOURANÉ ČÁSTI </t>
  </si>
  <si>
    <t>BOURÁNÍ STÁVAJÍCÍCH KONSTRUKCÍ</t>
  </si>
  <si>
    <t>SO 201 - MOST</t>
  </si>
  <si>
    <t>VÝKAZ VÝMĚR</t>
  </si>
  <si>
    <t xml:space="preserve"> =8* (0.6 + 2.1)</t>
  </si>
  <si>
    <r>
      <t>TĚSNĚNÍ DILATAČ SPAR T PRŮŘ DO 400MMELEM POLYURETAN M2</t>
    </r>
    <r>
      <rPr>
        <i/>
        <sz val="10"/>
        <color indexed="8"/>
        <rFont val="Arial"/>
        <family val="2"/>
      </rPr>
      <t xml:space="preserve">
těsnění smršťovacích spar v římsách vč.nátěru pro zvýšení přilnavosti </t>
    </r>
  </si>
  <si>
    <t xml:space="preserve"> : pro asf. spáry</t>
  </si>
  <si>
    <t>TĚSNĚNÍ DILATAČ SPAR PRYŽ PÁSKOU NEBO KRUH PROFILEM
předtěsnění spáry podél obrubníků, dle VL4 403.42</t>
  </si>
  <si>
    <t xml:space="preserve"> =2 * (1+45.7+1) + 4 * 9.9</t>
  </si>
  <si>
    <r>
      <t>TĚSNĚNÍ DILATAČ SPAR ASF ZÁLIVKOU MODIFIK PRŮŘ DO 600MM2</t>
    </r>
    <r>
      <rPr>
        <i/>
        <sz val="10"/>
        <color indexed="8"/>
        <rFont val="Arial"/>
        <family val="2"/>
      </rPr>
      <t xml:space="preserve">
těsnící zálivka š.15 mm s předtěsněním vč.nátěru pro zvýšení přilnavosti - podél obrubníku a podél mostního závěru</t>
    </r>
  </si>
  <si>
    <t xml:space="preserve"> =2 * (1+45.7+1)</t>
  </si>
  <si>
    <r>
      <t>TĚSNĚNÍ DILATAČ SPAR ASF ZÁLIVKOU MODIFIK PRŮŘ DO 400MM2</t>
    </r>
    <r>
      <rPr>
        <i/>
        <sz val="10"/>
        <color indexed="8"/>
        <rFont val="Arial"/>
        <family val="2"/>
      </rPr>
      <t xml:space="preserve">
těsnící zálivka š.10 mm s předtěsněním vč.nátěru pro zvýšení přilnavosti - podél vozovky</t>
    </r>
  </si>
  <si>
    <t xml:space="preserve"> =(2+2) * (1+45.7+1) + 4 * 9.9</t>
  </si>
  <si>
    <t>ŘEZÁNÍ ASFALT KRYTU VOZOVEK TL DO 150MM - pro zálivky</t>
  </si>
  <si>
    <t>TĚSNĚNÍ PODÉL VOZOVKY A ODVOD. PROUŽKU</t>
  </si>
  <si>
    <t xml:space="preserve"> = 2 x 4 ks/opěra</t>
  </si>
  <si>
    <t>ks</t>
  </si>
  <si>
    <t>NIVELAČNÍ ZNAČKA NA KONSTRUKCI</t>
  </si>
  <si>
    <t xml:space="preserve">  = 14 pilot na OP1</t>
  </si>
  <si>
    <t>ZKOUŠKA INTEGRITY ULTRAZVUKEM ODRAZ METOD PIT PILOT SYSTÉMOVÝCH
zkouška PIT</t>
  </si>
  <si>
    <t xml:space="preserve"> = 2 x pilota na OP1</t>
  </si>
  <si>
    <t>ZKOUŠKA INTEGRITY ULTRAZVUKEM V TRUBKÁCH PILOT SYSTÉMOVÝCH
zkouška CHA</t>
  </si>
  <si>
    <t xml:space="preserve"> 1 pole</t>
  </si>
  <si>
    <t xml:space="preserve"> =6*9*5</t>
  </si>
  <si>
    <t>kg</t>
  </si>
  <si>
    <t>DROBNÉ DOPLŇK KONSTR KOVOVÉ, trubky pro CHA zkoušky pilot, TR 60/3 dl. 9,1 m, 3ks/pilota</t>
  </si>
  <si>
    <t>kg/m</t>
  </si>
  <si>
    <t>Výpočet</t>
  </si>
  <si>
    <t>Počet</t>
  </si>
  <si>
    <t xml:space="preserve">POPIS ČÁSTI </t>
  </si>
  <si>
    <t>DROBNÉ DOPLŇK KONSTR KOVOVÉ NEREZ - CELKEM</t>
  </si>
  <si>
    <t>jistříště 1 ks /opěra</t>
  </si>
  <si>
    <t>tyče obrubníku (dl. 95,4 m)</t>
  </si>
  <si>
    <t>kotvy obkladu 12 ks/m2 (plocha 46.4 + 9.5 = 57 m2)</t>
  </si>
  <si>
    <t>body pro bludné proudy</t>
  </si>
  <si>
    <t>DROBNÉ DOPLŇK KONSTR KOVOVÉ NEREZ
body pro měření bludných proudů, kotvy obkladu (12 ks/m2), tyče kotvení obrubníku 2 ks/bm</t>
  </si>
  <si>
    <t>kg/ks</t>
  </si>
  <si>
    <t>opěra OP1: 9,8 +7.5
opěra OP2: 11,0 + 4.2
opěra OP2: revizní 14,0</t>
  </si>
  <si>
    <t xml:space="preserve">m </t>
  </si>
  <si>
    <t>ZÁBRADLÍ MOSTNÍ SE SVISLOU VÝPLNÍ - DODÁVKA A MONTÁŽ, zábradlí na opěrách, vč.povrchové úpravy PKO + žárové zinkování ponorem, 50 kg/bm zábradlí</t>
  </si>
  <si>
    <t>ZÁBRADLÍ NA OPĚRÁCH</t>
  </si>
  <si>
    <t xml:space="preserve"> opěra OP1 vlevo a vpravo</t>
  </si>
  <si>
    <t>ZAÚSTĚNÍ SKLUZŮ (VČET DLAŽBY Z LOM KAMENE), vsakovací jímka opěra OP1</t>
  </si>
  <si>
    <t xml:space="preserve"> = 0.8 * (6.8 + 10.3)</t>
  </si>
  <si>
    <t>ŽLABY A RIGOLY DLÁŽDĚNÉ Z LOMOVÉHO KAMENE TL DO 250MM DO BET TL 100MM, žlab do tvaru rigolu do vsakovací jímky,  opěra OP1 vlevo a vpravo</t>
  </si>
  <si>
    <t>šířka</t>
  </si>
  <si>
    <t>SKLUZY</t>
  </si>
  <si>
    <t xml:space="preserve"> = 2 * (1 + 45.7 + 1)</t>
  </si>
  <si>
    <t>BOURÁNÍ (STÁVAJÍCÍ KONSTRUKCE)</t>
  </si>
  <si>
    <t>BOURÁNÍ ČÁSTI Z KAMENNÉHO ZDIVA</t>
  </si>
  <si>
    <t>Dřík OP2 - F01</t>
  </si>
  <si>
    <t>Dřík OP1 - F02</t>
  </si>
  <si>
    <t>Dřík OP1 - F01</t>
  </si>
  <si>
    <t>Křídla za úložným prahem OP1 -  F00</t>
  </si>
  <si>
    <t>BOURÁNÍ - KÁMEN</t>
  </si>
  <si>
    <t>BOURÁNÍ ČÁSTI Z ŽELEZOBETONU</t>
  </si>
  <si>
    <t>Úložný práh - železobeton OP2</t>
  </si>
  <si>
    <t xml:space="preserve">Úložný práh - železobeton OP1 </t>
  </si>
  <si>
    <t xml:space="preserve"> = 6 + 6</t>
  </si>
  <si>
    <t xml:space="preserve"> = 3 + 3</t>
  </si>
  <si>
    <t xml:space="preserve">ODVODNĚNÍ </t>
  </si>
  <si>
    <t xml:space="preserve"> = 2 * 10.3</t>
  </si>
  <si>
    <t>MOSTNÍ ZÁVĚRY POVRCHOVÉ POSUN DO 100 MM, se sníženou hlučností</t>
  </si>
  <si>
    <t>MOSTNÍ ZÁVĚRY</t>
  </si>
  <si>
    <t xml:space="preserve"> = 2 * 2</t>
  </si>
  <si>
    <t xml:space="preserve">LETOPOČET, vč. loga zhotovitele vlysem do betonu, </t>
  </si>
  <si>
    <t xml:space="preserve"> = 2 * 1</t>
  </si>
  <si>
    <t>DOPRAVNÍ ZNAČKY ZÁKLADNÍ VELIKOSTI HLINÍKOVÉ FÓLIE TŘ 1 - DODÁVKA A MONTÁŽ
IS 15a (JIZERA)</t>
  </si>
  <si>
    <t xml:space="preserve">DOPRAVNÍ ZNAČKY </t>
  </si>
  <si>
    <t>90 - OSTATNÍ KONSTRUKCE A PRÁCE</t>
  </si>
  <si>
    <t xml:space="preserve"> = 2*9.5</t>
  </si>
  <si>
    <t>PRAMENNÍ JÍMKA Z BETON TRUB, Vsakovací jímka včetně výplně</t>
  </si>
  <si>
    <t>POTRUBÍ DREN Z TRUB PLAST DN DO 60 MM DĚROVANÝCH, rubová drenáž za stříkaným betonem</t>
  </si>
  <si>
    <t>POTRUBÍ DREN Z TRUB PLAST DN DO 60M , vyústění rubové drenáže</t>
  </si>
  <si>
    <t>OP1: 9.6
OP2: 13.5</t>
  </si>
  <si>
    <t>POTRUBÍ DREN Z TRUB PLAST DN DO 200MM DĚROVANÝCH, rubová drenáž za rubem opěry</t>
  </si>
  <si>
    <t>OP1: 2 *6.5
OP2: 7</t>
  </si>
  <si>
    <t>POTRUBÍ DREN Z TRUB PLAST DN DO 200MM , rubová drenáž, ve svahovém kuželu</t>
  </si>
  <si>
    <t>DRENÁŽ - ODVODNĚNÍ RUBU</t>
  </si>
  <si>
    <t xml:space="preserve"> = 2 * 4,0</t>
  </si>
  <si>
    <t>TRUBKA ODVODNĚNÍ PODÉLNÝ SVOD DN 150 mm</t>
  </si>
  <si>
    <t>SVOD ODVODNĚNÍ VOZOVKY</t>
  </si>
  <si>
    <t>80 - POTRUBÍ</t>
  </si>
  <si>
    <t xml:space="preserve"> = 11.52+5.44</t>
  </si>
  <si>
    <t>OPLOCENÍ Z DRÁTĚNÉHO PLETIVA POTAŽENÉHO PLASTEM - CELKEM</t>
  </si>
  <si>
    <r>
      <t>m</t>
    </r>
    <r>
      <rPr>
        <vertAlign val="superscript"/>
        <sz val="10"/>
        <rFont val="Arial CE"/>
        <family val="2"/>
      </rPr>
      <t>2</t>
    </r>
  </si>
  <si>
    <t>OPLOCENÍ Z DRÁTĚNÉHO PLETIVA POTAŽENÉHO PLASTEM
Oplocení z drátěného pletiva , H=1,6 m, OP2 vpravo, doplnění oplocení u RD</t>
  </si>
  <si>
    <t>OPLOCENÍ Z DRÁTĚNÉHO PLETIVA POTAŽENÉHO PLASTEM
Oplocení z drátěného pletiva , H=1,6 m, OP2 vlevo</t>
  </si>
  <si>
    <t>OPLOCENÍ</t>
  </si>
  <si>
    <t xml:space="preserve"> = 3 * 55.7</t>
  </si>
  <si>
    <t>CHRÁNIČKY V ŘÍMSE</t>
  </si>
  <si>
    <t xml:space="preserve"> = 1300 + 410</t>
  </si>
  <si>
    <t>viz příloha 12.4</t>
  </si>
  <si>
    <t>PROTIKOROZ OCHR OK NÁTĚREM VÍCEVRST SE ZÁKL S VYS OBSAHEM ZN,
protikorozní ochrana oceli NK  AI+PS</t>
  </si>
  <si>
    <t xml:space="preserve">PROTIKOROZ OCHR OK NÁTĚREM VÍCEVRST SE ZÁKL S VYS OBSAHEM ZN,
protikorozní ochrana oceli NK  AI </t>
  </si>
  <si>
    <t>PROTIKOROZNÍ OCHRANA OK</t>
  </si>
  <si>
    <t xml:space="preserve"> = 7.92 + 43.56+28.62</t>
  </si>
  <si>
    <t>NÁTĚRY BETON KONSTR TYP S3 (OS - B) - CELKEM</t>
  </si>
  <si>
    <r>
      <t xml:space="preserve">NÁTĚRY BETON KONSTR TYP S3 (OS - B),  </t>
    </r>
    <r>
      <rPr>
        <i/>
        <sz val="10"/>
        <color indexed="8"/>
        <rFont val="Arial"/>
        <family val="2"/>
      </rPr>
      <t>ochranný nátěr římsy vlevo</t>
    </r>
  </si>
  <si>
    <t>NÁTĚRY BETON KONSTR TYP S3 (OS-B), ochranný nátěr opěr - závěrná zídka</t>
  </si>
  <si>
    <t>NÁTĚRY BETON KONSTR TYP S3 (OS-B), ochranný nátěr opěr - čela NK</t>
  </si>
  <si>
    <t xml:space="preserve"> = (1+45.7+1)*2*0.32</t>
  </si>
  <si>
    <t xml:space="preserve">NÁTĚRY BETON KONSTR TYP S4 (OS-C), ochranný nátěr obrubníkové částí říms </t>
  </si>
  <si>
    <t>NÁTĚRY ŘÍMS</t>
  </si>
  <si>
    <t xml:space="preserve"> = 96.9 + 94.5+67.2+59.5</t>
  </si>
  <si>
    <t>opěra OP2: líc</t>
  </si>
  <si>
    <t>opěra OP2: rub</t>
  </si>
  <si>
    <t>opěra OP1: líc</t>
  </si>
  <si>
    <t>opěra OP1: rub</t>
  </si>
  <si>
    <t>IZOLACE BĚŽNÝCH KONSTRUKCÍ PROTI ZEMNÍ VLHKOSTI ASFALTOVÝMI NÁTĚRY, 1x ALP + 2x Na, rub opěr a líc pod opěr pod terénem</t>
  </si>
  <si>
    <t xml:space="preserve"> = (1+45.7+1)*(1+2.5)</t>
  </si>
  <si>
    <t xml:space="preserve">OCHRANA IZOLACE NA POVRCHU ASFALTOVÝMI PÁSY
Ochrana izolace pod řimsami (NAIP s Al vložkou)
</t>
  </si>
  <si>
    <t xml:space="preserve"> = (1+45.7+1)*10,0</t>
  </si>
  <si>
    <t>IZOLACE MOSTOVEK CELOPLOŠNÁ ASFALTOVÝMI PÁSY
izolace tl. 5 mm</t>
  </si>
  <si>
    <t>IZOLACE</t>
  </si>
  <si>
    <t>70 - PŘIDRUŽENÁ STAVEBNÍ VÝROBA</t>
  </si>
  <si>
    <t>viz kamenný obklad opěr (kamen 53.71m2+beton 9.50 m2)</t>
  </si>
  <si>
    <t>REPROFILACE PODHLEDŮ, SVISLÝCH PLOCH SANAČNÍ MALTOU DVOUVRST TL 50 MM, podkladní vrstva kamenného obkladu</t>
  </si>
  <si>
    <t>viz mozaika</t>
  </si>
  <si>
    <t>REPROFILACE PODHLEDŮ, SVISLÝCH PLOCH SANAČNÍ MALTOU DVOUVRST TL 15 MM, podkladní vrstva kamenné mozaiky</t>
  </si>
  <si>
    <t>60 - ÚPRAVY POVRCHŮ</t>
  </si>
  <si>
    <t xml:space="preserve"> = 1,0 m + délka NK mostu 45,7 m + 1,0 m + 9,3</t>
  </si>
  <si>
    <t>DLÁŽDĚNÉ KRYTY Z MOZAIK KOSTEK JEDNOBAREV BEZ LOŽE, vč. spárování, římsa vpravo</t>
  </si>
  <si>
    <t xml:space="preserve"> = (1+45.7+1)*2*0.5</t>
  </si>
  <si>
    <t xml:space="preserve">LITÝ ASFALT MA IV (OCHRANA MOSTNÍ IZOLACE) 11 TL. 80 MM, odvodňovací proužek </t>
  </si>
  <si>
    <t xml:space="preserve"> = (1+45.7+1)*6.5</t>
  </si>
  <si>
    <t>LITÝ ASFALT MA IV (OCHRANA MOSTNÍ IZOLACE) 11 TL. 35MM, ochrana izolace</t>
  </si>
  <si>
    <t xml:space="preserve"> = (1+45.7+1)*5.5</t>
  </si>
  <si>
    <t>ASFALTOVÝ BETON PRO OBRUSNÉ VRSTVY MODIFIK ACO 11 TL. 40MM, ložná a obrusná vrstva</t>
  </si>
  <si>
    <t>50 - KOMUNIKACE</t>
  </si>
  <si>
    <t xml:space="preserve"> = 50.16+29.51+15.89+6.30+12.25</t>
  </si>
  <si>
    <t>DLAŽBY Z LOMOVÉHO KAMENE NA MALTU CEMENTOVOU - CELKEM</t>
  </si>
  <si>
    <t>OP2 před lícem</t>
  </si>
  <si>
    <t>OP2 vlevo</t>
  </si>
  <si>
    <t>OP1 před lícem</t>
  </si>
  <si>
    <t>OP1vpravo</t>
  </si>
  <si>
    <t>OP1 vlevo</t>
  </si>
  <si>
    <r>
      <t>DLAŽBY Z LOMOVÉHO KAMENE NA MALTU CEMENTOVOU</t>
    </r>
    <r>
      <rPr>
        <i/>
        <sz val="10"/>
        <color indexed="8"/>
        <rFont val="Arial"/>
        <family val="2"/>
      </rPr>
      <t xml:space="preserve">
kamenná dlažba tl.200 mm do betonu C25/30 tl.150 mm vyspárovaná maltou s odolností XF2, vč.olemovavání kamennými obrubami, podél křídel, konstrukce revizních schodišť</t>
    </r>
  </si>
  <si>
    <t xml:space="preserve"> = 7.2+6.93+7.92+12.32 + 2.34</t>
  </si>
  <si>
    <t>PODKLADNÍ A VÝPLŇOVÉ VRSTVY Z PROSTÉHO BETONU C25/30 - CELKEM</t>
  </si>
  <si>
    <t>Výplň za rubem zárubní zdi OP2 - napojení na skálu</t>
  </si>
  <si>
    <t xml:space="preserve">Výplň za rubem zárubní zdi čelní </t>
  </si>
  <si>
    <t>Výplň za rubem zárubní zdi OP2 vpravo</t>
  </si>
  <si>
    <t>Výplň za rubem zárubní zdi OP2 vlevo</t>
  </si>
  <si>
    <r>
      <t>m</t>
    </r>
    <r>
      <rPr>
        <vertAlign val="superscript"/>
        <sz val="10"/>
        <rFont val="Arial CE"/>
        <family val="2"/>
      </rPr>
      <t>2</t>
    </r>
  </si>
  <si>
    <t>Výplň pod dlžbu OP1 v čele</t>
  </si>
  <si>
    <t>PODKLADNÍ A VÝPLŇOVÉ VRSTVY Z PROSTÉHO BETONU C25/30 - vyrovnání terénu pod dlažby</t>
  </si>
  <si>
    <t>tloušťka</t>
  </si>
  <si>
    <t>DLAŽBY</t>
  </si>
  <si>
    <t xml:space="preserve"> = 2*1*0.8</t>
  </si>
  <si>
    <t>POHOZ DNA A SVAHŮ Z KAMENIVA DRCENÉHO
výplň vsakovacích jímek</t>
  </si>
  <si>
    <t>VÝPLŇ VSAKOVACÍ JÍMKY</t>
  </si>
  <si>
    <t>MOSTNÍ LOŽISKA OSTATNÍ PRO ZATÍŽ DO 5,0MN - VŠESMĚRNÉ</t>
  </si>
  <si>
    <t>MOSTNÍ LOŽISKA OSTATNÍ PRO ZATÍŽ DO 5,0MN - JEDNOSMĚRNĚ POSUVNÉ</t>
  </si>
  <si>
    <t xml:space="preserve"> </t>
  </si>
  <si>
    <t>MOSTNÍ LOŽISKA OSTATNÍ PRO ZATÍŽ DO 5,0MN - PEVNÉ</t>
  </si>
  <si>
    <t>LOŽISKA</t>
  </si>
  <si>
    <t xml:space="preserve"> = 0.38 * 113.34</t>
  </si>
  <si>
    <t>VÝZTUŽ MOSTNÍ DESKOVÉ KONSTRUKCE Z OCELI B500B (10505), 380 kg/m3</t>
  </si>
  <si>
    <t xml:space="preserve"> = 45.7*2.48</t>
  </si>
  <si>
    <t>ŽB DESKA MOSTOVKY VČ. ZTRACENÉHO BEDNĚNÍ</t>
  </si>
  <si>
    <t>MOSTNÍ NOSNÉ DESKOVÉ KONSTRUKCE ZE ŽELEZOBETONU C35/45</t>
  </si>
  <si>
    <t>DESKA MOSTOVKY - ŽELEZOBETON C35/45</t>
  </si>
  <si>
    <t>DESKA MOSTOVKY</t>
  </si>
  <si>
    <t>VIZ PŘ. 12.4 - VÝKAZ OCELI</t>
  </si>
  <si>
    <t>MOSTNÍ NOSNÉ TRÁMOVÉ KONSTR Z OCELI ŘADY 355 a S460, dodávka, montáž, vč. protikorozní ochrany a příslušenství</t>
  </si>
  <si>
    <t>OCELOVÁ MOSTNÍ NOSNÁ KONSTRUKCE</t>
  </si>
  <si>
    <t>NOSNÁ KONSTRUKCE</t>
  </si>
  <si>
    <t>40 - VODOROVNÉ KONSTRUKCE</t>
  </si>
  <si>
    <t xml:space="preserve"> = 9.24 + 10.56 + 13.44 + 3.12</t>
  </si>
  <si>
    <t>ZDI OPĚRNÉ ZÁRUBNÍ Z KAMENE LOMOVÝCH VÝROBKŮ  - CELKEM</t>
  </si>
  <si>
    <t>zárubní zeď OP2 napojení na skálu</t>
  </si>
  <si>
    <t>zárubní zeď OP2 čelní vč. kamenné římsy</t>
  </si>
  <si>
    <t>zárubní zeď OP2 vpravo vč. kamenné římsy</t>
  </si>
  <si>
    <t>zárubní zeď OP2 vlevo vč. kamenné římsy</t>
  </si>
  <si>
    <t>ZDI OPĚRNÉ ZÁRUBNÍ Z KAMENE LOMOVÝCH VÝROBKŮ (ZDĚNÍ) NA CEMENTOVOU MALTU,  zárubní zdi okolo opěry OP2</t>
  </si>
  <si>
    <t>Tloušťka</t>
  </si>
  <si>
    <t>ZÁRUBNÍ ZDI - OPĚRA OP2</t>
  </si>
  <si>
    <t>ZDI, STĚNY , PLOTY Z DÍLCŮ BETONOVÝCH DÍLCŮ C25/30, podezdívka plotu opěra OP2 vpravo napojení na RD, tl. 0.3 m, h=0.8 m</t>
  </si>
  <si>
    <t>SLOUPKY OHRADNÍ A PLOTOVÉ Z DÍLCŮ KOVOVÝCH, sloupky oplocení  15kg/ks á 1,5 m, plot opěra OP2</t>
  </si>
  <si>
    <t>Hmot/ks</t>
  </si>
  <si>
    <t xml:space="preserve"> = 1.8 + 0.525</t>
  </si>
  <si>
    <t>OBKLAD MOST OPĚR A KŘÍDEL Z BETONOVÝCH TVÁRNIC - CELKEM</t>
  </si>
  <si>
    <t>opěra OP2 křídlo vlevo</t>
  </si>
  <si>
    <t>opěra OP1 křídla</t>
  </si>
  <si>
    <t>OBKLAD MOST OPĚR A KŘÍDEL Z BETONOVÝCH TVÁRNIC, obklad pod terénem
včetně  kotvení se všemi souvisejícími materiály a pracemi (předpoklad 12 kotev/m2), dodávku předepsané malty, spárování, celková tl. 200 mm</t>
  </si>
  <si>
    <r>
      <t xml:space="preserve"> = 3.13+4,5+0.41+1,18+</t>
    </r>
    <r>
      <rPr>
        <sz val="10"/>
        <color indexed="10"/>
        <rFont val="Arial CE"/>
        <family val="2"/>
      </rPr>
      <t>1.095</t>
    </r>
  </si>
  <si>
    <t>OBKLAD MOST OPĚR A KŘÍDEL Z LOM KAMENE - CELKEM</t>
  </si>
  <si>
    <t>opěra OP2 křídlo vpravo</t>
  </si>
  <si>
    <t>opěra OP2 líc</t>
  </si>
  <si>
    <r>
      <t>m</t>
    </r>
    <r>
      <rPr>
        <vertAlign val="superscript"/>
        <sz val="10"/>
        <rFont val="Arial CE"/>
        <family val="2"/>
      </rPr>
      <t>4</t>
    </r>
  </si>
  <si>
    <t>opěra OP1 líc</t>
  </si>
  <si>
    <t>OBKLAD MOST OPĚR A KŘÍDEL Z LOM KAMENE
včetně  kotvení se všemi souvisejícími materiály a pracemi (předpoklad 12 kotev/m2), dodávku předepsané malty, spárování, celková tl. 200 mm</t>
  </si>
  <si>
    <t xml:space="preserve"> = 0.16 * 148.38</t>
  </si>
  <si>
    <t>VÝZTUŽ MOSTNÍCH OPĚR A KŘÍDEL Z OCELI B500B (10505), 160 kg/m3</t>
  </si>
  <si>
    <t xml:space="preserve"> = 90.05 + 58.33</t>
  </si>
  <si>
    <t>DŘÍKY OPĚR - CELKEM</t>
  </si>
  <si>
    <t>OPĚRA OP2 - DŘÍK</t>
  </si>
  <si>
    <t>Křídlo - vpravo</t>
  </si>
  <si>
    <t>Křídlo - vlevo</t>
  </si>
  <si>
    <t>Uložné bločky</t>
  </si>
  <si>
    <t>Dřík - přesahy</t>
  </si>
  <si>
    <t>Dřík - kraje</t>
  </si>
  <si>
    <t>Dřík - střed</t>
  </si>
  <si>
    <t>MOSTNÍ OPĚRY A KŘÍDLA Z DÍLCŮ ŽELEZOBETON</t>
  </si>
  <si>
    <t>DŘÍK - OPĚRA OP2 - ŽELEZOBETON C30/37</t>
  </si>
  <si>
    <t>OPĚRA OP1 - DŘÍK</t>
  </si>
  <si>
    <t>Křídlo - konzola</t>
  </si>
  <si>
    <t>Křídlo - boky</t>
  </si>
  <si>
    <t>DŘÍK - OPĚRA OP1 - ŽELEZOBETON C30/37</t>
  </si>
  <si>
    <t xml:space="preserve"> = (45*2/1,0+2)*6</t>
  </si>
  <si>
    <t xml:space="preserve">KG        </t>
  </si>
  <si>
    <t>KOVOVÉ KONSTRUKCE PRO KOTVENÍ ŘÍMSY
kompletní vč.vrtání a vlepení, po 1m vč.PKO, odhad 6 kg/kus, 1 ks/bm římsy</t>
  </si>
  <si>
    <t>kg/kus</t>
  </si>
  <si>
    <t>hm/kus</t>
  </si>
  <si>
    <t>počet</t>
  </si>
  <si>
    <t xml:space="preserve"> = 0.15 * 33.75</t>
  </si>
  <si>
    <t>VÝZTUŽ ŘÍMS Z OCELI B500B (10505), 150 kg/m3</t>
  </si>
  <si>
    <t xml:space="preserve"> = 6.86 + 19.19 + 3+2.63+1.68+0.40</t>
  </si>
  <si>
    <t>ŘÍMSY - CELKEM</t>
  </si>
  <si>
    <t>ŘÍMSA - OPĚRA OP1 VPRAVO</t>
  </si>
  <si>
    <t>ŘÍMSA - OPĚRA OP1 VLEVO</t>
  </si>
  <si>
    <t>ŘÍMSA - NOSNÁ KONSTRUKCE VPRAVO</t>
  </si>
  <si>
    <t>ŘÍMSA - NOSNÁ KONSTRUKCE VLEVO</t>
  </si>
  <si>
    <t>ŘÍMSY</t>
  </si>
  <si>
    <t>30 - SVISLÉ KONSTRUKCE</t>
  </si>
  <si>
    <t>INJEKTOVÁNÍ NÍZKOTLAKÉ Z CEMENTOVÉ MALTY NA POVRCHU, výplň diskontinuit v podloží pod opěrou OP2</t>
  </si>
  <si>
    <t>SANACE PODLOŽÍ OPĚRA OP2</t>
  </si>
  <si>
    <t xml:space="preserve"> = 105*(2*11)/1000</t>
  </si>
  <si>
    <t>VÝZTUŽ KARI , 2 x síť KARI 8/100/100 ( 2 x 11 kg/m2)</t>
  </si>
  <si>
    <t>STŘÍKANÝ BETON, TL. 200 MM</t>
  </si>
  <si>
    <t>výška</t>
  </si>
  <si>
    <t>PAŽENÍ OPĚRA OP2</t>
  </si>
  <si>
    <t>DRENÁŽNÍ VRSTVY Z PLASTBETONU  - CELKEM</t>
  </si>
  <si>
    <t>dilatační spára obrubníků  á 4,6 m</t>
  </si>
  <si>
    <t>pod obrubníky</t>
  </si>
  <si>
    <t>v místě trubičky</t>
  </si>
  <si>
    <t>v místě odvodňvače</t>
  </si>
  <si>
    <t>v ose v úžlabí 35 mm x 150 mm</t>
  </si>
  <si>
    <t>DRENÁŽNÍ VRSTVY Z PLASTBETONU (PLASTMALTY), žlab podél mostu a u závěru, kolem odvodňovačů a trubiček, uložení obrubníků, dilatační spáry říms.</t>
  </si>
  <si>
    <t>Plocha celk.</t>
  </si>
  <si>
    <t>DRENÁŽNÍ PLASTBETON (PLASTMALTA)</t>
  </si>
  <si>
    <t xml:space="preserve"> = 6 * (5 *2.3)</t>
  </si>
  <si>
    <t>VRTY PRO KOTV, INJEKT, MIKROPIL NA POVRCHU TŘ V D DO 250 MM, předvrty ve stávajícícm základu na OP1 pro vrtání pilot</t>
  </si>
  <si>
    <t>VRTY PRO KOTV, INJEKT, MIKROPIL NA POVRCHU TŘ III D DO 80MM, vrty pro výplň diskotinuit</t>
  </si>
  <si>
    <r>
      <t xml:space="preserve"> </t>
    </r>
    <r>
      <rPr>
        <sz val="10"/>
        <rFont val="Arial"/>
        <family val="0"/>
      </rPr>
      <t xml:space="preserve"> :délka pažení 28 m, á 2 m (+ 1 za každou stranu)
 = (28/2+3)*(2+1.5)</t>
    </r>
  </si>
  <si>
    <t>VRTY PRO KOTV, INJEKT, MIKROPIL NA POVRCHU TŘ III D DO 80MM, vrty pro tyčové sporníky, pažení stavební jámy OP2, 2 úrovně (dl. 2,0  m + dl. 1,5m) á 2 m</t>
  </si>
  <si>
    <t>VRTY PRO KOTV, INJEKT, MIKROPIL NA POVRCHU TŘ V D DO 20MM, vrty do obrubníků</t>
  </si>
  <si>
    <t>Délka celk</t>
  </si>
  <si>
    <t>Délka/ks</t>
  </si>
  <si>
    <t>VÝZTUŽ ZÁKLADŮ Z OCELI B500B (10505), 160 kg/m3</t>
  </si>
  <si>
    <t xml:space="preserve"> = 65.29 + 49.40</t>
  </si>
  <si>
    <t>ZÁKLADY OPĚR - CELKEM</t>
  </si>
  <si>
    <t>OPĚRA OP2 - ZÁKLAD</t>
  </si>
  <si>
    <t>Základ - křídla</t>
  </si>
  <si>
    <t>Základ dřík</t>
  </si>
  <si>
    <t xml:space="preserve"> ZÁKLAD - OPĚRA OP2 - ŽELEZOBETON</t>
  </si>
  <si>
    <t>OPĚRA OP1 - ZÁKLAD</t>
  </si>
  <si>
    <t>ZÁKLADY ZE ŽELEZOBETONU DO C30/37 (B37), vč. izolace proti zemní vlhkosti</t>
  </si>
  <si>
    <t>ZÁKLAD - OPĚRA OP1 - ŽELEZOBETON</t>
  </si>
  <si>
    <t>ZÁKLADY  SPODNÍ STAVBY</t>
  </si>
  <si>
    <t xml:space="preserve"> = 5</t>
  </si>
  <si>
    <t>NAPNUTÍ KABELOVÝCH KOTEV DO 0,15 MN</t>
  </si>
  <si>
    <t xml:space="preserve"> =0.04*20</t>
  </si>
  <si>
    <t>INJEKTOVÁNÍ NÍZKOTLAKÉ Z CEMENTOVÉ MALTY NA POVRCHU, KOŘENY KOTEV , opěra OP2</t>
  </si>
  <si>
    <t>Celkem dl.</t>
  </si>
  <si>
    <t xml:space="preserve"> =5*6</t>
  </si>
  <si>
    <t>VRTÁNÍ V HORNINĚ TŘ. III pr. 156 mm</t>
  </si>
  <si>
    <t>VRTÁNÍ KOTEV PR. DO 200 MM</t>
  </si>
  <si>
    <t xml:space="preserve"> =5*8</t>
  </si>
  <si>
    <t>ZEMNÍ KOTVY TRVALÉ KOMPLET DO pr. 200 mm, KOTVY KABELOVÉ PRO NOSNOST DO 0,15 MN</t>
  </si>
  <si>
    <t>ZEMNÍ KOTVY OP2</t>
  </si>
  <si>
    <t xml:space="preserve"> =32*9</t>
  </si>
  <si>
    <t>VRTÁNÍ MIKROPILOTY PR. DO 200 MM</t>
  </si>
  <si>
    <t>MIKROPILOTY OP2</t>
  </si>
  <si>
    <t xml:space="preserve"> =32*9,75</t>
  </si>
  <si>
    <r>
      <t>m</t>
    </r>
  </si>
  <si>
    <t>MIKROPILOTY KOMPLET D DO 200 MM NA POVRCHU (TR 108/16)</t>
  </si>
  <si>
    <t xml:space="preserve"> =14*3.5</t>
  </si>
  <si>
    <t>VRTY PRO PILOTY TŘ. III D DO 1000 mm, pr. 880 mm (HORNINY R3/R4/R5)</t>
  </si>
  <si>
    <t xml:space="preserve"> =14*6.7</t>
  </si>
  <si>
    <t>VRTY PRO PILOTY TŘ. I D DO 1000 mm,  pr. 880 mm (ZEMINY)</t>
  </si>
  <si>
    <t>VRTY PRO PILOTY DO 1000 mm</t>
  </si>
  <si>
    <t xml:space="preserve"> = 0.1 * 84.77</t>
  </si>
  <si>
    <t>VÝZTUŽ PILOT Z OCELI B500B (10505), 100 kg/m3</t>
  </si>
  <si>
    <t xml:space="preserve"> = 77.06+7.71</t>
  </si>
  <si>
    <t>PILOTY OP1 - CELKEM</t>
  </si>
  <si>
    <t xml:space="preserve"> =10%.14*9.05*0.62</t>
  </si>
  <si>
    <t>PILOTY - VÝLOM PŘI VRTÁNÍ 10%</t>
  </si>
  <si>
    <t xml:space="preserve"> =14*9.05*0.61</t>
  </si>
  <si>
    <t>PILOTY pr. 880 mm - TEOTERICKÝ PROFIL</t>
  </si>
  <si>
    <t>PILOTY ZE ŽELEZOBETONU C30/37 (OPĚRA OP1)</t>
  </si>
  <si>
    <t>Profil</t>
  </si>
  <si>
    <t>ZALOŽENÍ SPODNÍ STAVBY</t>
  </si>
  <si>
    <t xml:space="preserve"> = 28.6+67.86+4.16+27.36</t>
  </si>
  <si>
    <t>TĚSNÍCI VRSTVA BETON - CELKEM (ZÁKLADY Z PROST BETONU DO C20/25)</t>
  </si>
  <si>
    <t>OPĚRA OP2 -  TĚSNÍCÍ VRSTVA PŘECHODOVÁ OBLAST - ZA DŘÍKEM</t>
  </si>
  <si>
    <t>OPĚRA OP2 -  TĚSNÍCÍ VRSTVA PŘECHODOVÁ OBLAST - ZA KŘÍDLEM</t>
  </si>
  <si>
    <t>OPĚRA OP1 -  TĚSNÍCÍ VRSTVA PŘECHODOVÁ OBLAST - ZA DŘÍKEM</t>
  </si>
  <si>
    <t>OPĚRA OP1 -  TĚSNÍCÍ VRSTVA PŘECHODOVÁ OBLAST - ZA KŘÍDLY</t>
  </si>
  <si>
    <t>ZÁKLADY Z PROST BETONU DO C2025</t>
  </si>
  <si>
    <t xml:space="preserve"> = 11.55+8.76+21.6</t>
  </si>
  <si>
    <t>PODKLADNÍ BETON - CELKEM (ZÁKLADY Z PROST BETONU DO C12/15)</t>
  </si>
  <si>
    <t>V PŘÍPADĚ ZVÝŠENÉHO PRŮSAKU PODZEMNÍ VODY</t>
  </si>
  <si>
    <t>OPĚRA OP1 -  TĚSNĚNÍ DNA STAVEBNÍ JÁMY</t>
  </si>
  <si>
    <t>OPĚRA OP2 -  PODKLADNÍ BETON</t>
  </si>
  <si>
    <t>OPĚRA OP1 -  PODKLADNÍ BETON</t>
  </si>
  <si>
    <t>ZÁKLADY Z PROST BETONU DO C12/15</t>
  </si>
  <si>
    <t xml:space="preserve"> = 207.48 + 74.1</t>
  </si>
  <si>
    <t>DRENÁŽNÍ BETON MCB - CELKEM</t>
  </si>
  <si>
    <t>OPĚRA OP2 -  PŘECHODOVÁ OBLAST</t>
  </si>
  <si>
    <t>OPĚRA OP1 -  PŘECHODOVÁ OBLAST</t>
  </si>
  <si>
    <t>POHOZ DNA A SVAHŮ Z KAMENIVA LOMOVÉHO
kamenný zához opěry OP1 na levém břehu Jizery (kámen min. 100 kg/ks)</t>
  </si>
  <si>
    <t xml:space="preserve"> : délka tyče +0.3 m 
(2+0,3)+(1,5+0.3) = 4.1 m (délka tyčí v řezu)</t>
  </si>
  <si>
    <t>4.1 m</t>
  </si>
  <si>
    <t>17 ks</t>
  </si>
  <si>
    <t>KOTVENÍ NA POVRCHU Z BETONÁŘSKÉ VÝZTUŽE DL. DO 2M, svorníky zajištění skalního svahu</t>
  </si>
  <si>
    <t xml:space="preserve"> = 35.4*4*0.156</t>
  </si>
  <si>
    <t>VYTAŽENÍ ŠTĚTOVÝCH STĚN Z KOVOVÝCH DÍLCŮ (HMOTNOST), 155 kg/m2</t>
  </si>
  <si>
    <t xml:space="preserve"> = 35.4*4*0.155</t>
  </si>
  <si>
    <t>ŠTĚTOVÉ STĚNY BERANĚNÉ Z KOVOVÝCH DÍLCŮ DOČASNÉ (HMOTNOST)
dočasné pažící konstrukce, včetně kotevních prvků štětovnicové stěny plavebního kanálu, 155 kg/m2</t>
  </si>
  <si>
    <t>PAŽENÍ - STĚTOVNICOVÁ STĚNA</t>
  </si>
  <si>
    <t xml:space="preserve"> = 0.24*47.7*2</t>
  </si>
  <si>
    <r>
      <t>DRENÁŽNÍ VRSTVY Z GEOTEXTILIE</t>
    </r>
    <r>
      <rPr>
        <i/>
        <sz val="10"/>
        <color indexed="8"/>
        <rFont val="Arial"/>
        <family val="2"/>
      </rPr>
      <t xml:space="preserve">
1 x vrstva geotextilie na rubu obrubníku</t>
    </r>
  </si>
  <si>
    <t>opěra  OP2 - rub k těsnící vrstvě</t>
  </si>
  <si>
    <t>opěra  OP1 - rub k těsnící vrstvě</t>
  </si>
  <si>
    <r>
      <t>DRENÁŽNÍ VRSTVY Z GEOTEXTILIE</t>
    </r>
    <r>
      <rPr>
        <i/>
        <sz val="10"/>
        <color indexed="8"/>
        <rFont val="Arial"/>
        <family val="2"/>
      </rPr>
      <t xml:space="preserve">
2 x vrstva geotextilie na rubu opěry a křídel</t>
    </r>
  </si>
  <si>
    <t>20 - ZÁKLADY</t>
  </si>
  <si>
    <t>hod</t>
  </si>
  <si>
    <t>stavební jáma OP1 - přítok do 10 m3/24 hod celá jáma</t>
  </si>
  <si>
    <t>ČERPÁNÍ VODY NA POVRCHU DO 500l/min</t>
  </si>
  <si>
    <t>čerpadel</t>
  </si>
  <si>
    <t>dnů</t>
  </si>
  <si>
    <t xml:space="preserve">Celkem </t>
  </si>
  <si>
    <t xml:space="preserve">Počet </t>
  </si>
  <si>
    <t>ČERPÁNÍ VODY</t>
  </si>
  <si>
    <t>ULOŽENÍ SYPANINY DO NÁSYPŮ 95% - CELKEM</t>
  </si>
  <si>
    <t>násyp</t>
  </si>
  <si>
    <t>obsyp</t>
  </si>
  <si>
    <t>VYKOPÁVKY ZE ZEMNÍKŮ A SKLÁDEK TŘ. I, ODVOZ DO 20KM, vykopání zeminy, veškerá manipulace a odvoz zeminy ze zemníku do místa uložení</t>
  </si>
  <si>
    <t>NÁSYPY  A OBSYPY - ZEMINA</t>
  </si>
  <si>
    <t>Kužel OP1 - vpravo svah čelní</t>
  </si>
  <si>
    <t>Kužel OP1 - vpravo kužel</t>
  </si>
  <si>
    <t>Kužel OP1 - vpravo násyp</t>
  </si>
  <si>
    <t xml:space="preserve">Kužel OP1 - vpravo svah </t>
  </si>
  <si>
    <t>Kužel OP1 - vlevo svah čelní</t>
  </si>
  <si>
    <t>Kužel OP1 - vlevo kužel</t>
  </si>
  <si>
    <t>Kužel OP1 - vlevo násyp</t>
  </si>
  <si>
    <t xml:space="preserve">Kužel OP1 - vlevo svah </t>
  </si>
  <si>
    <t>Poměr</t>
  </si>
  <si>
    <t>NÁSYPY  - KUŽELE</t>
  </si>
  <si>
    <t>ULOŽENÍ SYPANINY DO NÁSYPŮ 100% - CELKEM</t>
  </si>
  <si>
    <t>obsyp OP1 vpravo do úrovně terénu</t>
  </si>
  <si>
    <t>obsyp OP1 na základem křídla</t>
  </si>
  <si>
    <t>obsyp OP1 z boku základu vleva a vpravo</t>
  </si>
  <si>
    <t>obsyp OP1 před a za základem vleva a vpravo</t>
  </si>
  <si>
    <t>OBSYP OPĚR</t>
  </si>
  <si>
    <t xml:space="preserve"> = 30*(30+5)</t>
  </si>
  <si>
    <t>Štěpkování ořezaných větví D do 10 cm s odvozem do 20 km, 30 ks/strom</t>
  </si>
  <si>
    <t>KÁCENÍ STROMŮ D KMENE DO 0,9M S ODSTRANĚNÍM PAŘEZŮ, ODVOZ DO 5KM, viz příloha G.7, stromy 4, 6, 20, 30 + pravý břeh 2 ks</t>
  </si>
  <si>
    <t>KÁCENÍ STROMŮ D KMENE DO 0,5M S ODSTRANĚNÍM PAŘEZŮ, ODVOZ DO 5KM,  viz příloha G.7, stromy 1-3, 5, 7-19, 21-25, 29, 31-33 + pravý břeh 10 ks</t>
  </si>
  <si>
    <t xml:space="preserve"> = 50%(1674+1697)+(711+636+200+7)</t>
  </si>
  <si>
    <t>viz příloha G.7, křoviny a a d (50% plochy), křoviny b, c, e, f (100%)</t>
  </si>
  <si>
    <t>KÁCENÍ - SO 202</t>
  </si>
  <si>
    <t>plocha ZS opěry OP1</t>
  </si>
  <si>
    <t>viz ornice * TL. 0.15</t>
  </si>
  <si>
    <t>SEJMUTÍ ORNICE NEBO LESNÍ PŮDY
Sejmutí ornice - ze svahů břehů  tl. 0.15 m</t>
  </si>
  <si>
    <t>viz ornice</t>
  </si>
  <si>
    <t>plocha OP1: 2 * 90 = 180 m2
plchha OP2: 30 m2</t>
  </si>
  <si>
    <t>ORNICE - SO 202</t>
  </si>
  <si>
    <t xml:space="preserve"> = 60.06 + 17.10</t>
  </si>
  <si>
    <t>TĚSNÍCÍ FOLIE - CELKEM</t>
  </si>
  <si>
    <t>TĚSNÍCÍ VRSTVA - PŘECHODOVÁ OBLAST OP2</t>
  </si>
  <si>
    <t>TĚSNÍCÍ VRSTVA - PŘECHODOVÁ OBLAST OP1</t>
  </si>
  <si>
    <t>ZŘÍZENÍ TĚSNĚNÍ Z JINÝCH MATERIÁLŮ</t>
  </si>
  <si>
    <t>Výkopy OP2 do úrovně vrtání mikropilot (R3)</t>
  </si>
  <si>
    <t>VÝKOPY tř. III</t>
  </si>
  <si>
    <t xml:space="preserve"> = 544.36+168.13+147.5+5.4+21.6</t>
  </si>
  <si>
    <t>VÝKOPY TŘ. I - CELKEM</t>
  </si>
  <si>
    <t>v případě průsaků podzemní vody</t>
  </si>
  <si>
    <t>Výkop pro dotěsnění stavební jámy - OP1</t>
  </si>
  <si>
    <t>Výkop pro zához - OP1</t>
  </si>
  <si>
    <t>Výkopy stavební jámy svrchní vrstvy - OP2</t>
  </si>
  <si>
    <t>Výkopy na dno stavební jámy - OP1</t>
  </si>
  <si>
    <t>Výkopy do úrovně vrtání pilot - OP1</t>
  </si>
  <si>
    <t>VÝKOPY tř. I</t>
  </si>
  <si>
    <t>10 - ZEMNÍ PRÁCE</t>
  </si>
  <si>
    <t xml:space="preserve">SO 202 - MOST </t>
  </si>
  <si>
    <t>Oceněný soupis prací</t>
  </si>
  <si>
    <t>DIO</t>
  </si>
  <si>
    <t>914122</t>
  </si>
  <si>
    <t>DOPRAVNÍ ZNAČKY ZÁKLADNÍ VELIKOSTI OCELOVÉ FÓLIE TŘ 1 - MONTÁŽ S PŘEMÍSTĚNÍM</t>
  </si>
  <si>
    <t>položka zahrnuje:
- dopravu demontované značky z dočasné skládky
- osazení a montáž značky na místě určeném projektem
- nutnou opravu poškozených částí
nezahrnuje dodávku značky</t>
  </si>
  <si>
    <t>914123</t>
  </si>
  <si>
    <t>DOPRAVNÍ ZNAČKY ZÁKLADNÍ VELIKOSTI OCELOVÉ FÓLIE TŘ 1 - DEMONTÁŽ</t>
  </si>
  <si>
    <t>914129</t>
  </si>
  <si>
    <t>DOPRAV ZNAČKY ZÁKLAD VEL OCEL FÓLIE TŘ 1 - NÁJEMNÉ</t>
  </si>
  <si>
    <t>KSDEN</t>
  </si>
  <si>
    <t>položka zahrnuje sazbu za pronájem dopravních značek a zařízení, počet jednotek je určen jako součin počtu značek a počtu dní použití</t>
  </si>
  <si>
    <t>914222</t>
  </si>
  <si>
    <t>DOPRAVNÍ ZNAČKY ZVĚTŠENÉ VELIKOSTI OCELOVÉ FÓLIE TŘ 1 - MONTÁŽ S PŘEMÍSTĚNÍM</t>
  </si>
  <si>
    <t>914223</t>
  </si>
  <si>
    <t>DOPRAVNÍ ZNAČKY ZVĚTŠENÉ VELIKOSTI OCELOVÉ FÓLIE TŘ 1 - DEMONTÁŽ</t>
  </si>
  <si>
    <t>914229</t>
  </si>
  <si>
    <t>DOPRAV ZNAČKY ZVĚTŠ VEL OCEL FÓLIE TŘ 1 - NÁJEMNÉ</t>
  </si>
  <si>
    <t>914922</t>
  </si>
  <si>
    <t>SLOUPKY A STOJKY DZ Z OCEL TRUBEK DO PATKY MONTÁŽ S PŘESUNEM</t>
  </si>
  <si>
    <t>914923</t>
  </si>
  <si>
    <t>SLOUPKY A STOJKY DZ Z OCEL TRUBEK DO PATKY DEMONTÁŽ</t>
  </si>
  <si>
    <t>914929</t>
  </si>
  <si>
    <t>SLOUPKY A STOJKY DZ Z OCEL TRUBEK DO PATKY NÁJEMNÉ</t>
  </si>
  <si>
    <t>položka zahrnuje:
- dopravu demontovaného zařízení z dočasné skládky
- osazení a montáž zařízení na místě určeném projektem
- nutnou opravu poškozených částí
nezahrnuje dodávku sloupku, stojky a upevňovacího zařízení</t>
  </si>
  <si>
    <t>položka zahrnuje sazbu za pronájem dopravních značek a zařízení. Počet měrných jednotek se určí jako součin počtu sloupků a počtu dní použití</t>
  </si>
  <si>
    <t>911EE2</t>
  </si>
  <si>
    <t>SVODIDLO BETON, ÚROVEŇ ZADRŽ H4 VÝŠ 1,1M - MONTÁŽ S PŘESUNEM (BEZ DODÁVKY)</t>
  </si>
  <si>
    <t>911EE3</t>
  </si>
  <si>
    <t>SVODIDLO BETON, ÚROVEŇ ZADRŽ H4 VÝŠ 1,1M - DEMONTÁŽ S PŘESUNEM</t>
  </si>
  <si>
    <t>911EE9</t>
  </si>
  <si>
    <t>SVODIDLO BETON, ÚROVEŇ ZADRŽ H4 VÝŠ 1,1M - NÁJEM</t>
  </si>
  <si>
    <t>MDEN</t>
  </si>
  <si>
    <t>položka zahrnuje denní sazbu za pronájem zařízení
počet měrných jednotek se určí jako součin délky zařízení a počtu dnů použití</t>
  </si>
  <si>
    <t>položka zahrnuje:
- demontáž a odstranění zařízení
- jeho odvoz na předepsané místo</t>
  </si>
  <si>
    <t>položka zahrnuje:
- dopravu demontovaného zařízení z dočasné skládky
- jeho montáž a osazení na určeném místě
- nutnou opravu poškozených částí
- případnou náhradu zničených částí
nezahrnuje podkladní vrstvu</t>
  </si>
  <si>
    <t>8 měsíců</t>
  </si>
  <si>
    <t>R001101</t>
  </si>
  <si>
    <t>KOORDINACE SE ZHOTOVITELEM Přeložky kabelu CETIN</t>
  </si>
  <si>
    <t>zahrnuje veškeré náklady spojené s koordinací a spoluprácí</t>
  </si>
  <si>
    <t>OPA</t>
  </si>
  <si>
    <t>Opravy a pasportizace</t>
  </si>
  <si>
    <t>OPA-001</t>
  </si>
  <si>
    <t>OPRAVY OBJÍZDNÝCH TRAS</t>
  </si>
  <si>
    <t>OPA-002</t>
  </si>
  <si>
    <t>OPA-003</t>
  </si>
  <si>
    <t>PASPORTIZACE DOTČENÝCH KOMUNIKACÍ</t>
  </si>
  <si>
    <t>PASPORTIZACE STÁVAJÍCÍCH OBJEKTŮ</t>
  </si>
  <si>
    <t>dům č.p. 1 a č.p.3</t>
  </si>
  <si>
    <t>položka bude provedena a fakturována v rozsahu určeném TDI a investorem</t>
  </si>
  <si>
    <t>položka zahrnuje:
- frézování (bourání) stávajících vrsteb
- odvoz a likvidaci odpadu
- provedení nové kompletní skladby</t>
  </si>
  <si>
    <t xml:space="preserve"> = 0.16 * 114.68 + 2 t</t>
  </si>
  <si>
    <t>koordinace provádění přeložky se stavbou mostu</t>
  </si>
  <si>
    <t>03100</t>
  </si>
  <si>
    <t>ZAŘÍZENÍ STAVENIŠTĚ - ZŘÍZENÍ, PROVOZ, DEMONTÁŽ</t>
  </si>
  <si>
    <t>včetně oplocení, ostrahy, přístupových cest a připojení na inženýrské sítě</t>
  </si>
  <si>
    <t>zahrnuje objednatelem povolené náklady na pořízení (event. pronájem), provozování, udržování a likvidaci zhotovitelova zařízení</t>
  </si>
  <si>
    <t>zkoušky a doklady požadované objednatelem a koordinace s NPÚ</t>
  </si>
  <si>
    <t xml:space="preserve"> = 217.1 + 74.1</t>
  </si>
  <si>
    <t xml:space="preserve">práce ve ztížených podmínkách </t>
  </si>
  <si>
    <t>práce ve ztížených podmínkách, vč. odvozu a likvidace vývrtu</t>
  </si>
  <si>
    <t>objízdná trasa 5,3km š 6,5m = 34.450m2   + uzavíraná silnice 1,9km š 6,5m = 12.350m2</t>
  </si>
  <si>
    <t>zahrnuje veškeré práce a úkony s touto činností spojené</t>
  </si>
  <si>
    <t>objízdná trasa 5,3km š 6,5m = 34.450m2   + uzavíraná silnice 1,9km š 6,5m = 12.350m2   - z toho 30%</t>
  </si>
  <si>
    <t>R42194X2</t>
  </si>
  <si>
    <t>MOSTNÍ NOSNÁ OBLOUKOVÁ SPŘAZENÁ KONSTR Z OCELI - DODÁVKA</t>
  </si>
  <si>
    <t>R969001</t>
  </si>
  <si>
    <t>DEMONTÁŽ NOSNÉ KONSTRUKCE MOSTU VYSUNUTÍM</t>
  </si>
  <si>
    <t>bourání konstrukce po demontáži vysunutím</t>
  </si>
  <si>
    <t>vysunití nosné konstrukce vč. mostních bárek a ostatních opatření (bárky budou společné i pro montáž nové konstrukce nasunutím)</t>
  </si>
  <si>
    <t>oceli řady 355 a S460, dodávka, doprava na místo stavby, smontování vč. základní protikorozní ochrany a příslušenství</t>
  </si>
  <si>
    <t>Soupis prací</t>
  </si>
  <si>
    <t>MOSTNÍ NOSNÁ OBLOUKOVÁ SPŘAZENÁ KONSTR Z OCELI - MONTÁŽ</t>
  </si>
  <si>
    <t>montáž, včetně mostních bárek a ostatních opatření (bárky budou společné i pro demontáž stávající konstrukce)</t>
  </si>
  <si>
    <t>- dílenská dokumentace, včetně technologického předpisu spojování, 
- dodání  materiálu  v požadované kvalitě a výroba konstrukce (včetně  pomůcek,  přípravků a prostředků pro výrobu) bez ohledu na náročnost a její hmotnost, 
- dodání spojovacího materiálu, 
- zřízení  montážních  a  dilatačních  spojů,  spar, včetně potřebných úprav, vložek, opracování, očištění a ošetření, 
- výplň, těsnění a tmelení spar a spojů,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- základní protikorozní ochranu 
- zvláštní spojovací prostředky, rozebíratelnost konstrukce, 
- ochranná opatření před účinky bludných proudů 
- ochranu před přepětím.</t>
  </si>
  <si>
    <t>- podpěr. konstr. a lešení všech druhů pro montáž konstrukcí i doplňkových, včetně požadovaných otvorů, ochranných a bezpečnostních opatření a základů pro tyto konstrukce a lešení, 
- montáž konstrukce na staveništi, včetně montážních prostředků a pomůcek a zednických výpomocí,                               
- výplň, těsnění a tmelení spar a spojů 
- všechny druhy ocelového kotvení, 
- dílenskou přejímku a montážní prohlídku, včetně požadovaných dokladů, 
- zřízení kotevních otvorů nebo jam, nejsou-li částí jiné konstrukce, 
- osazení kotvení nebo přímo částí konstrukce do podpůrné konstrukce nebo do zeminy, 
- výplň kotevních otvorů  (příp.  podlití  patních  desek) maltou,  betonem  nebo  jinou speciální hmotou, vyplnění jam zeminou, 
 - základní protikorozní ochranu, 
- zvláštní spojovací prostředky, rozebíratelnost konstrukce, 
- ochranná opatření před účinky bludných proudů 
- ochranu před přepětím.</t>
  </si>
  <si>
    <t>DOPRAVNÍ ZÁBRANY Z2 S FÓLIÍ TŘ 2 - MONTÁŽ S PŘESUNEM</t>
  </si>
  <si>
    <t>DOPRAVNÍ ZÁBRANY Z2 S FÓLIÍ TŘ 2 - DEMONTÁŽ</t>
  </si>
  <si>
    <t>DOPRAVNÍ ZÁBRANY Z2 S FÓLIÍ TŘ 2 - NÁJEMNÉ</t>
  </si>
  <si>
    <t>položka zahrnuje:
- přemístění zařízení z dočasné skládky a jeho osazení a montáž na místě určeném projektem
- údržbu po celou dobu trvání funkce, náhradu zničených nebo ztracených kusů, nutnou opravu poškozených částí</t>
  </si>
  <si>
    <t>Položka zahrnuje odstranění, demontáž a odklizení zařízení s odvozem na předepsané místo</t>
  </si>
  <si>
    <t>položka zahrnuje sazbu za pronájem zařízení. Počet měrných jednotek se určí jako součin počtu zařízení a počtu dní použití.</t>
  </si>
  <si>
    <t>916322</t>
  </si>
  <si>
    <t>916323</t>
  </si>
  <si>
    <t>916329</t>
  </si>
  <si>
    <t>916122</t>
  </si>
  <si>
    <t>DOPRAV SVĚTLO VÝSTRAŽ SOUPRAVA 3KS - MONTÁŽ S PŘESUNEM</t>
  </si>
  <si>
    <t>916123</t>
  </si>
  <si>
    <t>DOPRAV SVĚTLO VÝSTRAŽ SOUPRAVA 3KS - DEMONTÁŽ</t>
  </si>
  <si>
    <t>916129</t>
  </si>
  <si>
    <t>DOPRAV SVĚTLO VÝSTRAŽ SOUPRAVA 3KS - NÁJEMNÉ</t>
  </si>
  <si>
    <t>položka zahrnuje:
- přemístění zařízení z dočasné skládky a jeho osazení a montáž na místě určeném projektem
- údržbu po celou dobu trvání funkce, náhradu zničených nebo ztracených kusů, nutnou opravu poškozených částí
- napájení z baterie včetně záložní baterie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</si>
</sst>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65">
    <font>
      <sz val="10"/>
      <name val="Arial"/>
      <family val="0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b/>
      <sz val="22"/>
      <name val="Arial CE"/>
      <family val="2"/>
    </font>
    <font>
      <i/>
      <sz val="10"/>
      <color indexed="8"/>
      <name val="Arial"/>
      <family val="2"/>
    </font>
    <font>
      <b/>
      <sz val="18"/>
      <name val="Arial CE"/>
      <family val="2"/>
    </font>
    <font>
      <i/>
      <sz val="10"/>
      <name val="Arial CE"/>
      <family val="2"/>
    </font>
    <font>
      <sz val="10"/>
      <color indexed="8"/>
      <name val="Arial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2"/>
    </font>
    <font>
      <b/>
      <sz val="14"/>
      <color indexed="10"/>
      <name val="Arial CE"/>
      <family val="2"/>
    </font>
    <font>
      <sz val="10"/>
      <color indexed="30"/>
      <name val="Arial CE"/>
      <family val="2"/>
    </font>
    <font>
      <sz val="10"/>
      <color indexed="18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 CE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2"/>
    </font>
    <font>
      <b/>
      <sz val="14"/>
      <color rgb="FFFF0000"/>
      <name val="Arial CE"/>
      <family val="2"/>
    </font>
    <font>
      <sz val="10"/>
      <color rgb="FF0070C0"/>
      <name val="Arial CE"/>
      <family val="2"/>
    </font>
    <font>
      <sz val="10"/>
      <color theme="3" tint="-0.2499700039625167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42" fillId="0" borderId="0">
      <alignment/>
      <protection/>
    </xf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88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4" fontId="3" fillId="33" borderId="0" xfId="0" applyNumberFormat="1" applyFont="1" applyFill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4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right" vertical="center"/>
    </xf>
    <xf numFmtId="0" fontId="3" fillId="33" borderId="14" xfId="0" applyFont="1" applyFill="1" applyBorder="1" applyAlignment="1">
      <alignment vertical="center" wrapText="1"/>
    </xf>
    <xf numFmtId="4" fontId="3" fillId="33" borderId="1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7" fillId="0" borderId="0" xfId="50">
      <alignment/>
      <protection/>
    </xf>
    <xf numFmtId="2" fontId="7" fillId="0" borderId="0" xfId="50" applyNumberFormat="1">
      <alignment/>
      <protection/>
    </xf>
    <xf numFmtId="2" fontId="59" fillId="0" borderId="0" xfId="50" applyNumberFormat="1" applyFont="1">
      <alignment/>
      <protection/>
    </xf>
    <xf numFmtId="2" fontId="8" fillId="0" borderId="16" xfId="50" applyNumberFormat="1" applyFont="1" applyFill="1" applyBorder="1" applyAlignment="1">
      <alignment horizontal="center"/>
      <protection/>
    </xf>
    <xf numFmtId="2" fontId="59" fillId="0" borderId="17" xfId="50" applyNumberFormat="1" applyFont="1" applyFill="1" applyBorder="1" applyAlignment="1">
      <alignment horizontal="center"/>
      <protection/>
    </xf>
    <xf numFmtId="2" fontId="59" fillId="0" borderId="18" xfId="50" applyNumberFormat="1" applyFont="1" applyFill="1" applyBorder="1" applyAlignment="1">
      <alignment horizontal="center"/>
      <protection/>
    </xf>
    <xf numFmtId="2" fontId="7" fillId="7" borderId="19" xfId="50" applyNumberFormat="1" applyFill="1" applyBorder="1" applyAlignment="1">
      <alignment horizontal="center"/>
      <protection/>
    </xf>
    <xf numFmtId="2" fontId="59" fillId="0" borderId="20" xfId="50" applyNumberFormat="1" applyFont="1" applyFill="1" applyBorder="1" applyAlignment="1">
      <alignment horizontal="center"/>
      <protection/>
    </xf>
    <xf numFmtId="2" fontId="7" fillId="0" borderId="17" xfId="50" applyNumberFormat="1" applyFill="1" applyBorder="1" applyAlignment="1">
      <alignment horizontal="center"/>
      <protection/>
    </xf>
    <xf numFmtId="0" fontId="7" fillId="0" borderId="17" xfId="50" applyFill="1" applyBorder="1" applyAlignment="1">
      <alignment horizontal="center"/>
      <protection/>
    </xf>
    <xf numFmtId="0" fontId="7" fillId="0" borderId="21" xfId="50" applyFill="1" applyBorder="1" applyAlignment="1">
      <alignment horizontal="center"/>
      <protection/>
    </xf>
    <xf numFmtId="0" fontId="9" fillId="0" borderId="19" xfId="50" applyFont="1" applyFill="1" applyBorder="1">
      <alignment/>
      <protection/>
    </xf>
    <xf numFmtId="2" fontId="7" fillId="0" borderId="22" xfId="50" applyNumberFormat="1" applyBorder="1" applyAlignment="1">
      <alignment horizontal="center"/>
      <protection/>
    </xf>
    <xf numFmtId="2" fontId="59" fillId="0" borderId="23" xfId="50" applyNumberFormat="1" applyFont="1" applyBorder="1" applyAlignment="1">
      <alignment horizontal="center"/>
      <protection/>
    </xf>
    <xf numFmtId="2" fontId="59" fillId="0" borderId="24" xfId="50" applyNumberFormat="1" applyFont="1" applyBorder="1" applyAlignment="1">
      <alignment horizontal="center"/>
      <protection/>
    </xf>
    <xf numFmtId="2" fontId="59" fillId="0" borderId="25" xfId="50" applyNumberFormat="1" applyFont="1" applyBorder="1" applyAlignment="1">
      <alignment horizontal="center"/>
      <protection/>
    </xf>
    <xf numFmtId="2" fontId="8" fillId="7" borderId="26" xfId="50" applyNumberFormat="1" applyFont="1" applyFill="1" applyBorder="1" applyAlignment="1">
      <alignment horizontal="center"/>
      <protection/>
    </xf>
    <xf numFmtId="2" fontId="7" fillId="0" borderId="24" xfId="50" applyNumberFormat="1" applyBorder="1" applyAlignment="1">
      <alignment horizontal="center"/>
      <protection/>
    </xf>
    <xf numFmtId="0" fontId="7" fillId="0" borderId="27" xfId="50" applyBorder="1" applyAlignment="1">
      <alignment horizontal="center"/>
      <protection/>
    </xf>
    <xf numFmtId="0" fontId="7" fillId="0" borderId="23" xfId="50" applyBorder="1" applyAlignment="1">
      <alignment horizontal="center"/>
      <protection/>
    </xf>
    <xf numFmtId="0" fontId="9" fillId="0" borderId="27" xfId="50" applyFont="1" applyFill="1" applyBorder="1">
      <alignment/>
      <protection/>
    </xf>
    <xf numFmtId="2" fontId="7" fillId="0" borderId="28" xfId="50" applyNumberFormat="1" applyBorder="1" applyAlignment="1">
      <alignment horizontal="center"/>
      <protection/>
    </xf>
    <xf numFmtId="2" fontId="59" fillId="0" borderId="29" xfId="50" applyNumberFormat="1" applyFont="1" applyBorder="1" applyAlignment="1">
      <alignment horizontal="center"/>
      <protection/>
    </xf>
    <xf numFmtId="2" fontId="59" fillId="0" borderId="10" xfId="50" applyNumberFormat="1" applyFont="1" applyBorder="1" applyAlignment="1">
      <alignment horizontal="center"/>
      <protection/>
    </xf>
    <xf numFmtId="2" fontId="59" fillId="0" borderId="30" xfId="50" applyNumberFormat="1" applyFont="1" applyBorder="1" applyAlignment="1">
      <alignment horizontal="center"/>
      <protection/>
    </xf>
    <xf numFmtId="2" fontId="8" fillId="7" borderId="31" xfId="50" applyNumberFormat="1" applyFont="1" applyFill="1" applyBorder="1" applyAlignment="1">
      <alignment horizontal="center"/>
      <protection/>
    </xf>
    <xf numFmtId="2" fontId="7" fillId="0" borderId="10" xfId="50" applyNumberFormat="1" applyBorder="1" applyAlignment="1">
      <alignment horizontal="center"/>
      <protection/>
    </xf>
    <xf numFmtId="0" fontId="7" fillId="0" borderId="32" xfId="50" applyBorder="1" applyAlignment="1">
      <alignment horizontal="center"/>
      <protection/>
    </xf>
    <xf numFmtId="0" fontId="7" fillId="0" borderId="29" xfId="50" applyBorder="1" applyAlignment="1">
      <alignment horizontal="center"/>
      <protection/>
    </xf>
    <xf numFmtId="0" fontId="9" fillId="0" borderId="32" xfId="50" applyFont="1" applyFill="1" applyBorder="1">
      <alignment/>
      <protection/>
    </xf>
    <xf numFmtId="2" fontId="7" fillId="35" borderId="33" xfId="50" applyNumberFormat="1" applyFont="1" applyFill="1" applyBorder="1" applyAlignment="1">
      <alignment horizontal="center"/>
      <protection/>
    </xf>
    <xf numFmtId="2" fontId="59" fillId="35" borderId="34" xfId="50" applyNumberFormat="1" applyFont="1" applyFill="1" applyBorder="1" applyAlignment="1">
      <alignment horizontal="center"/>
      <protection/>
    </xf>
    <xf numFmtId="2" fontId="59" fillId="35" borderId="35" xfId="50" applyNumberFormat="1" applyFont="1" applyFill="1" applyBorder="1" applyAlignment="1">
      <alignment horizontal="center"/>
      <protection/>
    </xf>
    <xf numFmtId="2" fontId="59" fillId="35" borderId="36" xfId="50" applyNumberFormat="1" applyFont="1" applyFill="1" applyBorder="1" applyAlignment="1">
      <alignment horizontal="center"/>
      <protection/>
    </xf>
    <xf numFmtId="2" fontId="7" fillId="7" borderId="37" xfId="50" applyNumberFormat="1" applyFont="1" applyFill="1" applyBorder="1" applyAlignment="1">
      <alignment horizontal="center"/>
      <protection/>
    </xf>
    <xf numFmtId="2" fontId="7" fillId="35" borderId="35" xfId="50" applyNumberFormat="1" applyFont="1" applyFill="1" applyBorder="1" applyAlignment="1">
      <alignment horizontal="center"/>
      <protection/>
    </xf>
    <xf numFmtId="0" fontId="7" fillId="35" borderId="38" xfId="50" applyFont="1" applyFill="1" applyBorder="1" applyAlignment="1">
      <alignment horizontal="center"/>
      <protection/>
    </xf>
    <xf numFmtId="0" fontId="7" fillId="35" borderId="34" xfId="50" applyFont="1" applyFill="1" applyBorder="1" applyAlignment="1">
      <alignment horizontal="center"/>
      <protection/>
    </xf>
    <xf numFmtId="0" fontId="11" fillId="0" borderId="38" xfId="50" applyFont="1" applyBorder="1">
      <alignment/>
      <protection/>
    </xf>
    <xf numFmtId="2" fontId="7" fillId="0" borderId="13" xfId="50" applyNumberFormat="1" applyBorder="1" applyAlignment="1">
      <alignment horizontal="center"/>
      <protection/>
    </xf>
    <xf numFmtId="2" fontId="59" fillId="0" borderId="13" xfId="50" applyNumberFormat="1" applyFont="1" applyBorder="1" applyAlignment="1">
      <alignment horizontal="center"/>
      <protection/>
    </xf>
    <xf numFmtId="2" fontId="59" fillId="0" borderId="39" xfId="50" applyNumberFormat="1" applyFont="1" applyBorder="1" applyAlignment="1">
      <alignment horizontal="center"/>
      <protection/>
    </xf>
    <xf numFmtId="2" fontId="59" fillId="0" borderId="12" xfId="50" applyNumberFormat="1" applyFont="1" applyBorder="1" applyAlignment="1">
      <alignment horizontal="center"/>
      <protection/>
    </xf>
    <xf numFmtId="2" fontId="7" fillId="7" borderId="40" xfId="50" applyNumberFormat="1" applyFill="1" applyBorder="1" applyAlignment="1">
      <alignment horizontal="center"/>
      <protection/>
    </xf>
    <xf numFmtId="2" fontId="7" fillId="0" borderId="39" xfId="50" applyNumberFormat="1" applyBorder="1" applyAlignment="1">
      <alignment horizontal="center"/>
      <protection/>
    </xf>
    <xf numFmtId="0" fontId="7" fillId="0" borderId="41" xfId="50" applyBorder="1" applyAlignment="1">
      <alignment horizontal="center"/>
      <protection/>
    </xf>
    <xf numFmtId="0" fontId="7" fillId="0" borderId="13" xfId="50" applyBorder="1" applyAlignment="1">
      <alignment horizontal="center"/>
      <protection/>
    </xf>
    <xf numFmtId="0" fontId="9" fillId="0" borderId="12" xfId="50" applyFont="1" applyFill="1" applyBorder="1">
      <alignment/>
      <protection/>
    </xf>
    <xf numFmtId="2" fontId="7" fillId="0" borderId="13" xfId="50" applyNumberFormat="1" applyBorder="1">
      <alignment/>
      <protection/>
    </xf>
    <xf numFmtId="2" fontId="59" fillId="0" borderId="0" xfId="50" applyNumberFormat="1" applyFont="1" applyBorder="1">
      <alignment/>
      <protection/>
    </xf>
    <xf numFmtId="2" fontId="7" fillId="0" borderId="0" xfId="50" applyNumberFormat="1" applyBorder="1">
      <alignment/>
      <protection/>
    </xf>
    <xf numFmtId="2" fontId="7" fillId="0" borderId="39" xfId="50" applyNumberFormat="1" applyBorder="1">
      <alignment/>
      <protection/>
    </xf>
    <xf numFmtId="2" fontId="7" fillId="0" borderId="42" xfId="50" applyNumberFormat="1" applyFont="1" applyFill="1" applyBorder="1" applyAlignment="1">
      <alignment horizontal="center"/>
      <protection/>
    </xf>
    <xf numFmtId="2" fontId="59" fillId="0" borderId="42" xfId="50" applyNumberFormat="1" applyFont="1" applyFill="1" applyBorder="1" applyAlignment="1">
      <alignment horizontal="center"/>
      <protection/>
    </xf>
    <xf numFmtId="2" fontId="59" fillId="0" borderId="43" xfId="50" applyNumberFormat="1" applyFont="1" applyFill="1" applyBorder="1" applyAlignment="1">
      <alignment horizontal="center"/>
      <protection/>
    </xf>
    <xf numFmtId="2" fontId="7" fillId="7" borderId="44" xfId="50" applyNumberFormat="1" applyFont="1" applyFill="1" applyBorder="1" applyAlignment="1">
      <alignment horizontal="center"/>
      <protection/>
    </xf>
    <xf numFmtId="2" fontId="59" fillId="0" borderId="45" xfId="50" applyNumberFormat="1" applyFont="1" applyFill="1" applyBorder="1" applyAlignment="1">
      <alignment horizontal="center"/>
      <protection/>
    </xf>
    <xf numFmtId="0" fontId="7" fillId="0" borderId="42" xfId="50" applyFont="1" applyFill="1" applyBorder="1" applyAlignment="1">
      <alignment horizontal="center"/>
      <protection/>
    </xf>
    <xf numFmtId="0" fontId="7" fillId="0" borderId="46" xfId="50" applyFont="1" applyFill="1" applyBorder="1" applyAlignment="1">
      <alignment horizontal="center"/>
      <protection/>
    </xf>
    <xf numFmtId="0" fontId="9" fillId="0" borderId="44" xfId="50" applyFont="1" applyFill="1" applyBorder="1">
      <alignment/>
      <protection/>
    </xf>
    <xf numFmtId="2" fontId="7" fillId="0" borderId="10" xfId="50" applyNumberFormat="1" applyFont="1" applyFill="1" applyBorder="1" applyAlignment="1">
      <alignment horizontal="center"/>
      <protection/>
    </xf>
    <xf numFmtId="2" fontId="59" fillId="0" borderId="10" xfId="50" applyNumberFormat="1" applyFont="1" applyFill="1" applyBorder="1" applyAlignment="1">
      <alignment horizontal="center"/>
      <protection/>
    </xf>
    <xf numFmtId="2" fontId="59" fillId="0" borderId="30" xfId="50" applyNumberFormat="1" applyFont="1" applyFill="1" applyBorder="1" applyAlignment="1">
      <alignment horizontal="center"/>
      <protection/>
    </xf>
    <xf numFmtId="2" fontId="7" fillId="7" borderId="31" xfId="50" applyNumberFormat="1" applyFont="1" applyFill="1" applyBorder="1" applyAlignment="1">
      <alignment horizontal="center"/>
      <protection/>
    </xf>
    <xf numFmtId="2" fontId="59" fillId="0" borderId="29" xfId="50" applyNumberFormat="1" applyFont="1" applyFill="1" applyBorder="1" applyAlignment="1">
      <alignment horizontal="center"/>
      <protection/>
    </xf>
    <xf numFmtId="0" fontId="7" fillId="0" borderId="10" xfId="50" applyFont="1" applyFill="1" applyBorder="1" applyAlignment="1">
      <alignment horizontal="center"/>
      <protection/>
    </xf>
    <xf numFmtId="0" fontId="7" fillId="0" borderId="47" xfId="50" applyFont="1" applyFill="1" applyBorder="1" applyAlignment="1">
      <alignment horizontal="center"/>
      <protection/>
    </xf>
    <xf numFmtId="0" fontId="9" fillId="0" borderId="31" xfId="50" applyFont="1" applyFill="1" applyBorder="1">
      <alignment/>
      <protection/>
    </xf>
    <xf numFmtId="0" fontId="7" fillId="0" borderId="48" xfId="50" applyFont="1" applyFill="1" applyBorder="1" applyAlignment="1">
      <alignment horizontal="center"/>
      <protection/>
    </xf>
    <xf numFmtId="0" fontId="9" fillId="0" borderId="48" xfId="50" applyFont="1" applyBorder="1">
      <alignment/>
      <protection/>
    </xf>
    <xf numFmtId="0" fontId="7" fillId="0" borderId="49" xfId="50" applyFont="1" applyFill="1" applyBorder="1" applyAlignment="1">
      <alignment horizontal="center"/>
      <protection/>
    </xf>
    <xf numFmtId="0" fontId="9" fillId="0" borderId="49" xfId="50" applyFont="1" applyBorder="1">
      <alignment/>
      <protection/>
    </xf>
    <xf numFmtId="2" fontId="7" fillId="35" borderId="50" xfId="50" applyNumberFormat="1" applyFont="1" applyFill="1" applyBorder="1" applyAlignment="1">
      <alignment horizontal="center"/>
      <protection/>
    </xf>
    <xf numFmtId="2" fontId="59" fillId="35" borderId="51" xfId="50" applyNumberFormat="1" applyFont="1" applyFill="1" applyBorder="1" applyAlignment="1">
      <alignment horizontal="center"/>
      <protection/>
    </xf>
    <xf numFmtId="2" fontId="7" fillId="7" borderId="52" xfId="50" applyNumberFormat="1" applyFont="1" applyFill="1" applyBorder="1" applyAlignment="1">
      <alignment horizontal="center"/>
      <protection/>
    </xf>
    <xf numFmtId="2" fontId="7" fillId="35" borderId="51" xfId="50" applyNumberFormat="1" applyFont="1" applyFill="1" applyBorder="1" applyAlignment="1">
      <alignment horizontal="center"/>
      <protection/>
    </xf>
    <xf numFmtId="0" fontId="7" fillId="35" borderId="53" xfId="50" applyFont="1" applyFill="1" applyBorder="1" applyAlignment="1">
      <alignment horizontal="center"/>
      <protection/>
    </xf>
    <xf numFmtId="0" fontId="11" fillId="0" borderId="21" xfId="50" applyFont="1" applyBorder="1">
      <alignment/>
      <protection/>
    </xf>
    <xf numFmtId="0" fontId="7" fillId="0" borderId="0" xfId="50" applyFont="1" applyFill="1">
      <alignment/>
      <protection/>
    </xf>
    <xf numFmtId="2" fontId="7" fillId="0" borderId="0" xfId="50" applyNumberFormat="1" applyFont="1" applyFill="1" applyBorder="1" applyAlignment="1">
      <alignment horizontal="center"/>
      <protection/>
    </xf>
    <xf numFmtId="2" fontId="59" fillId="0" borderId="0" xfId="50" applyNumberFormat="1" applyFont="1" applyFill="1" applyBorder="1" applyAlignment="1">
      <alignment horizontal="center"/>
      <protection/>
    </xf>
    <xf numFmtId="2" fontId="7" fillId="0" borderId="0" xfId="50" applyNumberFormat="1" applyBorder="1" applyAlignment="1">
      <alignment horizontal="center"/>
      <protection/>
    </xf>
    <xf numFmtId="2" fontId="59" fillId="0" borderId="0" xfId="50" applyNumberFormat="1" applyFont="1" applyBorder="1" applyAlignment="1">
      <alignment horizontal="center"/>
      <protection/>
    </xf>
    <xf numFmtId="0" fontId="7" fillId="0" borderId="0" xfId="50" applyBorder="1" applyAlignment="1">
      <alignment horizontal="center"/>
      <protection/>
    </xf>
    <xf numFmtId="0" fontId="9" fillId="0" borderId="0" xfId="50" applyFont="1" applyBorder="1">
      <alignment/>
      <protection/>
    </xf>
    <xf numFmtId="2" fontId="8" fillId="0" borderId="0" xfId="50" applyNumberFormat="1" applyFont="1" applyFill="1" applyBorder="1" applyAlignment="1">
      <alignment horizontal="center"/>
      <protection/>
    </xf>
    <xf numFmtId="2" fontId="7" fillId="0" borderId="0" xfId="50" applyNumberFormat="1" applyFill="1" applyBorder="1" applyAlignment="1">
      <alignment horizontal="center"/>
      <protection/>
    </xf>
    <xf numFmtId="0" fontId="7" fillId="0" borderId="0" xfId="50" applyFill="1" applyBorder="1" applyAlignment="1">
      <alignment horizontal="center"/>
      <protection/>
    </xf>
    <xf numFmtId="0" fontId="9" fillId="0" borderId="0" xfId="50" applyFont="1" applyFill="1" applyBorder="1">
      <alignment/>
      <protection/>
    </xf>
    <xf numFmtId="2" fontId="7" fillId="0" borderId="33" xfId="50" applyNumberFormat="1" applyFont="1" applyFill="1" applyBorder="1" applyAlignment="1">
      <alignment horizontal="center"/>
      <protection/>
    </xf>
    <xf numFmtId="2" fontId="59" fillId="0" borderId="35" xfId="50" applyNumberFormat="1" applyFont="1" applyBorder="1">
      <alignment/>
      <protection/>
    </xf>
    <xf numFmtId="2" fontId="59" fillId="0" borderId="35" xfId="50" applyNumberFormat="1" applyFont="1" applyFill="1" applyBorder="1" applyAlignment="1">
      <alignment horizontal="center"/>
      <protection/>
    </xf>
    <xf numFmtId="2" fontId="59" fillId="0" borderId="36" xfId="50" applyNumberFormat="1" applyFont="1" applyFill="1" applyBorder="1" applyAlignment="1">
      <alignment horizontal="center"/>
      <protection/>
    </xf>
    <xf numFmtId="2" fontId="8" fillId="7" borderId="37" xfId="50" applyNumberFormat="1" applyFont="1" applyFill="1" applyBorder="1" applyAlignment="1">
      <alignment horizontal="center"/>
      <protection/>
    </xf>
    <xf numFmtId="2" fontId="59" fillId="0" borderId="34" xfId="50" applyNumberFormat="1" applyFont="1" applyFill="1" applyBorder="1" applyAlignment="1">
      <alignment horizontal="center"/>
      <protection/>
    </xf>
    <xf numFmtId="2" fontId="7" fillId="0" borderId="35" xfId="50" applyNumberFormat="1" applyBorder="1" applyAlignment="1">
      <alignment horizontal="center"/>
      <protection/>
    </xf>
    <xf numFmtId="2" fontId="59" fillId="0" borderId="54" xfId="50" applyNumberFormat="1" applyFont="1" applyBorder="1" applyAlignment="1">
      <alignment horizontal="center"/>
      <protection/>
    </xf>
    <xf numFmtId="0" fontId="7" fillId="0" borderId="54" xfId="50" applyBorder="1" applyAlignment="1">
      <alignment horizontal="center"/>
      <protection/>
    </xf>
    <xf numFmtId="0" fontId="7" fillId="0" borderId="55" xfId="50" applyBorder="1" applyAlignment="1">
      <alignment horizontal="center"/>
      <protection/>
    </xf>
    <xf numFmtId="0" fontId="7" fillId="0" borderId="56" xfId="50" applyBorder="1">
      <alignment/>
      <protection/>
    </xf>
    <xf numFmtId="2" fontId="7" fillId="0" borderId="50" xfId="50" applyNumberFormat="1" applyFont="1" applyFill="1" applyBorder="1" applyAlignment="1">
      <alignment horizontal="center"/>
      <protection/>
    </xf>
    <xf numFmtId="2" fontId="59" fillId="0" borderId="51" xfId="50" applyNumberFormat="1" applyFont="1" applyFill="1" applyBorder="1" applyAlignment="1">
      <alignment horizontal="center"/>
      <protection/>
    </xf>
    <xf numFmtId="2" fontId="7" fillId="0" borderId="51" xfId="50" applyNumberFormat="1" applyFont="1" applyFill="1" applyBorder="1" applyAlignment="1">
      <alignment horizontal="center"/>
      <protection/>
    </xf>
    <xf numFmtId="0" fontId="7" fillId="0" borderId="53" xfId="50" applyFont="1" applyFill="1" applyBorder="1" applyAlignment="1">
      <alignment horizontal="center"/>
      <protection/>
    </xf>
    <xf numFmtId="0" fontId="11" fillId="0" borderId="53" xfId="50" applyFont="1" applyBorder="1">
      <alignment/>
      <protection/>
    </xf>
    <xf numFmtId="2" fontId="8" fillId="35" borderId="57" xfId="50" applyNumberFormat="1" applyFont="1" applyFill="1" applyBorder="1" applyAlignment="1">
      <alignment horizontal="center"/>
      <protection/>
    </xf>
    <xf numFmtId="2" fontId="60" fillId="35" borderId="0" xfId="50" applyNumberFormat="1" applyFont="1" applyFill="1" applyBorder="1" applyAlignment="1">
      <alignment horizontal="center"/>
      <protection/>
    </xf>
    <xf numFmtId="2" fontId="8" fillId="7" borderId="40" xfId="50" applyNumberFormat="1" applyFont="1" applyFill="1" applyBorder="1" applyAlignment="1">
      <alignment horizontal="center"/>
      <protection/>
    </xf>
    <xf numFmtId="2" fontId="8" fillId="35" borderId="0" xfId="50" applyNumberFormat="1" applyFont="1" applyFill="1" applyBorder="1" applyAlignment="1">
      <alignment horizontal="center"/>
      <protection/>
    </xf>
    <xf numFmtId="0" fontId="8" fillId="35" borderId="58" xfId="50" applyFont="1" applyFill="1" applyBorder="1" applyAlignment="1">
      <alignment horizontal="center"/>
      <protection/>
    </xf>
    <xf numFmtId="0" fontId="8" fillId="35" borderId="40" xfId="50" applyFont="1" applyFill="1" applyBorder="1" applyAlignment="1">
      <alignment horizontal="center"/>
      <protection/>
    </xf>
    <xf numFmtId="0" fontId="7" fillId="35" borderId="52" xfId="50" applyFont="1" applyFill="1" applyBorder="1" applyAlignment="1">
      <alignment horizontal="center"/>
      <protection/>
    </xf>
    <xf numFmtId="0" fontId="7" fillId="0" borderId="0" xfId="50" applyBorder="1">
      <alignment/>
      <protection/>
    </xf>
    <xf numFmtId="2" fontId="12" fillId="0" borderId="0" xfId="50" applyNumberFormat="1" applyFont="1" applyAlignment="1">
      <alignment horizontal="left"/>
      <protection/>
    </xf>
    <xf numFmtId="2" fontId="61" fillId="0" borderId="0" xfId="50" applyNumberFormat="1" applyFont="1" applyAlignment="1">
      <alignment horizontal="left"/>
      <protection/>
    </xf>
    <xf numFmtId="0" fontId="12" fillId="0" borderId="0" xfId="50" applyFont="1" applyAlignment="1">
      <alignment horizontal="left"/>
      <protection/>
    </xf>
    <xf numFmtId="2" fontId="8" fillId="0" borderId="0" xfId="50" applyNumberFormat="1" applyFont="1" applyAlignment="1">
      <alignment horizontal="center"/>
      <protection/>
    </xf>
    <xf numFmtId="2" fontId="60" fillId="0" borderId="0" xfId="50" applyNumberFormat="1" applyFont="1" applyAlignment="1">
      <alignment horizontal="center"/>
      <protection/>
    </xf>
    <xf numFmtId="0" fontId="8" fillId="0" borderId="0" xfId="50" applyFont="1" applyAlignment="1">
      <alignment horizontal="center"/>
      <protection/>
    </xf>
    <xf numFmtId="0" fontId="7" fillId="22" borderId="0" xfId="50" applyFill="1">
      <alignment/>
      <protection/>
    </xf>
    <xf numFmtId="2" fontId="13" fillId="0" borderId="0" xfId="50" applyNumberFormat="1" applyFont="1">
      <alignment/>
      <protection/>
    </xf>
    <xf numFmtId="2" fontId="62" fillId="0" borderId="0" xfId="50" applyNumberFormat="1" applyFont="1">
      <alignment/>
      <protection/>
    </xf>
    <xf numFmtId="0" fontId="13" fillId="0" borderId="0" xfId="50" applyFont="1">
      <alignment/>
      <protection/>
    </xf>
    <xf numFmtId="0" fontId="14" fillId="0" borderId="0" xfId="50" applyFont="1">
      <alignment/>
      <protection/>
    </xf>
    <xf numFmtId="0" fontId="15" fillId="0" borderId="0" xfId="50" applyFont="1" applyAlignment="1">
      <alignment wrapText="1"/>
      <protection/>
    </xf>
    <xf numFmtId="0" fontId="7" fillId="0" borderId="0" xfId="50" applyAlignment="1">
      <alignment wrapText="1"/>
      <protection/>
    </xf>
    <xf numFmtId="0" fontId="7" fillId="0" borderId="16" xfId="50" applyBorder="1">
      <alignment/>
      <protection/>
    </xf>
    <xf numFmtId="0" fontId="8" fillId="19" borderId="19" xfId="50" applyFont="1" applyFill="1" applyBorder="1" applyAlignment="1">
      <alignment horizontal="center" wrapText="1"/>
      <protection/>
    </xf>
    <xf numFmtId="0" fontId="7" fillId="0" borderId="17" xfId="50" applyBorder="1">
      <alignment/>
      <protection/>
    </xf>
    <xf numFmtId="0" fontId="7" fillId="0" borderId="18" xfId="50" applyBorder="1">
      <alignment/>
      <protection/>
    </xf>
    <xf numFmtId="0" fontId="7" fillId="0" borderId="19" xfId="50" applyBorder="1" applyAlignment="1">
      <alignment horizontal="center"/>
      <protection/>
    </xf>
    <xf numFmtId="0" fontId="42" fillId="0" borderId="21" xfId="56" applyBorder="1" applyAlignment="1">
      <alignment vertical="top" wrapText="1"/>
      <protection/>
    </xf>
    <xf numFmtId="0" fontId="8" fillId="19" borderId="19" xfId="50" applyFont="1" applyFill="1" applyBorder="1" applyAlignment="1">
      <alignment horizontal="center" vertical="center"/>
      <protection/>
    </xf>
    <xf numFmtId="0" fontId="7" fillId="0" borderId="19" xfId="50" applyNumberFormat="1" applyFont="1" applyFill="1" applyBorder="1" applyAlignment="1" applyProtection="1">
      <alignment horizontal="center" vertical="center" wrapText="1"/>
      <protection/>
    </xf>
    <xf numFmtId="0" fontId="7" fillId="0" borderId="21" xfId="50" applyNumberFormat="1" applyFont="1" applyFill="1" applyBorder="1" applyAlignment="1" applyProtection="1">
      <alignment vertical="center" wrapText="1"/>
      <protection/>
    </xf>
    <xf numFmtId="0" fontId="7" fillId="0" borderId="59" xfId="50" applyBorder="1">
      <alignment/>
      <protection/>
    </xf>
    <xf numFmtId="0" fontId="8" fillId="19" borderId="52" xfId="50" applyFont="1" applyFill="1" applyBorder="1" applyAlignment="1">
      <alignment horizontal="center" vertical="center"/>
      <protection/>
    </xf>
    <xf numFmtId="0" fontId="7" fillId="0" borderId="42" xfId="50" applyBorder="1">
      <alignment/>
      <protection/>
    </xf>
    <xf numFmtId="0" fontId="7" fillId="0" borderId="43" xfId="50" applyBorder="1">
      <alignment/>
      <protection/>
    </xf>
    <xf numFmtId="0" fontId="7" fillId="0" borderId="44" xfId="50" applyBorder="1" applyAlignment="1">
      <alignment horizontal="center"/>
      <protection/>
    </xf>
    <xf numFmtId="0" fontId="42" fillId="0" borderId="46" xfId="56" applyBorder="1" applyAlignment="1">
      <alignment vertical="top" wrapText="1"/>
      <protection/>
    </xf>
    <xf numFmtId="0" fontId="7" fillId="0" borderId="28" xfId="50" applyBorder="1">
      <alignment/>
      <protection/>
    </xf>
    <xf numFmtId="0" fontId="7" fillId="0" borderId="10" xfId="50" applyBorder="1">
      <alignment/>
      <protection/>
    </xf>
    <xf numFmtId="0" fontId="7" fillId="0" borderId="30" xfId="50" applyBorder="1">
      <alignment/>
      <protection/>
    </xf>
    <xf numFmtId="0" fontId="7" fillId="0" borderId="31" xfId="50" applyBorder="1" applyAlignment="1">
      <alignment horizontal="center"/>
      <protection/>
    </xf>
    <xf numFmtId="0" fontId="42" fillId="0" borderId="47" xfId="56" applyBorder="1" applyAlignment="1">
      <alignment vertical="top" wrapText="1"/>
      <protection/>
    </xf>
    <xf numFmtId="0" fontId="7" fillId="0" borderId="33" xfId="50" applyBorder="1">
      <alignment/>
      <protection/>
    </xf>
    <xf numFmtId="0" fontId="7" fillId="0" borderId="35" xfId="50" applyBorder="1">
      <alignment/>
      <protection/>
    </xf>
    <xf numFmtId="0" fontId="7" fillId="0" borderId="36" xfId="50" applyBorder="1">
      <alignment/>
      <protection/>
    </xf>
    <xf numFmtId="0" fontId="7" fillId="0" borderId="37" xfId="50" applyBorder="1" applyAlignment="1">
      <alignment horizontal="center"/>
      <protection/>
    </xf>
    <xf numFmtId="0" fontId="42" fillId="0" borderId="49" xfId="56" applyBorder="1" applyAlignment="1">
      <alignment horizontal="left" vertical="center" wrapText="1"/>
      <protection/>
    </xf>
    <xf numFmtId="0" fontId="12" fillId="0" borderId="0" xfId="50" applyFont="1" applyAlignment="1">
      <alignment horizontal="left" wrapText="1"/>
      <protection/>
    </xf>
    <xf numFmtId="0" fontId="7" fillId="0" borderId="17" xfId="50" applyBorder="1" applyAlignment="1">
      <alignment horizontal="center"/>
      <protection/>
    </xf>
    <xf numFmtId="0" fontId="7" fillId="0" borderId="60" xfId="50" applyNumberFormat="1" applyFont="1" applyFill="1" applyBorder="1" applyAlignment="1" applyProtection="1">
      <alignment vertical="center" wrapText="1"/>
      <protection/>
    </xf>
    <xf numFmtId="0" fontId="7" fillId="0" borderId="0" xfId="50" applyAlignment="1">
      <alignment horizontal="center"/>
      <protection/>
    </xf>
    <xf numFmtId="0" fontId="7" fillId="0" borderId="0" xfId="50" applyNumberFormat="1" applyFont="1" applyFill="1" applyBorder="1" applyAlignment="1" applyProtection="1">
      <alignment vertical="center" wrapText="1" shrinkToFit="1"/>
      <protection/>
    </xf>
    <xf numFmtId="0" fontId="7" fillId="0" borderId="61" xfId="50" applyBorder="1" applyAlignment="1">
      <alignment vertical="center"/>
      <protection/>
    </xf>
    <xf numFmtId="0" fontId="7" fillId="0" borderId="20" xfId="50" applyBorder="1" applyAlignment="1">
      <alignment vertical="center"/>
      <protection/>
    </xf>
    <xf numFmtId="0" fontId="7" fillId="0" borderId="17" xfId="50" applyBorder="1" applyAlignment="1">
      <alignment vertical="center"/>
      <protection/>
    </xf>
    <xf numFmtId="0" fontId="7" fillId="0" borderId="17" xfId="50" applyBorder="1" applyAlignment="1">
      <alignment horizontal="center" vertical="center"/>
      <protection/>
    </xf>
    <xf numFmtId="0" fontId="7" fillId="0" borderId="60" xfId="50" applyBorder="1" applyAlignment="1">
      <alignment horizontal="center"/>
      <protection/>
    </xf>
    <xf numFmtId="0" fontId="7" fillId="0" borderId="21" xfId="50" applyBorder="1" applyAlignment="1">
      <alignment wrapText="1"/>
      <protection/>
    </xf>
    <xf numFmtId="2" fontId="8" fillId="35" borderId="62" xfId="50" applyNumberFormat="1" applyFont="1" applyFill="1" applyBorder="1" applyAlignment="1">
      <alignment horizontal="center"/>
      <protection/>
    </xf>
    <xf numFmtId="2" fontId="8" fillId="35" borderId="55" xfId="50" applyNumberFormat="1" applyFont="1" applyFill="1" applyBorder="1" applyAlignment="1">
      <alignment horizontal="center"/>
      <protection/>
    </xf>
    <xf numFmtId="2" fontId="60" fillId="35" borderId="55" xfId="50" applyNumberFormat="1" applyFont="1" applyFill="1" applyBorder="1" applyAlignment="1">
      <alignment horizontal="center"/>
      <protection/>
    </xf>
    <xf numFmtId="0" fontId="8" fillId="35" borderId="56" xfId="50" applyFont="1" applyFill="1" applyBorder="1" applyAlignment="1">
      <alignment horizontal="center"/>
      <protection/>
    </xf>
    <xf numFmtId="0" fontId="8" fillId="35" borderId="62" xfId="50" applyFont="1" applyFill="1" applyBorder="1" applyAlignment="1">
      <alignment horizontal="center" wrapText="1"/>
      <protection/>
    </xf>
    <xf numFmtId="2" fontId="7" fillId="35" borderId="52" xfId="50" applyNumberFormat="1" applyFont="1" applyFill="1" applyBorder="1" applyAlignment="1">
      <alignment horizontal="center"/>
      <protection/>
    </xf>
    <xf numFmtId="0" fontId="7" fillId="35" borderId="52" xfId="50" applyFont="1" applyFill="1" applyBorder="1" applyAlignment="1">
      <alignment horizontal="center" wrapText="1"/>
      <protection/>
    </xf>
    <xf numFmtId="0" fontId="7" fillId="0" borderId="0" xfId="50" applyNumberFormat="1" applyFont="1" applyFill="1" applyBorder="1" applyAlignment="1" applyProtection="1">
      <alignment vertical="center" wrapText="1"/>
      <protection/>
    </xf>
    <xf numFmtId="0" fontId="7" fillId="0" borderId="61" xfId="50" applyBorder="1">
      <alignment/>
      <protection/>
    </xf>
    <xf numFmtId="0" fontId="8" fillId="19" borderId="19" xfId="50" applyFont="1" applyFill="1" applyBorder="1" applyAlignment="1">
      <alignment horizontal="center"/>
      <protection/>
    </xf>
    <xf numFmtId="0" fontId="7" fillId="0" borderId="20" xfId="50" applyBorder="1">
      <alignment/>
      <protection/>
    </xf>
    <xf numFmtId="0" fontId="7" fillId="0" borderId="63" xfId="50" applyBorder="1">
      <alignment/>
      <protection/>
    </xf>
    <xf numFmtId="0" fontId="59" fillId="0" borderId="31" xfId="50" applyFont="1" applyBorder="1" applyAlignment="1">
      <alignment horizontal="center"/>
      <protection/>
    </xf>
    <xf numFmtId="0" fontId="59" fillId="0" borderId="45" xfId="50" applyFont="1" applyBorder="1">
      <alignment/>
      <protection/>
    </xf>
    <xf numFmtId="0" fontId="59" fillId="0" borderId="42" xfId="50" applyFont="1" applyBorder="1">
      <alignment/>
      <protection/>
    </xf>
    <xf numFmtId="0" fontId="59" fillId="0" borderId="43" xfId="50" applyFont="1" applyBorder="1">
      <alignment/>
      <protection/>
    </xf>
    <xf numFmtId="0" fontId="59" fillId="0" borderId="44" xfId="50" applyFont="1" applyBorder="1" applyAlignment="1">
      <alignment horizontal="center"/>
      <protection/>
    </xf>
    <xf numFmtId="0" fontId="59" fillId="0" borderId="46" xfId="50" applyNumberFormat="1" applyFont="1" applyFill="1" applyBorder="1" applyAlignment="1" applyProtection="1">
      <alignment vertical="center" wrapText="1"/>
      <protection/>
    </xf>
    <xf numFmtId="0" fontId="7" fillId="0" borderId="45" xfId="50" applyBorder="1">
      <alignment/>
      <protection/>
    </xf>
    <xf numFmtId="0" fontId="7" fillId="0" borderId="46" xfId="50" applyNumberFormat="1" applyFont="1" applyFill="1" applyBorder="1" applyAlignment="1" applyProtection="1">
      <alignment vertical="center" wrapText="1"/>
      <protection/>
    </xf>
    <xf numFmtId="0" fontId="7" fillId="0" borderId="64" xfId="50" applyBorder="1">
      <alignment/>
      <protection/>
    </xf>
    <xf numFmtId="0" fontId="7" fillId="0" borderId="29" xfId="50" applyBorder="1">
      <alignment/>
      <protection/>
    </xf>
    <xf numFmtId="0" fontId="7" fillId="0" borderId="47" xfId="50" applyNumberFormat="1" applyFont="1" applyFill="1" applyBorder="1" applyAlignment="1" applyProtection="1">
      <alignment vertical="center" wrapText="1"/>
      <protection/>
    </xf>
    <xf numFmtId="0" fontId="7" fillId="0" borderId="65" xfId="50" applyBorder="1">
      <alignment/>
      <protection/>
    </xf>
    <xf numFmtId="0" fontId="7" fillId="0" borderId="34" xfId="50" applyBorder="1">
      <alignment/>
      <protection/>
    </xf>
    <xf numFmtId="0" fontId="7" fillId="0" borderId="49" xfId="50" applyNumberFormat="1" applyFont="1" applyFill="1" applyBorder="1" applyAlignment="1" applyProtection="1">
      <alignment vertical="center" wrapText="1"/>
      <protection/>
    </xf>
    <xf numFmtId="2" fontId="8" fillId="35" borderId="66" xfId="50" applyNumberFormat="1" applyFont="1" applyFill="1" applyBorder="1" applyAlignment="1">
      <alignment horizontal="center"/>
      <protection/>
    </xf>
    <xf numFmtId="0" fontId="7" fillId="0" borderId="16" xfId="50" applyBorder="1" applyAlignment="1">
      <alignment wrapText="1"/>
      <protection/>
    </xf>
    <xf numFmtId="0" fontId="7" fillId="0" borderId="19" xfId="50" applyBorder="1" applyAlignment="1">
      <alignment horizontal="center" vertical="center"/>
      <protection/>
    </xf>
    <xf numFmtId="0" fontId="7" fillId="0" borderId="18" xfId="50" applyBorder="1" applyAlignment="1">
      <alignment horizontal="center"/>
      <protection/>
    </xf>
    <xf numFmtId="0" fontId="7" fillId="0" borderId="18" xfId="50" applyBorder="1" applyAlignment="1">
      <alignment vertical="center"/>
      <protection/>
    </xf>
    <xf numFmtId="2" fontId="8" fillId="35" borderId="40" xfId="50" applyNumberFormat="1" applyFont="1" applyFill="1" applyBorder="1" applyAlignment="1">
      <alignment horizontal="center"/>
      <protection/>
    </xf>
    <xf numFmtId="2" fontId="60" fillId="35" borderId="13" xfId="50" applyNumberFormat="1" applyFont="1" applyFill="1" applyBorder="1" applyAlignment="1">
      <alignment horizontal="center"/>
      <protection/>
    </xf>
    <xf numFmtId="2" fontId="8" fillId="35" borderId="39" xfId="50" applyNumberFormat="1" applyFont="1" applyFill="1" applyBorder="1" applyAlignment="1">
      <alignment horizontal="center"/>
      <protection/>
    </xf>
    <xf numFmtId="2" fontId="60" fillId="35" borderId="39" xfId="50" applyNumberFormat="1" applyFont="1" applyFill="1" applyBorder="1" applyAlignment="1">
      <alignment horizontal="center"/>
      <protection/>
    </xf>
    <xf numFmtId="0" fontId="60" fillId="35" borderId="41" xfId="50" applyFont="1" applyFill="1" applyBorder="1" applyAlignment="1">
      <alignment horizontal="center"/>
      <protection/>
    </xf>
    <xf numFmtId="0" fontId="8" fillId="35" borderId="40" xfId="50" applyFont="1" applyFill="1" applyBorder="1" applyAlignment="1">
      <alignment horizontal="center" wrapText="1"/>
      <protection/>
    </xf>
    <xf numFmtId="2" fontId="59" fillId="35" borderId="67" xfId="50" applyNumberFormat="1" applyFont="1" applyFill="1" applyBorder="1" applyAlignment="1">
      <alignment horizontal="center"/>
      <protection/>
    </xf>
    <xf numFmtId="2" fontId="7" fillId="35" borderId="68" xfId="50" applyNumberFormat="1" applyFont="1" applyFill="1" applyBorder="1" applyAlignment="1">
      <alignment horizontal="center"/>
      <protection/>
    </xf>
    <xf numFmtId="2" fontId="59" fillId="35" borderId="68" xfId="50" applyNumberFormat="1" applyFont="1" applyFill="1" applyBorder="1" applyAlignment="1">
      <alignment horizontal="center"/>
      <protection/>
    </xf>
    <xf numFmtId="0" fontId="59" fillId="35" borderId="69" xfId="50" applyFont="1" applyFill="1" applyBorder="1" applyAlignment="1">
      <alignment horizontal="center"/>
      <protection/>
    </xf>
    <xf numFmtId="0" fontId="7" fillId="0" borderId="18" xfId="50" applyBorder="1" applyAlignment="1">
      <alignment horizontal="center" vertical="center"/>
      <protection/>
    </xf>
    <xf numFmtId="0" fontId="7" fillId="7" borderId="19" xfId="50" applyFill="1" applyBorder="1">
      <alignment/>
      <protection/>
    </xf>
    <xf numFmtId="2" fontId="8" fillId="7" borderId="19" xfId="50" applyNumberFormat="1" applyFont="1" applyFill="1" applyBorder="1" applyAlignment="1">
      <alignment horizontal="center"/>
      <protection/>
    </xf>
    <xf numFmtId="2" fontId="59" fillId="7" borderId="70" xfId="50" applyNumberFormat="1" applyFont="1" applyFill="1" applyBorder="1" applyAlignment="1">
      <alignment horizontal="center"/>
      <protection/>
    </xf>
    <xf numFmtId="2" fontId="7" fillId="7" borderId="70" xfId="50" applyNumberFormat="1" applyFill="1" applyBorder="1" applyAlignment="1">
      <alignment horizontal="center"/>
      <protection/>
    </xf>
    <xf numFmtId="0" fontId="7" fillId="7" borderId="21" xfId="50" applyFill="1" applyBorder="1" applyAlignment="1">
      <alignment horizontal="center"/>
      <protection/>
    </xf>
    <xf numFmtId="0" fontId="9" fillId="7" borderId="19" xfId="50" applyFont="1" applyFill="1" applyBorder="1">
      <alignment/>
      <protection/>
    </xf>
    <xf numFmtId="0" fontId="7" fillId="0" borderId="40" xfId="50" applyBorder="1">
      <alignment/>
      <protection/>
    </xf>
    <xf numFmtId="2" fontId="59" fillId="0" borderId="39" xfId="50" applyNumberFormat="1" applyFont="1" applyFill="1" applyBorder="1" applyAlignment="1">
      <alignment horizontal="center"/>
      <protection/>
    </xf>
    <xf numFmtId="0" fontId="7" fillId="0" borderId="43" xfId="50" applyBorder="1" applyAlignment="1">
      <alignment horizontal="center"/>
      <protection/>
    </xf>
    <xf numFmtId="0" fontId="9" fillId="0" borderId="46" xfId="50" applyFont="1" applyBorder="1">
      <alignment/>
      <protection/>
    </xf>
    <xf numFmtId="2" fontId="7" fillId="0" borderId="29" xfId="50" applyNumberFormat="1" applyBorder="1" applyAlignment="1">
      <alignment horizontal="center"/>
      <protection/>
    </xf>
    <xf numFmtId="0" fontId="7" fillId="0" borderId="30" xfId="50" applyBorder="1" applyAlignment="1">
      <alignment horizontal="center"/>
      <protection/>
    </xf>
    <xf numFmtId="0" fontId="9" fillId="0" borderId="47" xfId="50" applyFont="1" applyBorder="1">
      <alignment/>
      <protection/>
    </xf>
    <xf numFmtId="2" fontId="7" fillId="0" borderId="34" xfId="50" applyNumberFormat="1" applyBorder="1" applyAlignment="1">
      <alignment horizontal="center"/>
      <protection/>
    </xf>
    <xf numFmtId="2" fontId="59" fillId="0" borderId="35" xfId="50" applyNumberFormat="1" applyFont="1" applyBorder="1" applyAlignment="1">
      <alignment horizontal="center"/>
      <protection/>
    </xf>
    <xf numFmtId="0" fontId="7" fillId="0" borderId="36" xfId="50" applyBorder="1" applyAlignment="1">
      <alignment horizontal="center"/>
      <protection/>
    </xf>
    <xf numFmtId="0" fontId="7" fillId="0" borderId="52" xfId="50" applyBorder="1">
      <alignment/>
      <protection/>
    </xf>
    <xf numFmtId="2" fontId="7" fillId="0" borderId="70" xfId="50" applyNumberFormat="1" applyFont="1" applyFill="1" applyBorder="1" applyAlignment="1">
      <alignment horizontal="center"/>
      <protection/>
    </xf>
    <xf numFmtId="2" fontId="59" fillId="0" borderId="70" xfId="50" applyNumberFormat="1" applyFont="1" applyFill="1" applyBorder="1" applyAlignment="1">
      <alignment horizontal="center"/>
      <protection/>
    </xf>
    <xf numFmtId="0" fontId="7" fillId="0" borderId="21" xfId="50" applyFont="1" applyFill="1" applyBorder="1" applyAlignment="1">
      <alignment horizontal="center"/>
      <protection/>
    </xf>
    <xf numFmtId="2" fontId="7" fillId="0" borderId="23" xfId="50" applyNumberFormat="1" applyBorder="1" applyAlignment="1">
      <alignment horizontal="center"/>
      <protection/>
    </xf>
    <xf numFmtId="0" fontId="7" fillId="0" borderId="25" xfId="50" applyBorder="1" applyAlignment="1">
      <alignment horizontal="center"/>
      <protection/>
    </xf>
    <xf numFmtId="0" fontId="7" fillId="0" borderId="26" xfId="50" applyBorder="1" applyAlignment="1">
      <alignment horizontal="center"/>
      <protection/>
    </xf>
    <xf numFmtId="0" fontId="7" fillId="0" borderId="71" xfId="50" applyBorder="1">
      <alignment/>
      <protection/>
    </xf>
    <xf numFmtId="0" fontId="7" fillId="0" borderId="49" xfId="50" applyBorder="1">
      <alignment/>
      <protection/>
    </xf>
    <xf numFmtId="0" fontId="7" fillId="0" borderId="72" xfId="50" applyBorder="1">
      <alignment/>
      <protection/>
    </xf>
    <xf numFmtId="0" fontId="8" fillId="7" borderId="22" xfId="50" applyFont="1" applyFill="1" applyBorder="1" applyAlignment="1">
      <alignment horizontal="center" vertical="center"/>
      <protection/>
    </xf>
    <xf numFmtId="0" fontId="7" fillId="0" borderId="24" xfId="50" applyBorder="1">
      <alignment/>
      <protection/>
    </xf>
    <xf numFmtId="0" fontId="7" fillId="0" borderId="71" xfId="50" applyBorder="1" applyAlignment="1">
      <alignment horizontal="center"/>
      <protection/>
    </xf>
    <xf numFmtId="0" fontId="7" fillId="0" borderId="71" xfId="50" applyBorder="1" applyAlignment="1">
      <alignment wrapText="1"/>
      <protection/>
    </xf>
    <xf numFmtId="0" fontId="8" fillId="7" borderId="33" xfId="50" applyFont="1" applyFill="1" applyBorder="1" applyAlignment="1">
      <alignment horizontal="center" vertical="center"/>
      <protection/>
    </xf>
    <xf numFmtId="0" fontId="7" fillId="0" borderId="38" xfId="50" applyBorder="1" applyAlignment="1">
      <alignment horizontal="center"/>
      <protection/>
    </xf>
    <xf numFmtId="0" fontId="7" fillId="0" borderId="49" xfId="50" applyBorder="1" applyAlignment="1">
      <alignment horizontal="center"/>
      <protection/>
    </xf>
    <xf numFmtId="0" fontId="8" fillId="35" borderId="56" xfId="50" applyFont="1" applyFill="1" applyBorder="1" applyAlignment="1">
      <alignment horizontal="center" wrapText="1"/>
      <protection/>
    </xf>
    <xf numFmtId="0" fontId="7" fillId="35" borderId="53" xfId="50" applyFont="1" applyFill="1" applyBorder="1" applyAlignment="1">
      <alignment horizontal="center" wrapText="1"/>
      <protection/>
    </xf>
    <xf numFmtId="0" fontId="7" fillId="0" borderId="19" xfId="50" applyBorder="1" applyAlignment="1">
      <alignment vertical="center"/>
      <protection/>
    </xf>
    <xf numFmtId="0" fontId="8" fillId="7" borderId="20" xfId="50" applyFont="1" applyFill="1" applyBorder="1" applyAlignment="1">
      <alignment horizontal="center" vertical="center"/>
      <protection/>
    </xf>
    <xf numFmtId="0" fontId="7" fillId="0" borderId="21" xfId="50" applyBorder="1" applyAlignment="1">
      <alignment vertical="center" wrapText="1"/>
      <protection/>
    </xf>
    <xf numFmtId="0" fontId="7" fillId="0" borderId="19" xfId="50" applyBorder="1">
      <alignment/>
      <protection/>
    </xf>
    <xf numFmtId="0" fontId="7" fillId="0" borderId="21" xfId="50" applyNumberFormat="1" applyFont="1" applyFill="1" applyBorder="1" applyAlignment="1" applyProtection="1">
      <alignment vertical="center" wrapText="1" shrinkToFit="1"/>
      <protection/>
    </xf>
    <xf numFmtId="0" fontId="7" fillId="0" borderId="26" xfId="50" applyBorder="1">
      <alignment/>
      <protection/>
    </xf>
    <xf numFmtId="0" fontId="8" fillId="7" borderId="26" xfId="50" applyFont="1" applyFill="1" applyBorder="1" applyAlignment="1">
      <alignment horizontal="center"/>
      <protection/>
    </xf>
    <xf numFmtId="0" fontId="7" fillId="0" borderId="23" xfId="50" applyBorder="1">
      <alignment/>
      <protection/>
    </xf>
    <xf numFmtId="0" fontId="7" fillId="0" borderId="24" xfId="50" applyBorder="1" applyAlignment="1">
      <alignment horizontal="center" vertical="center"/>
      <protection/>
    </xf>
    <xf numFmtId="0" fontId="7" fillId="0" borderId="24" xfId="50" applyBorder="1" applyAlignment="1">
      <alignment horizontal="center"/>
      <protection/>
    </xf>
    <xf numFmtId="0" fontId="7" fillId="0" borderId="27" xfId="50" applyNumberFormat="1" applyFont="1" applyFill="1" applyBorder="1" applyAlignment="1" applyProtection="1">
      <alignment vertical="center" wrapText="1"/>
      <protection/>
    </xf>
    <xf numFmtId="0" fontId="7" fillId="0" borderId="37" xfId="50" applyBorder="1">
      <alignment/>
      <protection/>
    </xf>
    <xf numFmtId="0" fontId="8" fillId="7" borderId="37" xfId="50" applyFont="1" applyFill="1" applyBorder="1" applyAlignment="1">
      <alignment horizontal="center"/>
      <protection/>
    </xf>
    <xf numFmtId="0" fontId="7" fillId="0" borderId="35" xfId="50" applyBorder="1" applyAlignment="1">
      <alignment horizontal="center" vertical="center"/>
      <protection/>
    </xf>
    <xf numFmtId="0" fontId="7" fillId="0" borderId="35" xfId="50" applyBorder="1" applyAlignment="1">
      <alignment horizontal="center"/>
      <protection/>
    </xf>
    <xf numFmtId="0" fontId="7" fillId="0" borderId="38" xfId="50" applyNumberFormat="1" applyFont="1" applyFill="1" applyBorder="1" applyAlignment="1" applyProtection="1">
      <alignment vertical="center" wrapText="1"/>
      <protection/>
    </xf>
    <xf numFmtId="0" fontId="7" fillId="36" borderId="61" xfId="50" applyFill="1" applyBorder="1" applyAlignment="1">
      <alignment vertical="center"/>
      <protection/>
    </xf>
    <xf numFmtId="0" fontId="7" fillId="36" borderId="70" xfId="50" applyFill="1" applyBorder="1" applyAlignment="1">
      <alignment vertical="center"/>
      <protection/>
    </xf>
    <xf numFmtId="0" fontId="17" fillId="36" borderId="21" xfId="50" applyFont="1" applyFill="1" applyBorder="1" applyAlignment="1">
      <alignment vertical="center"/>
      <protection/>
    </xf>
    <xf numFmtId="0" fontId="7" fillId="0" borderId="60" xfId="50" applyBorder="1" applyAlignment="1">
      <alignment wrapText="1"/>
      <protection/>
    </xf>
    <xf numFmtId="0" fontId="8" fillId="19" borderId="23" xfId="50" applyFont="1" applyFill="1" applyBorder="1" applyAlignment="1">
      <alignment horizontal="center"/>
      <protection/>
    </xf>
    <xf numFmtId="0" fontId="7" fillId="0" borderId="73" xfId="50" applyBorder="1">
      <alignment/>
      <protection/>
    </xf>
    <xf numFmtId="0" fontId="8" fillId="19" borderId="74" xfId="50" applyFont="1" applyFill="1" applyBorder="1" applyAlignment="1">
      <alignment horizontal="center"/>
      <protection/>
    </xf>
    <xf numFmtId="0" fontId="7" fillId="0" borderId="75" xfId="50" applyBorder="1">
      <alignment/>
      <protection/>
    </xf>
    <xf numFmtId="0" fontId="7" fillId="0" borderId="10" xfId="50" applyBorder="1" applyAlignment="1">
      <alignment horizontal="center"/>
      <protection/>
    </xf>
    <xf numFmtId="0" fontId="7" fillId="0" borderId="76" xfId="50" applyNumberFormat="1" applyFont="1" applyFill="1" applyBorder="1" applyAlignment="1" applyProtection="1">
      <alignment vertical="center" wrapText="1"/>
      <protection/>
    </xf>
    <xf numFmtId="0" fontId="7" fillId="0" borderId="37" xfId="50" applyBorder="1" applyAlignment="1">
      <alignment wrapText="1"/>
      <protection/>
    </xf>
    <xf numFmtId="0" fontId="8" fillId="19" borderId="29" xfId="50" applyFont="1" applyFill="1" applyBorder="1" applyAlignment="1">
      <alignment horizontal="center"/>
      <protection/>
    </xf>
    <xf numFmtId="0" fontId="7" fillId="0" borderId="32" xfId="50" applyNumberFormat="1" applyFont="1" applyFill="1" applyBorder="1" applyAlignment="1" applyProtection="1">
      <alignment vertical="center" wrapText="1"/>
      <protection/>
    </xf>
    <xf numFmtId="0" fontId="8" fillId="19" borderId="34" xfId="50" applyFont="1" applyFill="1" applyBorder="1" applyAlignment="1">
      <alignment horizontal="center"/>
      <protection/>
    </xf>
    <xf numFmtId="0" fontId="8" fillId="7" borderId="23" xfId="50" applyFont="1" applyFill="1" applyBorder="1" applyAlignment="1">
      <alignment horizontal="center"/>
      <protection/>
    </xf>
    <xf numFmtId="2" fontId="7" fillId="7" borderId="61" xfId="50" applyNumberFormat="1" applyFont="1" applyFill="1" applyBorder="1" applyAlignment="1">
      <alignment horizontal="left"/>
      <protection/>
    </xf>
    <xf numFmtId="2" fontId="8" fillId="19" borderId="19" xfId="50" applyNumberFormat="1" applyFont="1" applyFill="1" applyBorder="1" applyAlignment="1">
      <alignment horizontal="center" vertical="center"/>
      <protection/>
    </xf>
    <xf numFmtId="2" fontId="59" fillId="7" borderId="20" xfId="50" applyNumberFormat="1" applyFont="1" applyFill="1" applyBorder="1" applyAlignment="1">
      <alignment horizontal="center"/>
      <protection/>
    </xf>
    <xf numFmtId="2" fontId="7" fillId="7" borderId="17" xfId="50" applyNumberFormat="1" applyFill="1" applyBorder="1" applyAlignment="1">
      <alignment horizontal="center"/>
      <protection/>
    </xf>
    <xf numFmtId="2" fontId="59" fillId="7" borderId="17" xfId="50" applyNumberFormat="1" applyFont="1" applyFill="1" applyBorder="1" applyAlignment="1">
      <alignment horizontal="center"/>
      <protection/>
    </xf>
    <xf numFmtId="0" fontId="7" fillId="7" borderId="17" xfId="50" applyFill="1" applyBorder="1" applyAlignment="1">
      <alignment horizontal="center"/>
      <protection/>
    </xf>
    <xf numFmtId="0" fontId="9" fillId="7" borderId="19" xfId="50" applyFont="1" applyFill="1" applyBorder="1" applyAlignment="1">
      <alignment wrapText="1"/>
      <protection/>
    </xf>
    <xf numFmtId="0" fontId="7" fillId="0" borderId="44" xfId="50" applyBorder="1">
      <alignment/>
      <protection/>
    </xf>
    <xf numFmtId="0" fontId="7" fillId="0" borderId="27" xfId="50" applyBorder="1">
      <alignment/>
      <protection/>
    </xf>
    <xf numFmtId="0" fontId="7" fillId="0" borderId="26" xfId="50" applyBorder="1" applyAlignment="1">
      <alignment horizontal="center" vertical="center"/>
      <protection/>
    </xf>
    <xf numFmtId="0" fontId="7" fillId="0" borderId="71" xfId="50" applyNumberFormat="1" applyFont="1" applyFill="1" applyBorder="1" applyAlignment="1" applyProtection="1">
      <alignment vertical="center" wrapText="1"/>
      <protection/>
    </xf>
    <xf numFmtId="0" fontId="7" fillId="0" borderId="38" xfId="50" applyBorder="1">
      <alignment/>
      <protection/>
    </xf>
    <xf numFmtId="0" fontId="7" fillId="0" borderId="37" xfId="50" applyBorder="1" applyAlignment="1">
      <alignment horizontal="center" vertical="center"/>
      <protection/>
    </xf>
    <xf numFmtId="2" fontId="60" fillId="35" borderId="54" xfId="50" applyNumberFormat="1" applyFont="1" applyFill="1" applyBorder="1" applyAlignment="1">
      <alignment horizontal="center"/>
      <protection/>
    </xf>
    <xf numFmtId="2" fontId="8" fillId="35" borderId="54" xfId="50" applyNumberFormat="1" applyFont="1" applyFill="1" applyBorder="1" applyAlignment="1">
      <alignment horizontal="center"/>
      <protection/>
    </xf>
    <xf numFmtId="0" fontId="60" fillId="35" borderId="77" xfId="50" applyFont="1" applyFill="1" applyBorder="1" applyAlignment="1">
      <alignment horizontal="center"/>
      <protection/>
    </xf>
    <xf numFmtId="0" fontId="8" fillId="7" borderId="19" xfId="50" applyFont="1" applyFill="1" applyBorder="1" applyAlignment="1">
      <alignment horizontal="center"/>
      <protection/>
    </xf>
    <xf numFmtId="0" fontId="7" fillId="0" borderId="20" xfId="50" applyBorder="1" applyAlignment="1">
      <alignment horizontal="center"/>
      <protection/>
    </xf>
    <xf numFmtId="0" fontId="60" fillId="35" borderId="58" xfId="50" applyFont="1" applyFill="1" applyBorder="1" applyAlignment="1">
      <alignment horizontal="center"/>
      <protection/>
    </xf>
    <xf numFmtId="0" fontId="59" fillId="35" borderId="53" xfId="50" applyFont="1" applyFill="1" applyBorder="1" applyAlignment="1">
      <alignment horizontal="center"/>
      <protection/>
    </xf>
    <xf numFmtId="0" fontId="8" fillId="19" borderId="26" xfId="50" applyFont="1" applyFill="1" applyBorder="1" applyAlignment="1">
      <alignment horizontal="center"/>
      <protection/>
    </xf>
    <xf numFmtId="0" fontId="7" fillId="0" borderId="26" xfId="50" applyFill="1" applyBorder="1" applyAlignment="1">
      <alignment horizontal="center"/>
      <protection/>
    </xf>
    <xf numFmtId="0" fontId="8" fillId="19" borderId="31" xfId="50" applyFont="1" applyFill="1" applyBorder="1" applyAlignment="1">
      <alignment horizontal="center"/>
      <protection/>
    </xf>
    <xf numFmtId="0" fontId="8" fillId="19" borderId="37" xfId="50" applyFont="1" applyFill="1" applyBorder="1" applyAlignment="1">
      <alignment horizontal="center"/>
      <protection/>
    </xf>
    <xf numFmtId="0" fontId="7" fillId="0" borderId="34" xfId="50" applyBorder="1" applyAlignment="1">
      <alignment horizontal="center"/>
      <protection/>
    </xf>
    <xf numFmtId="2" fontId="7" fillId="7" borderId="16" xfId="50" applyNumberFormat="1" applyFont="1" applyFill="1" applyBorder="1" applyAlignment="1">
      <alignment horizontal="left"/>
      <protection/>
    </xf>
    <xf numFmtId="2" fontId="8" fillId="19" borderId="19" xfId="50" applyNumberFormat="1" applyFont="1" applyFill="1" applyBorder="1" applyAlignment="1">
      <alignment horizontal="center"/>
      <protection/>
    </xf>
    <xf numFmtId="0" fontId="7" fillId="0" borderId="66" xfId="50" applyBorder="1">
      <alignment/>
      <protection/>
    </xf>
    <xf numFmtId="0" fontId="7" fillId="0" borderId="62" xfId="50" applyBorder="1" applyAlignment="1">
      <alignment horizontal="center"/>
      <protection/>
    </xf>
    <xf numFmtId="0" fontId="7" fillId="0" borderId="78" xfId="50" applyBorder="1" applyAlignment="1">
      <alignment horizontal="center"/>
      <protection/>
    </xf>
    <xf numFmtId="0" fontId="7" fillId="0" borderId="79" xfId="50" applyBorder="1" applyAlignment="1">
      <alignment horizontal="center"/>
      <protection/>
    </xf>
    <xf numFmtId="0" fontId="42" fillId="0" borderId="56" xfId="56" applyBorder="1" applyAlignment="1">
      <alignment vertical="top" wrapText="1"/>
      <protection/>
    </xf>
    <xf numFmtId="0" fontId="7" fillId="0" borderId="47" xfId="50" applyBorder="1" applyAlignment="1">
      <alignment horizontal="left"/>
      <protection/>
    </xf>
    <xf numFmtId="0" fontId="7" fillId="0" borderId="80" xfId="50" applyBorder="1">
      <alignment/>
      <protection/>
    </xf>
    <xf numFmtId="0" fontId="7" fillId="0" borderId="74" xfId="50" applyBorder="1" applyAlignment="1">
      <alignment horizontal="center"/>
      <protection/>
    </xf>
    <xf numFmtId="0" fontId="7" fillId="0" borderId="75" xfId="50" applyBorder="1" applyAlignment="1">
      <alignment horizontal="center"/>
      <protection/>
    </xf>
    <xf numFmtId="0" fontId="7" fillId="0" borderId="81" xfId="50" applyBorder="1" applyAlignment="1">
      <alignment horizontal="center"/>
      <protection/>
    </xf>
    <xf numFmtId="0" fontId="7" fillId="0" borderId="73" xfId="50" applyBorder="1" applyAlignment="1">
      <alignment horizontal="center"/>
      <protection/>
    </xf>
    <xf numFmtId="0" fontId="7" fillId="0" borderId="48" xfId="50" applyBorder="1" applyAlignment="1">
      <alignment horizontal="left"/>
      <protection/>
    </xf>
    <xf numFmtId="0" fontId="7" fillId="0" borderId="21" xfId="50" applyBorder="1" applyAlignment="1">
      <alignment horizontal="left"/>
      <protection/>
    </xf>
    <xf numFmtId="0" fontId="60" fillId="35" borderId="56" xfId="50" applyFont="1" applyFill="1" applyBorder="1" applyAlignment="1">
      <alignment horizontal="center"/>
      <protection/>
    </xf>
    <xf numFmtId="0" fontId="7" fillId="0" borderId="0" xfId="50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Border="1" applyAlignment="1">
      <alignment horizontal="center" vertical="center"/>
      <protection/>
    </xf>
    <xf numFmtId="0" fontId="7" fillId="0" borderId="0" xfId="50" applyBorder="1" applyAlignment="1">
      <alignment wrapText="1"/>
      <protection/>
    </xf>
    <xf numFmtId="0" fontId="7" fillId="0" borderId="31" xfId="50" applyFont="1" applyFill="1" applyBorder="1" applyAlignment="1">
      <alignment horizontal="center"/>
      <protection/>
    </xf>
    <xf numFmtId="0" fontId="7" fillId="0" borderId="44" xfId="50" applyBorder="1" applyAlignment="1">
      <alignment horizontal="center" vertical="center"/>
      <protection/>
    </xf>
    <xf numFmtId="0" fontId="7" fillId="0" borderId="10" xfId="50" applyBorder="1" applyAlignment="1">
      <alignment wrapText="1"/>
      <protection/>
    </xf>
    <xf numFmtId="0" fontId="8" fillId="0" borderId="52" xfId="50" applyFont="1" applyFill="1" applyBorder="1" applyAlignment="1">
      <alignment horizontal="center"/>
      <protection/>
    </xf>
    <xf numFmtId="0" fontId="7" fillId="0" borderId="45" xfId="50" applyBorder="1" applyAlignment="1">
      <alignment horizontal="center"/>
      <protection/>
    </xf>
    <xf numFmtId="0" fontId="7" fillId="0" borderId="42" xfId="50" applyBorder="1" applyAlignment="1">
      <alignment horizontal="center"/>
      <protection/>
    </xf>
    <xf numFmtId="0" fontId="7" fillId="0" borderId="82" xfId="50" applyBorder="1" applyAlignment="1">
      <alignment horizontal="center"/>
      <protection/>
    </xf>
    <xf numFmtId="0" fontId="7" fillId="0" borderId="46" xfId="50" applyBorder="1" applyAlignment="1">
      <alignment wrapText="1"/>
      <protection/>
    </xf>
    <xf numFmtId="0" fontId="8" fillId="19" borderId="40" xfId="50" applyFont="1" applyFill="1" applyBorder="1" applyAlignment="1">
      <alignment horizontal="center"/>
      <protection/>
    </xf>
    <xf numFmtId="0" fontId="7" fillId="0" borderId="31" xfId="50" applyBorder="1" applyAlignment="1">
      <alignment horizontal="center" vertical="center"/>
      <protection/>
    </xf>
    <xf numFmtId="0" fontId="8" fillId="19" borderId="73" xfId="50" applyFont="1" applyFill="1" applyBorder="1" applyAlignment="1">
      <alignment horizontal="center"/>
      <protection/>
    </xf>
    <xf numFmtId="0" fontId="7" fillId="0" borderId="76" xfId="50" applyBorder="1" applyAlignment="1">
      <alignment horizontal="center"/>
      <protection/>
    </xf>
    <xf numFmtId="0" fontId="7" fillId="0" borderId="73" xfId="50" applyBorder="1" applyAlignment="1">
      <alignment horizontal="center" vertical="center"/>
      <protection/>
    </xf>
    <xf numFmtId="0" fontId="7" fillId="0" borderId="48" xfId="50" applyNumberFormat="1" applyFont="1" applyFill="1" applyBorder="1" applyAlignment="1" applyProtection="1">
      <alignment vertical="center" wrapText="1"/>
      <protection/>
    </xf>
    <xf numFmtId="0" fontId="7" fillId="0" borderId="0" xfId="50" applyFill="1" applyBorder="1" applyAlignment="1">
      <alignment vertical="center"/>
      <protection/>
    </xf>
    <xf numFmtId="0" fontId="17" fillId="0" borderId="0" xfId="50" applyFont="1" applyFill="1" applyBorder="1" applyAlignment="1">
      <alignment vertical="center"/>
      <protection/>
    </xf>
    <xf numFmtId="0" fontId="7" fillId="0" borderId="70" xfId="50" applyBorder="1">
      <alignment/>
      <protection/>
    </xf>
    <xf numFmtId="2" fontId="7" fillId="0" borderId="70" xfId="50" applyNumberFormat="1" applyBorder="1">
      <alignment/>
      <protection/>
    </xf>
    <xf numFmtId="0" fontId="7" fillId="0" borderId="0" xfId="50" applyAlignment="1">
      <alignment vertical="center"/>
      <protection/>
    </xf>
    <xf numFmtId="0" fontId="7" fillId="0" borderId="0" xfId="50" applyAlignment="1">
      <alignment vertical="center" wrapText="1"/>
      <protection/>
    </xf>
    <xf numFmtId="0" fontId="7" fillId="0" borderId="72" xfId="50" applyBorder="1" applyAlignment="1">
      <alignment vertical="center"/>
      <protection/>
    </xf>
    <xf numFmtId="0" fontId="8" fillId="19" borderId="26" xfId="50" applyFont="1" applyFill="1" applyBorder="1" applyAlignment="1">
      <alignment horizontal="center" vertical="center"/>
      <protection/>
    </xf>
    <xf numFmtId="0" fontId="7" fillId="0" borderId="23" xfId="50" applyBorder="1" applyAlignment="1">
      <alignment vertical="center"/>
      <protection/>
    </xf>
    <xf numFmtId="0" fontId="7" fillId="0" borderId="24" xfId="50" applyBorder="1" applyAlignment="1">
      <alignment vertical="center"/>
      <protection/>
    </xf>
    <xf numFmtId="0" fontId="7" fillId="0" borderId="27" xfId="50" applyBorder="1" applyAlignment="1">
      <alignment vertical="center"/>
      <protection/>
    </xf>
    <xf numFmtId="0" fontId="42" fillId="0" borderId="71" xfId="56" applyBorder="1" applyAlignment="1">
      <alignment vertical="center" wrapText="1"/>
      <protection/>
    </xf>
    <xf numFmtId="0" fontId="7" fillId="0" borderId="80" xfId="50" applyBorder="1" applyAlignment="1">
      <alignment vertical="center"/>
      <protection/>
    </xf>
    <xf numFmtId="0" fontId="7" fillId="0" borderId="29" xfId="50" applyBorder="1" applyAlignment="1">
      <alignment vertical="center"/>
      <protection/>
    </xf>
    <xf numFmtId="0" fontId="7" fillId="0" borderId="10" xfId="50" applyBorder="1" applyAlignment="1">
      <alignment vertical="center"/>
      <protection/>
    </xf>
    <xf numFmtId="0" fontId="7" fillId="0" borderId="32" xfId="50" applyBorder="1" applyAlignment="1">
      <alignment vertical="center"/>
      <protection/>
    </xf>
    <xf numFmtId="0" fontId="7" fillId="0" borderId="47" xfId="50" applyBorder="1" applyAlignment="1">
      <alignment vertical="center" wrapText="1"/>
      <protection/>
    </xf>
    <xf numFmtId="0" fontId="8" fillId="19" borderId="31" xfId="50" applyFont="1" applyFill="1" applyBorder="1" applyAlignment="1">
      <alignment horizontal="center" vertical="center"/>
      <protection/>
    </xf>
    <xf numFmtId="0" fontId="7" fillId="0" borderId="65" xfId="50" applyBorder="1" applyAlignment="1">
      <alignment vertical="center"/>
      <protection/>
    </xf>
    <xf numFmtId="0" fontId="7" fillId="0" borderId="34" xfId="50" applyBorder="1" applyAlignment="1">
      <alignment vertical="center"/>
      <protection/>
    </xf>
    <xf numFmtId="0" fontId="7" fillId="0" borderId="35" xfId="50" applyBorder="1" applyAlignment="1">
      <alignment vertical="center"/>
      <protection/>
    </xf>
    <xf numFmtId="0" fontId="7" fillId="0" borderId="38" xfId="50" applyBorder="1" applyAlignment="1">
      <alignment vertical="center"/>
      <protection/>
    </xf>
    <xf numFmtId="0" fontId="42" fillId="0" borderId="0" xfId="56" applyBorder="1" applyAlignment="1">
      <alignment vertical="top" wrapText="1"/>
      <protection/>
    </xf>
    <xf numFmtId="0" fontId="7" fillId="7" borderId="18" xfId="50" applyFill="1" applyBorder="1" applyAlignment="1">
      <alignment horizontal="center"/>
      <protection/>
    </xf>
    <xf numFmtId="0" fontId="7" fillId="7" borderId="19" xfId="50" applyFill="1" applyBorder="1" applyAlignment="1">
      <alignment horizontal="center"/>
      <protection/>
    </xf>
    <xf numFmtId="2" fontId="7" fillId="0" borderId="72" xfId="50" applyNumberFormat="1" applyFont="1" applyFill="1" applyBorder="1" applyAlignment="1">
      <alignment horizontal="left" vertical="center"/>
      <protection/>
    </xf>
    <xf numFmtId="2" fontId="7" fillId="0" borderId="26" xfId="50" applyNumberFormat="1" applyFont="1" applyFill="1" applyBorder="1" applyAlignment="1">
      <alignment horizontal="center" vertical="center"/>
      <protection/>
    </xf>
    <xf numFmtId="2" fontId="7" fillId="0" borderId="23" xfId="50" applyNumberFormat="1" applyFont="1" applyFill="1" applyBorder="1" applyAlignment="1">
      <alignment horizontal="center" vertical="center"/>
      <protection/>
    </xf>
    <xf numFmtId="2" fontId="7" fillId="0" borderId="24" xfId="50" applyNumberFormat="1" applyFont="1" applyFill="1" applyBorder="1" applyAlignment="1">
      <alignment horizontal="center" vertical="center"/>
      <protection/>
    </xf>
    <xf numFmtId="2" fontId="59" fillId="0" borderId="24" xfId="50" applyNumberFormat="1" applyFont="1" applyFill="1" applyBorder="1" applyAlignment="1">
      <alignment horizontal="left" vertical="center"/>
      <protection/>
    </xf>
    <xf numFmtId="2" fontId="7" fillId="0" borderId="24" xfId="50" applyNumberFormat="1" applyFont="1" applyFill="1" applyBorder="1" applyAlignment="1">
      <alignment horizontal="left" vertical="center"/>
      <protection/>
    </xf>
    <xf numFmtId="2" fontId="59" fillId="0" borderId="25" xfId="50" applyNumberFormat="1" applyFont="1" applyFill="1" applyBorder="1" applyAlignment="1">
      <alignment horizontal="left" vertical="center"/>
      <protection/>
    </xf>
    <xf numFmtId="0" fontId="7" fillId="0" borderId="71" xfId="50" applyBorder="1" applyAlignment="1">
      <alignment horizontal="left" vertical="center"/>
      <protection/>
    </xf>
    <xf numFmtId="2" fontId="7" fillId="0" borderId="64" xfId="50" applyNumberFormat="1" applyFont="1" applyFill="1" applyBorder="1" applyAlignment="1">
      <alignment horizontal="left" vertical="center"/>
      <protection/>
    </xf>
    <xf numFmtId="2" fontId="7" fillId="0" borderId="31" xfId="50" applyNumberFormat="1" applyFont="1" applyFill="1" applyBorder="1" applyAlignment="1">
      <alignment horizontal="center" vertical="center"/>
      <protection/>
    </xf>
    <xf numFmtId="2" fontId="7" fillId="0" borderId="29" xfId="50" applyNumberFormat="1" applyFont="1" applyFill="1" applyBorder="1" applyAlignment="1">
      <alignment horizontal="center" vertical="center"/>
      <protection/>
    </xf>
    <xf numFmtId="2" fontId="7" fillId="0" borderId="10" xfId="50" applyNumberFormat="1" applyFont="1" applyFill="1" applyBorder="1" applyAlignment="1">
      <alignment horizontal="center" vertical="center"/>
      <protection/>
    </xf>
    <xf numFmtId="2" fontId="59" fillId="0" borderId="10" xfId="50" applyNumberFormat="1" applyFont="1" applyFill="1" applyBorder="1" applyAlignment="1">
      <alignment horizontal="left" vertical="center"/>
      <protection/>
    </xf>
    <xf numFmtId="2" fontId="7" fillId="0" borderId="10" xfId="50" applyNumberFormat="1" applyFont="1" applyFill="1" applyBorder="1" applyAlignment="1">
      <alignment horizontal="left" vertical="center"/>
      <protection/>
    </xf>
    <xf numFmtId="2" fontId="59" fillId="0" borderId="30" xfId="50" applyNumberFormat="1" applyFont="1" applyFill="1" applyBorder="1" applyAlignment="1">
      <alignment horizontal="left" vertical="center"/>
      <protection/>
    </xf>
    <xf numFmtId="0" fontId="7" fillId="0" borderId="47" xfId="50" applyBorder="1" applyAlignment="1">
      <alignment horizontal="left" vertical="center"/>
      <protection/>
    </xf>
    <xf numFmtId="2" fontId="7" fillId="0" borderId="37" xfId="50" applyNumberFormat="1" applyFont="1" applyFill="1" applyBorder="1" applyAlignment="1">
      <alignment horizontal="center" vertical="center"/>
      <protection/>
    </xf>
    <xf numFmtId="0" fontId="7" fillId="0" borderId="52" xfId="50" applyBorder="1" applyAlignment="1">
      <alignment horizontal="center" vertical="center"/>
      <protection/>
    </xf>
    <xf numFmtId="0" fontId="42" fillId="0" borderId="21" xfId="56" applyBorder="1" applyAlignment="1">
      <alignment vertical="center" wrapText="1"/>
      <protection/>
    </xf>
    <xf numFmtId="2" fontId="7" fillId="7" borderId="61" xfId="50" applyNumberFormat="1" applyFont="1" applyFill="1" applyBorder="1" applyAlignment="1">
      <alignment horizontal="left" vertical="center"/>
      <protection/>
    </xf>
    <xf numFmtId="0" fontId="8" fillId="0" borderId="26" xfId="50" applyFont="1" applyFill="1" applyBorder="1" applyAlignment="1">
      <alignment horizontal="center" vertical="center"/>
      <protection/>
    </xf>
    <xf numFmtId="0" fontId="7" fillId="0" borderId="83" xfId="50" applyBorder="1" applyAlignment="1">
      <alignment horizontal="center" vertical="center"/>
      <protection/>
    </xf>
    <xf numFmtId="0" fontId="18" fillId="0" borderId="26" xfId="50" applyFont="1" applyBorder="1" applyAlignment="1">
      <alignment horizontal="center" vertical="center"/>
      <protection/>
    </xf>
    <xf numFmtId="0" fontId="7" fillId="0" borderId="23" xfId="50" applyBorder="1" applyAlignment="1">
      <alignment horizontal="center" vertical="center"/>
      <protection/>
    </xf>
    <xf numFmtId="0" fontId="7" fillId="0" borderId="74" xfId="50" applyBorder="1" applyAlignment="1">
      <alignment wrapText="1"/>
      <protection/>
    </xf>
    <xf numFmtId="0" fontId="8" fillId="0" borderId="31" xfId="50" applyFont="1" applyFill="1" applyBorder="1" applyAlignment="1">
      <alignment horizontal="center" vertical="center"/>
      <protection/>
    </xf>
    <xf numFmtId="0" fontId="7" fillId="0" borderId="14" xfId="50" applyBorder="1" applyAlignment="1">
      <alignment horizontal="center" vertical="center"/>
      <protection/>
    </xf>
    <xf numFmtId="0" fontId="18" fillId="0" borderId="31" xfId="50" applyFont="1" applyBorder="1" applyAlignment="1">
      <alignment horizontal="center" vertical="center"/>
      <protection/>
    </xf>
    <xf numFmtId="0" fontId="7" fillId="0" borderId="29" xfId="50" applyBorder="1" applyAlignment="1">
      <alignment horizontal="center" vertical="center"/>
      <protection/>
    </xf>
    <xf numFmtId="0" fontId="7" fillId="0" borderId="10" xfId="50" applyBorder="1" applyAlignment="1">
      <alignment horizontal="center" vertical="center"/>
      <protection/>
    </xf>
    <xf numFmtId="2" fontId="7" fillId="0" borderId="65" xfId="50" applyNumberFormat="1" applyFont="1" applyFill="1" applyBorder="1" applyAlignment="1">
      <alignment horizontal="left" vertical="center"/>
      <protection/>
    </xf>
    <xf numFmtId="0" fontId="8" fillId="0" borderId="37" xfId="50" applyFont="1" applyFill="1" applyBorder="1" applyAlignment="1">
      <alignment horizontal="center" vertical="center"/>
      <protection/>
    </xf>
    <xf numFmtId="0" fontId="7" fillId="0" borderId="84" xfId="50" applyBorder="1" applyAlignment="1">
      <alignment horizontal="center" vertical="center"/>
      <protection/>
    </xf>
    <xf numFmtId="0" fontId="18" fillId="0" borderId="37" xfId="50" applyFont="1" applyBorder="1" applyAlignment="1">
      <alignment horizontal="center" vertical="center"/>
      <protection/>
    </xf>
    <xf numFmtId="0" fontId="7" fillId="0" borderId="34" xfId="50" applyBorder="1" applyAlignment="1">
      <alignment horizontal="center" vertical="center"/>
      <protection/>
    </xf>
    <xf numFmtId="2" fontId="59" fillId="0" borderId="36" xfId="50" applyNumberFormat="1" applyFont="1" applyFill="1" applyBorder="1" applyAlignment="1">
      <alignment horizontal="left" vertical="center"/>
      <protection/>
    </xf>
    <xf numFmtId="0" fontId="7" fillId="0" borderId="49" xfId="50" applyBorder="1" applyAlignment="1">
      <alignment horizontal="left" vertical="center"/>
      <protection/>
    </xf>
    <xf numFmtId="2" fontId="7" fillId="0" borderId="61" xfId="50" applyNumberFormat="1" applyFont="1" applyFill="1" applyBorder="1" applyAlignment="1">
      <alignment horizontal="left" vertical="center"/>
      <protection/>
    </xf>
    <xf numFmtId="2" fontId="7" fillId="0" borderId="52" xfId="50" applyNumberFormat="1" applyFont="1" applyFill="1" applyBorder="1" applyAlignment="1">
      <alignment horizontal="left" vertical="center"/>
      <protection/>
    </xf>
    <xf numFmtId="2" fontId="7" fillId="0" borderId="20" xfId="50" applyNumberFormat="1" applyFont="1" applyFill="1" applyBorder="1" applyAlignment="1">
      <alignment horizontal="left" vertical="center"/>
      <protection/>
    </xf>
    <xf numFmtId="2" fontId="7" fillId="0" borderId="17" xfId="50" applyNumberFormat="1" applyFont="1" applyFill="1" applyBorder="1" applyAlignment="1">
      <alignment horizontal="left" vertical="center"/>
      <protection/>
    </xf>
    <xf numFmtId="2" fontId="59" fillId="0" borderId="17" xfId="50" applyNumberFormat="1" applyFont="1" applyFill="1" applyBorder="1" applyAlignment="1">
      <alignment horizontal="left" vertical="center"/>
      <protection/>
    </xf>
    <xf numFmtId="2" fontId="59" fillId="0" borderId="18" xfId="50" applyNumberFormat="1" applyFont="1" applyFill="1" applyBorder="1" applyAlignment="1">
      <alignment horizontal="left" vertical="center"/>
      <protection/>
    </xf>
    <xf numFmtId="0" fontId="7" fillId="0" borderId="21" xfId="50" applyBorder="1" applyAlignment="1">
      <alignment horizontal="left" vertical="center"/>
      <protection/>
    </xf>
    <xf numFmtId="0" fontId="7" fillId="0" borderId="0" xfId="50" applyAlignment="1">
      <alignment/>
      <protection/>
    </xf>
    <xf numFmtId="0" fontId="7" fillId="0" borderId="60" xfId="50" applyBorder="1" applyAlignment="1">
      <alignment vertical="center"/>
      <protection/>
    </xf>
    <xf numFmtId="0" fontId="7" fillId="0" borderId="21" xfId="50" applyBorder="1" applyAlignment="1">
      <alignment horizontal="center" vertical="center"/>
      <protection/>
    </xf>
    <xf numFmtId="0" fontId="19" fillId="0" borderId="60" xfId="56" applyFont="1" applyBorder="1" applyAlignment="1">
      <alignment vertical="top" wrapText="1"/>
      <protection/>
    </xf>
    <xf numFmtId="2" fontId="7" fillId="35" borderId="0" xfId="50" applyNumberFormat="1" applyFont="1" applyFill="1" applyBorder="1" applyAlignment="1">
      <alignment horizontal="center"/>
      <protection/>
    </xf>
    <xf numFmtId="0" fontId="7" fillId="0" borderId="22" xfId="50" applyBorder="1">
      <alignment/>
      <protection/>
    </xf>
    <xf numFmtId="2" fontId="8" fillId="7" borderId="24" xfId="50" applyNumberFormat="1" applyFont="1" applyFill="1" applyBorder="1" applyAlignment="1">
      <alignment horizontal="center" vertical="center"/>
      <protection/>
    </xf>
    <xf numFmtId="0" fontId="7" fillId="0" borderId="25" xfId="50" applyBorder="1">
      <alignment/>
      <protection/>
    </xf>
    <xf numFmtId="2" fontId="8" fillId="7" borderId="10" xfId="50" applyNumberFormat="1" applyFont="1" applyFill="1" applyBorder="1" applyAlignment="1">
      <alignment horizontal="center" vertical="center"/>
      <protection/>
    </xf>
    <xf numFmtId="0" fontId="7" fillId="0" borderId="31" xfId="50" applyFill="1" applyBorder="1" applyAlignment="1">
      <alignment horizontal="center"/>
      <protection/>
    </xf>
    <xf numFmtId="0" fontId="7" fillId="0" borderId="47" xfId="50" applyBorder="1" applyAlignment="1">
      <alignment wrapText="1"/>
      <protection/>
    </xf>
    <xf numFmtId="2" fontId="7" fillId="0" borderId="33" xfId="50" applyNumberFormat="1" applyBorder="1" applyAlignment="1">
      <alignment horizontal="left"/>
      <protection/>
    </xf>
    <xf numFmtId="2" fontId="8" fillId="7" borderId="35" xfId="50" applyNumberFormat="1" applyFont="1" applyFill="1" applyBorder="1" applyAlignment="1">
      <alignment horizontal="center" vertical="center"/>
      <protection/>
    </xf>
    <xf numFmtId="0" fontId="7" fillId="0" borderId="49" xfId="50" applyBorder="1" applyAlignment="1">
      <alignment wrapText="1"/>
      <protection/>
    </xf>
    <xf numFmtId="2" fontId="8" fillId="35" borderId="85" xfId="50" applyNumberFormat="1" applyFont="1" applyFill="1" applyBorder="1" applyAlignment="1">
      <alignment horizontal="center"/>
      <protection/>
    </xf>
    <xf numFmtId="2" fontId="8" fillId="35" borderId="86" xfId="50" applyNumberFormat="1" applyFont="1" applyFill="1" applyBorder="1" applyAlignment="1">
      <alignment horizontal="center"/>
      <protection/>
    </xf>
    <xf numFmtId="2" fontId="7" fillId="0" borderId="87" xfId="50" applyNumberFormat="1" applyFont="1" applyFill="1" applyBorder="1" applyAlignment="1">
      <alignment horizontal="left"/>
      <protection/>
    </xf>
    <xf numFmtId="2" fontId="8" fillId="7" borderId="54" xfId="50" applyNumberFormat="1" applyFont="1" applyFill="1" applyBorder="1" applyAlignment="1">
      <alignment horizontal="center" vertical="center"/>
      <protection/>
    </xf>
    <xf numFmtId="2" fontId="59" fillId="0" borderId="54" xfId="50" applyNumberFormat="1" applyFont="1" applyFill="1" applyBorder="1" applyAlignment="1">
      <alignment horizontal="center"/>
      <protection/>
    </xf>
    <xf numFmtId="0" fontId="7" fillId="0" borderId="77" xfId="50" applyBorder="1" applyAlignment="1">
      <alignment horizontal="center"/>
      <protection/>
    </xf>
    <xf numFmtId="0" fontId="7" fillId="0" borderId="52" xfId="50" applyBorder="1" applyAlignment="1">
      <alignment horizontal="center"/>
      <protection/>
    </xf>
    <xf numFmtId="0" fontId="7" fillId="0" borderId="53" xfId="50" applyBorder="1" applyAlignment="1">
      <alignment wrapText="1"/>
      <protection/>
    </xf>
    <xf numFmtId="0" fontId="7" fillId="0" borderId="53" xfId="50" applyFont="1" applyFill="1" applyBorder="1" applyAlignment="1">
      <alignment horizontal="left"/>
      <protection/>
    </xf>
    <xf numFmtId="0" fontId="11" fillId="0" borderId="53" xfId="50" applyFont="1" applyBorder="1" applyAlignment="1">
      <alignment wrapText="1"/>
      <protection/>
    </xf>
    <xf numFmtId="2" fontId="7" fillId="0" borderId="16" xfId="50" applyNumberFormat="1" applyBorder="1" applyAlignment="1">
      <alignment horizontal="left"/>
      <protection/>
    </xf>
    <xf numFmtId="2" fontId="8" fillId="7" borderId="17" xfId="50" applyNumberFormat="1" applyFont="1" applyFill="1" applyBorder="1" applyAlignment="1">
      <alignment horizontal="center" vertical="center"/>
      <protection/>
    </xf>
    <xf numFmtId="2" fontId="59" fillId="0" borderId="17" xfId="50" applyNumberFormat="1" applyFont="1" applyBorder="1" applyAlignment="1">
      <alignment horizontal="center"/>
      <protection/>
    </xf>
    <xf numFmtId="0" fontId="8" fillId="0" borderId="0" xfId="50" applyFont="1" applyFill="1" applyBorder="1" applyAlignment="1">
      <alignment horizontal="center" vertical="center"/>
      <protection/>
    </xf>
    <xf numFmtId="0" fontId="7" fillId="0" borderId="0" xfId="50" applyBorder="1" applyAlignment="1">
      <alignment vertical="center"/>
      <protection/>
    </xf>
    <xf numFmtId="0" fontId="7" fillId="0" borderId="0" xfId="50" applyFill="1" applyBorder="1" applyAlignment="1">
      <alignment horizontal="center" vertical="center"/>
      <protection/>
    </xf>
    <xf numFmtId="2" fontId="59" fillId="7" borderId="70" xfId="50" applyNumberFormat="1" applyFont="1" applyFill="1" applyBorder="1" applyAlignment="1">
      <alignment horizontal="center" vertical="center"/>
      <protection/>
    </xf>
    <xf numFmtId="2" fontId="20" fillId="7" borderId="19" xfId="50" applyNumberFormat="1" applyFont="1" applyFill="1" applyBorder="1" applyAlignment="1">
      <alignment horizontal="center" vertical="center"/>
      <protection/>
    </xf>
    <xf numFmtId="2" fontId="59" fillId="7" borderId="20" xfId="50" applyNumberFormat="1" applyFont="1" applyFill="1" applyBorder="1" applyAlignment="1">
      <alignment horizontal="center" vertical="center"/>
      <protection/>
    </xf>
    <xf numFmtId="2" fontId="59" fillId="7" borderId="17" xfId="50" applyNumberFormat="1" applyFont="1" applyFill="1" applyBorder="1" applyAlignment="1">
      <alignment horizontal="center" vertical="center"/>
      <protection/>
    </xf>
    <xf numFmtId="0" fontId="7" fillId="7" borderId="60" xfId="50" applyFill="1" applyBorder="1" applyAlignment="1">
      <alignment horizontal="center" vertical="center"/>
      <protection/>
    </xf>
    <xf numFmtId="0" fontId="7" fillId="7" borderId="62" xfId="50" applyFill="1" applyBorder="1" applyAlignment="1">
      <alignment horizontal="center"/>
      <protection/>
    </xf>
    <xf numFmtId="0" fontId="9" fillId="7" borderId="21" xfId="50" applyFont="1" applyFill="1" applyBorder="1" applyAlignment="1">
      <alignment wrapText="1"/>
      <protection/>
    </xf>
    <xf numFmtId="0" fontId="7" fillId="0" borderId="26" xfId="50" applyFill="1" applyBorder="1" applyAlignment="1">
      <alignment horizontal="center" vertical="center"/>
      <protection/>
    </xf>
    <xf numFmtId="0" fontId="7" fillId="0" borderId="31" xfId="50" applyFill="1" applyBorder="1" applyAlignment="1">
      <alignment horizontal="center" vertical="center"/>
      <protection/>
    </xf>
    <xf numFmtId="0" fontId="7" fillId="0" borderId="37" xfId="50" applyFill="1" applyBorder="1" applyAlignment="1">
      <alignment horizontal="center" vertical="center"/>
      <protection/>
    </xf>
    <xf numFmtId="0" fontId="8" fillId="0" borderId="19" xfId="50" applyFont="1" applyFill="1" applyBorder="1" applyAlignment="1">
      <alignment horizontal="center" vertical="center"/>
      <protection/>
    </xf>
    <xf numFmtId="0" fontId="7" fillId="0" borderId="68" xfId="50" applyBorder="1" applyAlignment="1">
      <alignment vertical="center"/>
      <protection/>
    </xf>
    <xf numFmtId="0" fontId="7" fillId="0" borderId="52" xfId="50" applyFill="1" applyBorder="1" applyAlignment="1">
      <alignment horizontal="center" vertical="center"/>
      <protection/>
    </xf>
    <xf numFmtId="0" fontId="7" fillId="0" borderId="19" xfId="50" applyFill="1" applyBorder="1" applyAlignment="1">
      <alignment horizontal="center" vertical="center"/>
      <protection/>
    </xf>
    <xf numFmtId="2" fontId="60" fillId="35" borderId="56" xfId="50" applyNumberFormat="1" applyFont="1" applyFill="1" applyBorder="1" applyAlignment="1">
      <alignment horizontal="center"/>
      <protection/>
    </xf>
    <xf numFmtId="0" fontId="8" fillId="35" borderId="62" xfId="50" applyFont="1" applyFill="1" applyBorder="1" applyAlignment="1">
      <alignment horizontal="center"/>
      <protection/>
    </xf>
    <xf numFmtId="2" fontId="59" fillId="35" borderId="53" xfId="50" applyNumberFormat="1" applyFont="1" applyFill="1" applyBorder="1" applyAlignment="1">
      <alignment horizontal="center"/>
      <protection/>
    </xf>
    <xf numFmtId="2" fontId="7" fillId="35" borderId="62" xfId="50" applyNumberFormat="1" applyFont="1" applyFill="1" applyBorder="1" applyAlignment="1">
      <alignment horizontal="center"/>
      <protection/>
    </xf>
    <xf numFmtId="0" fontId="8" fillId="35" borderId="54" xfId="50" applyFont="1" applyFill="1" applyBorder="1" applyAlignment="1">
      <alignment horizontal="center"/>
      <protection/>
    </xf>
    <xf numFmtId="0" fontId="7" fillId="35" borderId="68" xfId="50" applyFont="1" applyFill="1" applyBorder="1" applyAlignment="1">
      <alignment horizontal="center"/>
      <protection/>
    </xf>
    <xf numFmtId="0" fontId="8" fillId="19" borderId="62" xfId="50" applyFont="1" applyFill="1" applyBorder="1" applyAlignment="1">
      <alignment horizontal="center" vertical="center"/>
      <protection/>
    </xf>
    <xf numFmtId="0" fontId="7" fillId="0" borderId="64" xfId="50" applyBorder="1" applyAlignment="1">
      <alignment vertical="center"/>
      <protection/>
    </xf>
    <xf numFmtId="0" fontId="7" fillId="0" borderId="31" xfId="50" applyBorder="1" applyAlignment="1">
      <alignment vertical="center"/>
      <protection/>
    </xf>
    <xf numFmtId="0" fontId="7" fillId="0" borderId="29" xfId="50" applyNumberFormat="1" applyFont="1" applyFill="1" applyBorder="1" applyAlignment="1" applyProtection="1">
      <alignment vertical="center" wrapText="1"/>
      <protection/>
    </xf>
    <xf numFmtId="0" fontId="7" fillId="0" borderId="73" xfId="50" applyBorder="1" applyAlignment="1">
      <alignment vertical="center"/>
      <protection/>
    </xf>
    <xf numFmtId="0" fontId="7" fillId="0" borderId="74" xfId="50" applyBorder="1" applyAlignment="1">
      <alignment vertical="center"/>
      <protection/>
    </xf>
    <xf numFmtId="0" fontId="7" fillId="0" borderId="75" xfId="50" applyBorder="1" applyAlignment="1">
      <alignment vertical="center"/>
      <protection/>
    </xf>
    <xf numFmtId="0" fontId="7" fillId="0" borderId="76" xfId="50" applyBorder="1" applyAlignment="1">
      <alignment vertical="center"/>
      <protection/>
    </xf>
    <xf numFmtId="0" fontId="7" fillId="0" borderId="56" xfId="50" applyNumberFormat="1" applyFont="1" applyFill="1" applyBorder="1" applyAlignment="1" applyProtection="1">
      <alignment vertical="center" wrapText="1"/>
      <protection/>
    </xf>
    <xf numFmtId="2" fontId="7" fillId="7" borderId="50" xfId="50" applyNumberFormat="1" applyFont="1" applyFill="1" applyBorder="1" applyAlignment="1">
      <alignment horizontal="left" vertical="center"/>
      <protection/>
    </xf>
    <xf numFmtId="2" fontId="59" fillId="7" borderId="67" xfId="50" applyNumberFormat="1" applyFont="1" applyFill="1" applyBorder="1" applyAlignment="1">
      <alignment horizontal="center" vertical="center"/>
      <protection/>
    </xf>
    <xf numFmtId="2" fontId="59" fillId="7" borderId="68" xfId="50" applyNumberFormat="1" applyFont="1" applyFill="1" applyBorder="1" applyAlignment="1">
      <alignment horizontal="center" vertical="center"/>
      <protection/>
    </xf>
    <xf numFmtId="0" fontId="7" fillId="7" borderId="69" xfId="50" applyFill="1" applyBorder="1" applyAlignment="1">
      <alignment horizontal="center" vertical="center"/>
      <protection/>
    </xf>
    <xf numFmtId="0" fontId="18" fillId="0" borderId="10" xfId="50" applyFont="1" applyBorder="1" applyAlignment="1">
      <alignment vertical="center"/>
      <protection/>
    </xf>
    <xf numFmtId="0" fontId="7" fillId="0" borderId="50" xfId="50" applyBorder="1">
      <alignment/>
      <protection/>
    </xf>
    <xf numFmtId="0" fontId="7" fillId="0" borderId="67" xfId="50" applyBorder="1">
      <alignment/>
      <protection/>
    </xf>
    <xf numFmtId="0" fontId="7" fillId="0" borderId="68" xfId="50" applyBorder="1">
      <alignment/>
      <protection/>
    </xf>
    <xf numFmtId="0" fontId="7" fillId="0" borderId="69" xfId="50" applyBorder="1">
      <alignment/>
      <protection/>
    </xf>
    <xf numFmtId="0" fontId="7" fillId="0" borderId="53" xfId="50" applyNumberFormat="1" applyFont="1" applyFill="1" applyBorder="1" applyAlignment="1" applyProtection="1">
      <alignment vertical="center" wrapText="1"/>
      <protection/>
    </xf>
    <xf numFmtId="2" fontId="7" fillId="0" borderId="16" xfId="50" applyNumberFormat="1" applyFont="1" applyFill="1" applyBorder="1" applyAlignment="1">
      <alignment horizontal="left"/>
      <protection/>
    </xf>
    <xf numFmtId="2" fontId="8" fillId="7" borderId="17" xfId="50" applyNumberFormat="1" applyFont="1" applyFill="1" applyBorder="1" applyAlignment="1">
      <alignment horizontal="center"/>
      <protection/>
    </xf>
    <xf numFmtId="2" fontId="63" fillId="0" borderId="17" xfId="50" applyNumberFormat="1" applyFont="1" applyFill="1" applyBorder="1" applyAlignment="1">
      <alignment horizontal="center"/>
      <protection/>
    </xf>
    <xf numFmtId="0" fontId="9" fillId="0" borderId="60" xfId="50" applyFont="1" applyFill="1" applyBorder="1" applyAlignment="1">
      <alignment wrapText="1"/>
      <protection/>
    </xf>
    <xf numFmtId="2" fontId="8" fillId="7" borderId="16" xfId="50" applyNumberFormat="1" applyFont="1" applyFill="1" applyBorder="1" applyAlignment="1">
      <alignment horizontal="center"/>
      <protection/>
    </xf>
    <xf numFmtId="2" fontId="7" fillId="0" borderId="16" xfId="50" applyNumberFormat="1" applyFont="1" applyFill="1" applyBorder="1" applyAlignment="1">
      <alignment horizontal="center"/>
      <protection/>
    </xf>
    <xf numFmtId="0" fontId="9" fillId="0" borderId="19" xfId="50" applyFont="1" applyFill="1" applyBorder="1" applyAlignment="1">
      <alignment wrapText="1"/>
      <protection/>
    </xf>
    <xf numFmtId="0" fontId="7" fillId="0" borderId="32" xfId="50" applyBorder="1" applyAlignment="1">
      <alignment wrapText="1"/>
      <protection/>
    </xf>
    <xf numFmtId="2" fontId="7" fillId="0" borderId="88" xfId="50" applyNumberFormat="1" applyBorder="1" applyAlignment="1">
      <alignment horizontal="center"/>
      <protection/>
    </xf>
    <xf numFmtId="2" fontId="7" fillId="0" borderId="75" xfId="50" applyNumberFormat="1" applyBorder="1" applyAlignment="1">
      <alignment horizontal="center"/>
      <protection/>
    </xf>
    <xf numFmtId="2" fontId="59" fillId="0" borderId="75" xfId="50" applyNumberFormat="1" applyFont="1" applyBorder="1" applyAlignment="1">
      <alignment horizontal="center"/>
      <protection/>
    </xf>
    <xf numFmtId="0" fontId="7" fillId="0" borderId="76" xfId="50" applyBorder="1" applyAlignment="1">
      <alignment wrapText="1"/>
      <protection/>
    </xf>
    <xf numFmtId="2" fontId="7" fillId="0" borderId="61" xfId="50" applyNumberFormat="1" applyFont="1" applyFill="1" applyBorder="1" applyAlignment="1">
      <alignment horizontal="center"/>
      <protection/>
    </xf>
    <xf numFmtId="0" fontId="7" fillId="0" borderId="21" xfId="50" applyFont="1" applyFill="1" applyBorder="1" applyAlignment="1">
      <alignment horizontal="left"/>
      <protection/>
    </xf>
    <xf numFmtId="0" fontId="11" fillId="0" borderId="21" xfId="50" applyFont="1" applyBorder="1" applyAlignment="1">
      <alignment wrapText="1"/>
      <protection/>
    </xf>
    <xf numFmtId="0" fontId="7" fillId="0" borderId="17" xfId="50" applyNumberFormat="1" applyFont="1" applyFill="1" applyBorder="1" applyAlignment="1" applyProtection="1">
      <alignment vertical="center" wrapText="1"/>
      <protection/>
    </xf>
    <xf numFmtId="2" fontId="59" fillId="35" borderId="55" xfId="50" applyNumberFormat="1" applyFont="1" applyFill="1" applyBorder="1" applyAlignment="1">
      <alignment horizontal="center"/>
      <protection/>
    </xf>
    <xf numFmtId="0" fontId="7" fillId="35" borderId="56" xfId="50" applyFont="1" applyFill="1" applyBorder="1" applyAlignment="1">
      <alignment horizontal="center"/>
      <protection/>
    </xf>
    <xf numFmtId="2" fontId="7" fillId="0" borderId="86" xfId="50" applyNumberFormat="1" applyFont="1" applyFill="1" applyBorder="1" applyAlignment="1">
      <alignment horizontal="left"/>
      <protection/>
    </xf>
    <xf numFmtId="2" fontId="8" fillId="0" borderId="68" xfId="50" applyNumberFormat="1" applyFont="1" applyFill="1" applyBorder="1" applyAlignment="1">
      <alignment horizontal="center"/>
      <protection/>
    </xf>
    <xf numFmtId="2" fontId="63" fillId="0" borderId="68" xfId="50" applyNumberFormat="1" applyFont="1" applyFill="1" applyBorder="1" applyAlignment="1">
      <alignment horizontal="center"/>
      <protection/>
    </xf>
    <xf numFmtId="2" fontId="59" fillId="0" borderId="68" xfId="50" applyNumberFormat="1" applyFont="1" applyFill="1" applyBorder="1" applyAlignment="1">
      <alignment horizontal="center"/>
      <protection/>
    </xf>
    <xf numFmtId="0" fontId="7" fillId="0" borderId="68" xfId="50" applyFill="1" applyBorder="1" applyAlignment="1">
      <alignment horizontal="center"/>
      <protection/>
    </xf>
    <xf numFmtId="0" fontId="9" fillId="0" borderId="69" xfId="50" applyFont="1" applyFill="1" applyBorder="1" applyAlignment="1">
      <alignment wrapText="1"/>
      <protection/>
    </xf>
    <xf numFmtId="2" fontId="7" fillId="0" borderId="50" xfId="50" applyNumberFormat="1" applyFont="1" applyFill="1" applyBorder="1" applyAlignment="1">
      <alignment horizontal="left"/>
      <protection/>
    </xf>
    <xf numFmtId="2" fontId="64" fillId="0" borderId="67" xfId="50" applyNumberFormat="1" applyFont="1" applyFill="1" applyBorder="1" applyAlignment="1">
      <alignment horizontal="center"/>
      <protection/>
    </xf>
    <xf numFmtId="2" fontId="7" fillId="7" borderId="62" xfId="50" applyNumberFormat="1" applyFont="1" applyFill="1" applyBorder="1" applyAlignment="1">
      <alignment horizontal="left"/>
      <protection/>
    </xf>
    <xf numFmtId="2" fontId="8" fillId="7" borderId="78" xfId="50" applyNumberFormat="1" applyFont="1" applyFill="1" applyBorder="1" applyAlignment="1">
      <alignment horizontal="center"/>
      <protection/>
    </xf>
    <xf numFmtId="2" fontId="59" fillId="7" borderId="54" xfId="50" applyNumberFormat="1" applyFont="1" applyFill="1" applyBorder="1" applyAlignment="1">
      <alignment horizontal="center"/>
      <protection/>
    </xf>
    <xf numFmtId="2" fontId="7" fillId="7" borderId="54" xfId="50" applyNumberFormat="1" applyFill="1" applyBorder="1" applyAlignment="1">
      <alignment horizontal="center"/>
      <protection/>
    </xf>
    <xf numFmtId="0" fontId="7" fillId="7" borderId="54" xfId="50" applyFill="1" applyBorder="1" applyAlignment="1">
      <alignment horizontal="center"/>
      <protection/>
    </xf>
    <xf numFmtId="0" fontId="9" fillId="7" borderId="62" xfId="50" applyFont="1" applyFill="1" applyBorder="1" applyAlignment="1">
      <alignment wrapText="1"/>
      <protection/>
    </xf>
    <xf numFmtId="2" fontId="7" fillId="0" borderId="22" xfId="50" applyNumberFormat="1" applyBorder="1" applyAlignment="1">
      <alignment horizontal="left"/>
      <protection/>
    </xf>
    <xf numFmtId="2" fontId="7" fillId="0" borderId="28" xfId="50" applyNumberFormat="1" applyBorder="1" applyAlignment="1">
      <alignment horizontal="left"/>
      <protection/>
    </xf>
    <xf numFmtId="0" fontId="7" fillId="0" borderId="47" xfId="50" applyBorder="1" applyAlignment="1">
      <alignment horizontal="center"/>
      <protection/>
    </xf>
    <xf numFmtId="0" fontId="7" fillId="0" borderId="51" xfId="50" applyBorder="1" applyAlignment="1">
      <alignment/>
      <protection/>
    </xf>
    <xf numFmtId="0" fontId="9" fillId="0" borderId="0" xfId="50" applyFont="1" applyFill="1" applyBorder="1" applyAlignment="1">
      <alignment wrapText="1"/>
      <protection/>
    </xf>
    <xf numFmtId="2" fontId="8" fillId="19" borderId="17" xfId="50" applyNumberFormat="1" applyFont="1" applyFill="1" applyBorder="1" applyAlignment="1">
      <alignment horizontal="center"/>
      <protection/>
    </xf>
    <xf numFmtId="0" fontId="7" fillId="0" borderId="60" xfId="50" applyFont="1" applyFill="1" applyBorder="1" applyAlignment="1">
      <alignment wrapText="1"/>
      <protection/>
    </xf>
    <xf numFmtId="0" fontId="7" fillId="0" borderId="0" xfId="50" applyFont="1" applyFill="1" applyBorder="1" applyAlignment="1">
      <alignment wrapText="1"/>
      <protection/>
    </xf>
    <xf numFmtId="2" fontId="7" fillId="0" borderId="22" xfId="50" applyNumberFormat="1" applyFont="1" applyFill="1" applyBorder="1" applyAlignment="1">
      <alignment horizontal="left"/>
      <protection/>
    </xf>
    <xf numFmtId="2" fontId="8" fillId="19" borderId="24" xfId="50" applyNumberFormat="1" applyFont="1" applyFill="1" applyBorder="1" applyAlignment="1">
      <alignment horizontal="center"/>
      <protection/>
    </xf>
    <xf numFmtId="2" fontId="59" fillId="0" borderId="24" xfId="50" applyNumberFormat="1" applyFont="1" applyFill="1" applyBorder="1" applyAlignment="1">
      <alignment horizontal="center"/>
      <protection/>
    </xf>
    <xf numFmtId="2" fontId="7" fillId="0" borderId="24" xfId="50" applyNumberFormat="1" applyFill="1" applyBorder="1" applyAlignment="1">
      <alignment horizontal="center"/>
      <protection/>
    </xf>
    <xf numFmtId="0" fontId="7" fillId="0" borderId="25" xfId="50" applyFill="1" applyBorder="1" applyAlignment="1">
      <alignment horizontal="center"/>
      <protection/>
    </xf>
    <xf numFmtId="0" fontId="7" fillId="0" borderId="71" xfId="50" applyFont="1" applyFill="1" applyBorder="1" applyAlignment="1">
      <alignment wrapText="1"/>
      <protection/>
    </xf>
    <xf numFmtId="2" fontId="8" fillId="0" borderId="33" xfId="50" applyNumberFormat="1" applyFont="1" applyFill="1" applyBorder="1" applyAlignment="1">
      <alignment horizontal="center"/>
      <protection/>
    </xf>
    <xf numFmtId="2" fontId="8" fillId="19" borderId="35" xfId="50" applyNumberFormat="1" applyFont="1" applyFill="1" applyBorder="1" applyAlignment="1">
      <alignment horizontal="center"/>
      <protection/>
    </xf>
    <xf numFmtId="2" fontId="7" fillId="0" borderId="35" xfId="50" applyNumberFormat="1" applyFill="1" applyBorder="1" applyAlignment="1">
      <alignment horizontal="center"/>
      <protection/>
    </xf>
    <xf numFmtId="0" fontId="7" fillId="0" borderId="36" xfId="50" applyFill="1" applyBorder="1" applyAlignment="1">
      <alignment horizontal="center"/>
      <protection/>
    </xf>
    <xf numFmtId="0" fontId="7" fillId="0" borderId="49" xfId="50" applyFont="1" applyFill="1" applyBorder="1" applyAlignment="1">
      <alignment wrapText="1"/>
      <protection/>
    </xf>
    <xf numFmtId="2" fontId="7" fillId="0" borderId="10" xfId="50" applyNumberFormat="1" applyBorder="1">
      <alignment/>
      <protection/>
    </xf>
    <xf numFmtId="2" fontId="8" fillId="0" borderId="75" xfId="50" applyNumberFormat="1" applyFont="1" applyFill="1" applyBorder="1" applyAlignment="1">
      <alignment horizontal="center"/>
      <protection/>
    </xf>
    <xf numFmtId="2" fontId="59" fillId="0" borderId="75" xfId="50" applyNumberFormat="1" applyFont="1" applyFill="1" applyBorder="1" applyAlignment="1">
      <alignment horizontal="center"/>
      <protection/>
    </xf>
    <xf numFmtId="2" fontId="7" fillId="0" borderId="75" xfId="50" applyNumberFormat="1" applyFill="1" applyBorder="1" applyAlignment="1">
      <alignment horizontal="center"/>
      <protection/>
    </xf>
    <xf numFmtId="0" fontId="7" fillId="0" borderId="81" xfId="50" applyFill="1" applyBorder="1" applyAlignment="1">
      <alignment horizontal="center"/>
      <protection/>
    </xf>
    <xf numFmtId="0" fontId="7" fillId="0" borderId="74" xfId="50" applyFont="1" applyFill="1" applyBorder="1" applyAlignment="1">
      <alignment wrapText="1"/>
      <protection/>
    </xf>
    <xf numFmtId="0" fontId="7" fillId="0" borderId="24" xfId="50" applyFill="1" applyBorder="1" applyAlignment="1">
      <alignment horizontal="center"/>
      <protection/>
    </xf>
    <xf numFmtId="0" fontId="9" fillId="0" borderId="27" xfId="50" applyFont="1" applyFill="1" applyBorder="1" applyAlignment="1">
      <alignment wrapText="1"/>
      <protection/>
    </xf>
    <xf numFmtId="2" fontId="8" fillId="0" borderId="22" xfId="50" applyNumberFormat="1" applyFont="1" applyFill="1" applyBorder="1" applyAlignment="1">
      <alignment horizontal="center"/>
      <protection/>
    </xf>
    <xf numFmtId="2" fontId="8" fillId="0" borderId="28" xfId="50" applyNumberFormat="1" applyFont="1" applyFill="1" applyBorder="1" applyAlignment="1">
      <alignment horizontal="left" wrapText="1"/>
      <protection/>
    </xf>
    <xf numFmtId="2" fontId="7" fillId="0" borderId="10" xfId="50" applyNumberFormat="1" applyFill="1" applyBorder="1" applyAlignment="1">
      <alignment horizontal="center"/>
      <protection/>
    </xf>
    <xf numFmtId="0" fontId="7" fillId="0" borderId="10" xfId="50" applyFill="1" applyBorder="1" applyAlignment="1">
      <alignment horizontal="center"/>
      <protection/>
    </xf>
    <xf numFmtId="0" fontId="9" fillId="0" borderId="32" xfId="50" applyFont="1" applyFill="1" applyBorder="1" applyAlignment="1">
      <alignment wrapText="1"/>
      <protection/>
    </xf>
    <xf numFmtId="2" fontId="8" fillId="0" borderId="65" xfId="50" applyNumberFormat="1" applyFont="1" applyFill="1" applyBorder="1" applyAlignment="1">
      <alignment horizontal="center"/>
      <protection/>
    </xf>
    <xf numFmtId="0" fontId="7" fillId="0" borderId="35" xfId="50" applyFill="1" applyBorder="1" applyAlignment="1">
      <alignment horizontal="center"/>
      <protection/>
    </xf>
    <xf numFmtId="0" fontId="9" fillId="0" borderId="38" xfId="50" applyFont="1" applyFill="1" applyBorder="1" applyAlignment="1">
      <alignment wrapText="1"/>
      <protection/>
    </xf>
    <xf numFmtId="2" fontId="7" fillId="0" borderId="0" xfId="50" applyNumberFormat="1" applyFont="1" applyFill="1" applyBorder="1" applyAlignment="1">
      <alignment horizontal="left"/>
      <protection/>
    </xf>
    <xf numFmtId="2" fontId="63" fillId="7" borderId="17" xfId="50" applyNumberFormat="1" applyFont="1" applyFill="1" applyBorder="1" applyAlignment="1">
      <alignment horizontal="center"/>
      <protection/>
    </xf>
    <xf numFmtId="0" fontId="9" fillId="7" borderId="60" xfId="50" applyFont="1" applyFill="1" applyBorder="1" applyAlignment="1">
      <alignment wrapText="1"/>
      <protection/>
    </xf>
    <xf numFmtId="2" fontId="7" fillId="7" borderId="19" xfId="50" applyNumberFormat="1" applyFont="1" applyFill="1" applyBorder="1" applyAlignment="1">
      <alignment horizontal="left"/>
      <protection/>
    </xf>
    <xf numFmtId="2" fontId="8" fillId="7" borderId="20" xfId="50" applyNumberFormat="1" applyFont="1" applyFill="1" applyBorder="1" applyAlignment="1">
      <alignment horizontal="center"/>
      <protection/>
    </xf>
    <xf numFmtId="2" fontId="8" fillId="0" borderId="19" xfId="50" applyNumberFormat="1" applyFont="1" applyFill="1" applyBorder="1" applyAlignment="1">
      <alignment horizontal="center"/>
      <protection/>
    </xf>
    <xf numFmtId="2" fontId="7" fillId="0" borderId="20" xfId="50" applyNumberFormat="1" applyFont="1" applyFill="1" applyBorder="1" applyAlignment="1">
      <alignment horizontal="center"/>
      <protection/>
    </xf>
    <xf numFmtId="2" fontId="7" fillId="0" borderId="44" xfId="50" applyNumberFormat="1" applyBorder="1" applyAlignment="1">
      <alignment horizontal="center"/>
      <protection/>
    </xf>
    <xf numFmtId="2" fontId="7" fillId="0" borderId="45" xfId="50" applyNumberFormat="1" applyBorder="1" applyAlignment="1">
      <alignment horizontal="center"/>
      <protection/>
    </xf>
    <xf numFmtId="2" fontId="59" fillId="0" borderId="42" xfId="50" applyNumberFormat="1" applyFont="1" applyBorder="1" applyAlignment="1">
      <alignment horizontal="center"/>
      <protection/>
    </xf>
    <xf numFmtId="0" fontId="7" fillId="0" borderId="82" xfId="50" applyBorder="1" applyAlignment="1">
      <alignment wrapText="1"/>
      <protection/>
    </xf>
    <xf numFmtId="2" fontId="7" fillId="0" borderId="37" xfId="50" applyNumberFormat="1" applyBorder="1" applyAlignment="1">
      <alignment horizontal="center"/>
      <protection/>
    </xf>
    <xf numFmtId="0" fontId="7" fillId="0" borderId="38" xfId="50" applyBorder="1" applyAlignment="1">
      <alignment wrapText="1"/>
      <protection/>
    </xf>
    <xf numFmtId="2" fontId="7" fillId="0" borderId="19" xfId="50" applyNumberFormat="1" applyFont="1" applyFill="1" applyBorder="1" applyAlignment="1">
      <alignment horizontal="center"/>
      <protection/>
    </xf>
    <xf numFmtId="2" fontId="8" fillId="0" borderId="70" xfId="50" applyNumberFormat="1" applyFont="1" applyFill="1" applyBorder="1" applyAlignment="1">
      <alignment horizontal="center"/>
      <protection/>
    </xf>
    <xf numFmtId="2" fontId="7" fillId="0" borderId="70" xfId="50" applyNumberFormat="1" applyFill="1" applyBorder="1" applyAlignment="1">
      <alignment horizontal="center"/>
      <protection/>
    </xf>
    <xf numFmtId="0" fontId="7" fillId="0" borderId="70" xfId="50" applyFill="1" applyBorder="1" applyAlignment="1">
      <alignment horizontal="center"/>
      <protection/>
    </xf>
    <xf numFmtId="0" fontId="7" fillId="0" borderId="70" xfId="50" applyBorder="1" applyAlignment="1">
      <alignment horizontal="center"/>
      <protection/>
    </xf>
    <xf numFmtId="0" fontId="9" fillId="0" borderId="21" xfId="50" applyFont="1" applyFill="1" applyBorder="1" applyAlignment="1">
      <alignment wrapText="1"/>
      <protection/>
    </xf>
    <xf numFmtId="0" fontId="7" fillId="0" borderId="18" xfId="50" applyFill="1" applyBorder="1" applyAlignment="1">
      <alignment horizontal="center"/>
      <protection/>
    </xf>
    <xf numFmtId="2" fontId="7" fillId="0" borderId="31" xfId="50" applyNumberFormat="1" applyBorder="1" applyAlignment="1">
      <alignment horizontal="center"/>
      <protection/>
    </xf>
    <xf numFmtId="2" fontId="7" fillId="0" borderId="52" xfId="50" applyNumberFormat="1" applyFont="1" applyFill="1" applyBorder="1" applyAlignment="1">
      <alignment horizontal="center"/>
      <protection/>
    </xf>
    <xf numFmtId="0" fontId="7" fillId="0" borderId="51" xfId="50" applyFont="1" applyFill="1" applyBorder="1" applyAlignment="1">
      <alignment horizontal="left"/>
      <protection/>
    </xf>
    <xf numFmtId="0" fontId="7" fillId="0" borderId="52" xfId="50" applyFont="1" applyFill="1" applyBorder="1" applyAlignment="1">
      <alignment horizontal="center"/>
      <protection/>
    </xf>
    <xf numFmtId="0" fontId="8" fillId="7" borderId="17" xfId="50" applyFont="1" applyFill="1" applyBorder="1" applyAlignment="1">
      <alignment horizontal="center" vertical="center"/>
      <protection/>
    </xf>
    <xf numFmtId="0" fontId="7" fillId="0" borderId="60" xfId="50" applyBorder="1">
      <alignment/>
      <protection/>
    </xf>
    <xf numFmtId="2" fontId="7" fillId="0" borderId="52" xfId="50" applyNumberFormat="1" applyBorder="1" applyAlignment="1">
      <alignment horizontal="left"/>
      <protection/>
    </xf>
    <xf numFmtId="2" fontId="8" fillId="7" borderId="13" xfId="50" applyNumberFormat="1" applyFont="1" applyFill="1" applyBorder="1" applyAlignment="1">
      <alignment horizontal="center" vertical="center"/>
      <protection/>
    </xf>
    <xf numFmtId="0" fontId="7" fillId="0" borderId="39" xfId="50" applyBorder="1" applyAlignment="1">
      <alignment horizontal="center"/>
      <protection/>
    </xf>
    <xf numFmtId="0" fontId="7" fillId="0" borderId="68" xfId="50" applyBorder="1" applyAlignment="1">
      <alignment horizontal="center"/>
      <protection/>
    </xf>
    <xf numFmtId="0" fontId="7" fillId="0" borderId="60" xfId="50" applyFont="1" applyBorder="1">
      <alignment/>
      <protection/>
    </xf>
    <xf numFmtId="2" fontId="8" fillId="35" borderId="87" xfId="50" applyNumberFormat="1" applyFont="1" applyFill="1" applyBorder="1" applyAlignment="1">
      <alignment horizontal="center"/>
      <protection/>
    </xf>
    <xf numFmtId="2" fontId="7" fillId="35" borderId="86" xfId="50" applyNumberFormat="1" applyFont="1" applyFill="1" applyBorder="1" applyAlignment="1">
      <alignment horizontal="center"/>
      <protection/>
    </xf>
    <xf numFmtId="2" fontId="7" fillId="0" borderId="19" xfId="50" applyNumberFormat="1" applyBorder="1" applyAlignment="1">
      <alignment horizontal="left"/>
      <protection/>
    </xf>
    <xf numFmtId="2" fontId="8" fillId="7" borderId="67" xfId="50" applyNumberFormat="1" applyFont="1" applyFill="1" applyBorder="1" applyAlignment="1">
      <alignment horizontal="center"/>
      <protection/>
    </xf>
    <xf numFmtId="2" fontId="59" fillId="0" borderId="68" xfId="50" applyNumberFormat="1" applyFont="1" applyBorder="1" applyAlignment="1">
      <alignment horizontal="center"/>
      <protection/>
    </xf>
    <xf numFmtId="0" fontId="7" fillId="0" borderId="71" xfId="50" applyFont="1" applyBorder="1" applyAlignment="1">
      <alignment wrapText="1"/>
      <protection/>
    </xf>
    <xf numFmtId="2" fontId="7" fillId="0" borderId="62" xfId="50" applyNumberFormat="1" applyBorder="1" applyAlignment="1">
      <alignment horizontal="left"/>
      <protection/>
    </xf>
    <xf numFmtId="0" fontId="7" fillId="0" borderId="56" xfId="50" applyFont="1" applyBorder="1" applyAlignment="1">
      <alignment wrapText="1"/>
      <protection/>
    </xf>
    <xf numFmtId="0" fontId="7" fillId="0" borderId="27" xfId="50" applyFont="1" applyBorder="1" applyAlignment="1">
      <alignment wrapText="1"/>
      <protection/>
    </xf>
    <xf numFmtId="2" fontId="59" fillId="0" borderId="61" xfId="50" applyNumberFormat="1" applyFont="1" applyFill="1" applyBorder="1" applyAlignment="1">
      <alignment horizontal="center"/>
      <protection/>
    </xf>
    <xf numFmtId="0" fontId="7" fillId="0" borderId="21" xfId="50" applyFont="1" applyBorder="1" applyAlignment="1">
      <alignment wrapText="1"/>
      <protection/>
    </xf>
    <xf numFmtId="0" fontId="7" fillId="0" borderId="56" xfId="50" applyBorder="1" applyAlignment="1">
      <alignment wrapText="1"/>
      <protection/>
    </xf>
    <xf numFmtId="2" fontId="7" fillId="0" borderId="37" xfId="50" applyNumberFormat="1" applyBorder="1" applyAlignment="1">
      <alignment horizontal="left"/>
      <protection/>
    </xf>
    <xf numFmtId="2" fontId="8" fillId="7" borderId="34" xfId="50" applyNumberFormat="1" applyFont="1" applyFill="1" applyBorder="1" applyAlignment="1">
      <alignment horizontal="center"/>
      <protection/>
    </xf>
    <xf numFmtId="0" fontId="7" fillId="0" borderId="49" xfId="50" applyBorder="1" applyAlignment="1">
      <alignment vertical="center" wrapText="1"/>
      <protection/>
    </xf>
    <xf numFmtId="2" fontId="7" fillId="0" borderId="61" xfId="50" applyNumberFormat="1" applyFont="1" applyFill="1" applyBorder="1" applyAlignment="1">
      <alignment horizontal="left"/>
      <protection/>
    </xf>
    <xf numFmtId="2" fontId="8" fillId="0" borderId="17" xfId="50" applyNumberFormat="1" applyFont="1" applyFill="1" applyBorder="1" applyAlignment="1">
      <alignment horizontal="center"/>
      <protection/>
    </xf>
    <xf numFmtId="0" fontId="7" fillId="0" borderId="60" xfId="50" applyFill="1" applyBorder="1" applyAlignment="1">
      <alignment horizontal="center"/>
      <protection/>
    </xf>
    <xf numFmtId="2" fontId="7" fillId="0" borderId="20" xfId="50" applyNumberFormat="1" applyBorder="1" applyAlignment="1">
      <alignment horizontal="center"/>
      <protection/>
    </xf>
    <xf numFmtId="1" fontId="59" fillId="0" borderId="17" xfId="50" applyNumberFormat="1" applyFont="1" applyBorder="1" applyAlignment="1">
      <alignment horizontal="center"/>
      <protection/>
    </xf>
    <xf numFmtId="0" fontId="13" fillId="0" borderId="0" xfId="50" applyFont="1" applyAlignment="1">
      <alignment horizontal="left" wrapText="1"/>
      <protection/>
    </xf>
    <xf numFmtId="2" fontId="7" fillId="0" borderId="87" xfId="50" applyNumberFormat="1" applyBorder="1" applyAlignment="1">
      <alignment horizontal="left"/>
      <protection/>
    </xf>
    <xf numFmtId="2" fontId="7" fillId="0" borderId="54" xfId="50" applyNumberFormat="1" applyBorder="1" applyAlignment="1">
      <alignment horizontal="center"/>
      <protection/>
    </xf>
    <xf numFmtId="0" fontId="7" fillId="0" borderId="48" xfId="50" applyBorder="1" applyAlignment="1">
      <alignment wrapText="1"/>
      <protection/>
    </xf>
    <xf numFmtId="2" fontId="7" fillId="0" borderId="33" xfId="50" applyNumberFormat="1" applyBorder="1" applyAlignment="1">
      <alignment horizontal="center"/>
      <protection/>
    </xf>
    <xf numFmtId="2" fontId="7" fillId="0" borderId="61" xfId="50" applyNumberFormat="1" applyBorder="1">
      <alignment/>
      <protection/>
    </xf>
    <xf numFmtId="2" fontId="59" fillId="0" borderId="70" xfId="50" applyNumberFormat="1" applyFont="1" applyBorder="1">
      <alignment/>
      <protection/>
    </xf>
    <xf numFmtId="0" fontId="11" fillId="0" borderId="21" xfId="50" applyFont="1" applyBorder="1" applyAlignment="1">
      <alignment wrapText="1"/>
      <protection/>
    </xf>
    <xf numFmtId="2" fontId="7" fillId="0" borderId="33" xfId="50" applyNumberFormat="1" applyBorder="1" applyAlignment="1">
      <alignment horizontal="left" wrapText="1"/>
      <protection/>
    </xf>
    <xf numFmtId="0" fontId="11" fillId="0" borderId="0" xfId="50" applyFont="1" applyBorder="1" applyAlignment="1">
      <alignment wrapText="1"/>
      <protection/>
    </xf>
    <xf numFmtId="2" fontId="8" fillId="37" borderId="17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2" fontId="7" fillId="0" borderId="16" xfId="50" applyNumberFormat="1" applyFont="1" applyBorder="1" applyAlignment="1">
      <alignment horizontal="left" wrapText="1"/>
      <protection/>
    </xf>
    <xf numFmtId="2" fontId="7" fillId="0" borderId="17" xfId="50" applyNumberFormat="1" applyBorder="1" applyAlignment="1">
      <alignment horizontal="center"/>
      <protection/>
    </xf>
    <xf numFmtId="0" fontId="7" fillId="0" borderId="60" xfId="50" applyFont="1" applyFill="1" applyBorder="1">
      <alignment/>
      <protection/>
    </xf>
    <xf numFmtId="2" fontId="7" fillId="0" borderId="72" xfId="50" applyNumberFormat="1" applyFont="1" applyBorder="1" applyAlignment="1">
      <alignment horizontal="left" vertical="center"/>
      <protection/>
    </xf>
    <xf numFmtId="2" fontId="59" fillId="0" borderId="83" xfId="50" applyNumberFormat="1" applyFont="1" applyBorder="1" applyAlignment="1">
      <alignment horizontal="center"/>
      <protection/>
    </xf>
    <xf numFmtId="2" fontId="7" fillId="0" borderId="83" xfId="50" applyNumberFormat="1" applyBorder="1" applyAlignment="1">
      <alignment horizontal="center"/>
      <protection/>
    </xf>
    <xf numFmtId="0" fontId="7" fillId="0" borderId="27" xfId="50" applyFont="1" applyFill="1" applyBorder="1">
      <alignment/>
      <protection/>
    </xf>
    <xf numFmtId="2" fontId="7" fillId="0" borderId="65" xfId="50" applyNumberFormat="1" applyFont="1" applyBorder="1" applyAlignment="1">
      <alignment horizontal="left" vertical="center"/>
      <protection/>
    </xf>
    <xf numFmtId="2" fontId="59" fillId="0" borderId="84" xfId="50" applyNumberFormat="1" applyFont="1" applyBorder="1" applyAlignment="1">
      <alignment horizontal="center"/>
      <protection/>
    </xf>
    <xf numFmtId="2" fontId="7" fillId="0" borderId="84" xfId="50" applyNumberFormat="1" applyBorder="1" applyAlignment="1">
      <alignment horizontal="center"/>
      <protection/>
    </xf>
    <xf numFmtId="0" fontId="7" fillId="0" borderId="35" xfId="50" applyNumberFormat="1" applyFont="1" applyFill="1" applyBorder="1" applyAlignment="1" applyProtection="1">
      <alignment horizontal="center" vertical="center" wrapText="1"/>
      <protection/>
    </xf>
    <xf numFmtId="2" fontId="7" fillId="0" borderId="0" xfId="50" applyNumberFormat="1" applyFont="1" applyBorder="1" applyAlignment="1">
      <alignment horizontal="left"/>
      <protection/>
    </xf>
    <xf numFmtId="0" fontId="42" fillId="0" borderId="39" xfId="56" applyBorder="1" applyAlignment="1">
      <alignment horizontal="center" vertical="center"/>
      <protection/>
    </xf>
    <xf numFmtId="0" fontId="42" fillId="0" borderId="39" xfId="56" applyBorder="1" applyAlignment="1">
      <alignment vertical="top" wrapText="1"/>
      <protection/>
    </xf>
    <xf numFmtId="0" fontId="42" fillId="0" borderId="12" xfId="56" applyBorder="1" applyAlignment="1">
      <alignment vertical="top" wrapText="1"/>
      <protection/>
    </xf>
    <xf numFmtId="2" fontId="7" fillId="0" borderId="16" xfId="50" applyNumberFormat="1" applyFont="1" applyBorder="1" applyAlignment="1">
      <alignment horizontal="left"/>
      <protection/>
    </xf>
    <xf numFmtId="2" fontId="59" fillId="0" borderId="17" xfId="50" applyNumberFormat="1" applyFont="1" applyBorder="1" applyAlignment="1">
      <alignment horizontal="center" vertical="center"/>
      <protection/>
    </xf>
    <xf numFmtId="2" fontId="7" fillId="0" borderId="17" xfId="50" applyNumberFormat="1" applyBorder="1" applyAlignment="1">
      <alignment horizontal="center" vertical="center"/>
      <protection/>
    </xf>
    <xf numFmtId="0" fontId="59" fillId="0" borderId="17" xfId="50" applyFont="1" applyBorder="1" applyAlignment="1">
      <alignment horizontal="center" vertical="center"/>
      <protection/>
    </xf>
    <xf numFmtId="0" fontId="42" fillId="0" borderId="17" xfId="56" applyBorder="1" applyAlignment="1">
      <alignment horizontal="center" vertical="center"/>
      <protection/>
    </xf>
    <xf numFmtId="0" fontId="42" fillId="0" borderId="60" xfId="56" applyBorder="1" applyAlignment="1">
      <alignment vertical="top" wrapText="1"/>
      <protection/>
    </xf>
    <xf numFmtId="2" fontId="8" fillId="13" borderId="37" xfId="50" applyNumberFormat="1" applyFont="1" applyFill="1" applyBorder="1" applyAlignment="1">
      <alignment horizontal="center"/>
      <protection/>
    </xf>
    <xf numFmtId="2" fontId="59" fillId="7" borderId="78" xfId="50" applyNumberFormat="1" applyFont="1" applyFill="1" applyBorder="1" applyAlignment="1">
      <alignment horizontal="center"/>
      <protection/>
    </xf>
    <xf numFmtId="2" fontId="7" fillId="0" borderId="22" xfId="50" applyNumberFormat="1" applyFont="1" applyBorder="1" applyAlignment="1">
      <alignment horizontal="left" vertical="center"/>
      <protection/>
    </xf>
    <xf numFmtId="2" fontId="7" fillId="0" borderId="42" xfId="50" applyNumberFormat="1" applyBorder="1" applyAlignment="1">
      <alignment horizontal="center" vertical="center"/>
      <protection/>
    </xf>
    <xf numFmtId="2" fontId="59" fillId="0" borderId="24" xfId="50" applyNumberFormat="1" applyFont="1" applyBorder="1" applyAlignment="1">
      <alignment horizontal="left" vertical="center"/>
      <protection/>
    </xf>
    <xf numFmtId="2" fontId="7" fillId="0" borderId="24" xfId="50" applyNumberFormat="1" applyBorder="1" applyAlignment="1">
      <alignment horizontal="left" vertical="center"/>
      <protection/>
    </xf>
    <xf numFmtId="0" fontId="59" fillId="0" borderId="24" xfId="50" applyFont="1" applyBorder="1" applyAlignment="1">
      <alignment horizontal="center" vertical="center"/>
      <protection/>
    </xf>
    <xf numFmtId="0" fontId="42" fillId="0" borderId="24" xfId="56" applyBorder="1" applyAlignment="1">
      <alignment horizontal="center" vertical="center"/>
      <protection/>
    </xf>
    <xf numFmtId="0" fontId="42" fillId="0" borderId="27" xfId="56" applyBorder="1" applyAlignment="1">
      <alignment horizontal="left" vertical="center" wrapText="1"/>
      <protection/>
    </xf>
    <xf numFmtId="2" fontId="7" fillId="0" borderId="88" xfId="50" applyNumberFormat="1" applyFont="1" applyBorder="1" applyAlignment="1">
      <alignment horizontal="left" vertical="center"/>
      <protection/>
    </xf>
    <xf numFmtId="2" fontId="7" fillId="0" borderId="75" xfId="50" applyNumberFormat="1" applyBorder="1" applyAlignment="1">
      <alignment horizontal="center" vertical="center"/>
      <protection/>
    </xf>
    <xf numFmtId="2" fontId="59" fillId="0" borderId="75" xfId="50" applyNumberFormat="1" applyFont="1" applyBorder="1" applyAlignment="1">
      <alignment horizontal="left" vertical="center"/>
      <protection/>
    </xf>
    <xf numFmtId="2" fontId="7" fillId="0" borderId="75" xfId="50" applyNumberFormat="1" applyBorder="1" applyAlignment="1">
      <alignment horizontal="left" vertical="center"/>
      <protection/>
    </xf>
    <xf numFmtId="0" fontId="59" fillId="0" borderId="75" xfId="50" applyFont="1" applyBorder="1" applyAlignment="1">
      <alignment horizontal="center" vertical="center"/>
      <protection/>
    </xf>
    <xf numFmtId="0" fontId="42" fillId="0" borderId="75" xfId="56" applyBorder="1" applyAlignment="1">
      <alignment horizontal="center" vertical="center"/>
      <protection/>
    </xf>
    <xf numFmtId="0" fontId="42" fillId="0" borderId="76" xfId="56" applyBorder="1" applyAlignment="1">
      <alignment horizontal="left" vertical="center" wrapText="1"/>
      <protection/>
    </xf>
    <xf numFmtId="2" fontId="7" fillId="0" borderId="16" xfId="50" applyNumberFormat="1" applyFont="1" applyBorder="1" applyAlignment="1">
      <alignment horizontal="left" vertical="center"/>
      <protection/>
    </xf>
    <xf numFmtId="2" fontId="7" fillId="0" borderId="17" xfId="50" applyNumberFormat="1" applyBorder="1" applyAlignment="1">
      <alignment horizontal="left" vertical="center"/>
      <protection/>
    </xf>
    <xf numFmtId="2" fontId="59" fillId="0" borderId="17" xfId="50" applyNumberFormat="1" applyFont="1" applyBorder="1" applyAlignment="1">
      <alignment horizontal="left" vertical="center"/>
      <protection/>
    </xf>
    <xf numFmtId="0" fontId="7" fillId="0" borderId="17" xfId="50" applyBorder="1" applyAlignment="1">
      <alignment horizontal="left" vertical="center"/>
      <protection/>
    </xf>
    <xf numFmtId="0" fontId="42" fillId="0" borderId="60" xfId="56" applyBorder="1" applyAlignment="1">
      <alignment horizontal="left" vertical="center" wrapText="1"/>
      <protection/>
    </xf>
    <xf numFmtId="0" fontId="17" fillId="36" borderId="21" xfId="50" applyFont="1" applyFill="1" applyBorder="1" applyAlignment="1">
      <alignment vertical="center" wrapText="1"/>
      <protection/>
    </xf>
    <xf numFmtId="2" fontId="7" fillId="0" borderId="16" xfId="50" applyNumberFormat="1" applyBorder="1" applyAlignment="1">
      <alignment horizontal="center"/>
      <protection/>
    </xf>
    <xf numFmtId="2" fontId="59" fillId="0" borderId="61" xfId="50" applyNumberFormat="1" applyFont="1" applyBorder="1" applyAlignment="1">
      <alignment horizontal="center"/>
      <protection/>
    </xf>
    <xf numFmtId="2" fontId="59" fillId="0" borderId="70" xfId="50" applyNumberFormat="1" applyFont="1" applyBorder="1" applyAlignment="1">
      <alignment horizontal="center"/>
      <protection/>
    </xf>
    <xf numFmtId="2" fontId="7" fillId="0" borderId="70" xfId="50" applyNumberFormat="1" applyBorder="1" applyAlignment="1">
      <alignment horizontal="center"/>
      <protection/>
    </xf>
    <xf numFmtId="0" fontId="7" fillId="0" borderId="70" xfId="50" applyBorder="1" applyAlignment="1">
      <alignment horizontal="left"/>
      <protection/>
    </xf>
    <xf numFmtId="0" fontId="9" fillId="0" borderId="21" xfId="50" applyFont="1" applyFill="1" applyBorder="1">
      <alignment/>
      <protection/>
    </xf>
    <xf numFmtId="2" fontId="59" fillId="0" borderId="62" xfId="50" applyNumberFormat="1" applyFont="1" applyBorder="1" applyAlignment="1">
      <alignment horizontal="center"/>
      <protection/>
    </xf>
    <xf numFmtId="2" fontId="7" fillId="22" borderId="66" xfId="50" applyNumberFormat="1" applyFont="1" applyFill="1" applyBorder="1" applyAlignment="1">
      <alignment horizontal="center"/>
      <protection/>
    </xf>
    <xf numFmtId="2" fontId="59" fillId="22" borderId="55" xfId="50" applyNumberFormat="1" applyFont="1" applyFill="1" applyBorder="1" applyAlignment="1">
      <alignment horizontal="center"/>
      <protection/>
    </xf>
    <xf numFmtId="2" fontId="7" fillId="22" borderId="55" xfId="50" applyNumberFormat="1" applyFill="1" applyBorder="1" applyAlignment="1">
      <alignment horizontal="center"/>
      <protection/>
    </xf>
    <xf numFmtId="2" fontId="7" fillId="0" borderId="52" xfId="50" applyNumberFormat="1" applyBorder="1" applyAlignment="1">
      <alignment horizontal="center"/>
      <protection/>
    </xf>
    <xf numFmtId="2" fontId="7" fillId="22" borderId="50" xfId="50" applyNumberFormat="1" applyFont="1" applyFill="1" applyBorder="1" applyAlignment="1">
      <alignment horizontal="center"/>
      <protection/>
    </xf>
    <xf numFmtId="2" fontId="59" fillId="22" borderId="51" xfId="50" applyNumberFormat="1" applyFont="1" applyFill="1" applyBorder="1" applyAlignment="1">
      <alignment horizontal="center"/>
      <protection/>
    </xf>
    <xf numFmtId="0" fontId="7" fillId="35" borderId="53" xfId="50" applyFont="1" applyFill="1" applyBorder="1" applyAlignment="1">
      <alignment horizontal="center"/>
      <protection/>
    </xf>
    <xf numFmtId="0" fontId="7" fillId="7" borderId="60" xfId="50" applyFill="1" applyBorder="1" applyAlignment="1">
      <alignment horizontal="center"/>
      <protection/>
    </xf>
    <xf numFmtId="0" fontId="7" fillId="7" borderId="20" xfId="50" applyFill="1" applyBorder="1" applyAlignment="1">
      <alignment horizontal="center"/>
      <protection/>
    </xf>
    <xf numFmtId="2" fontId="7" fillId="0" borderId="72" xfId="50" applyNumberFormat="1" applyBorder="1" applyAlignment="1">
      <alignment horizontal="center"/>
      <protection/>
    </xf>
    <xf numFmtId="2" fontId="7" fillId="0" borderId="30" xfId="50" applyNumberFormat="1" applyBorder="1" applyAlignment="1">
      <alignment horizontal="center"/>
      <protection/>
    </xf>
    <xf numFmtId="2" fontId="7" fillId="0" borderId="64" xfId="50" applyNumberFormat="1" applyBorder="1" applyAlignment="1">
      <alignment horizontal="center"/>
      <protection/>
    </xf>
    <xf numFmtId="0" fontId="59" fillId="0" borderId="32" xfId="50" applyFont="1" applyBorder="1" applyAlignment="1">
      <alignment horizontal="center"/>
      <protection/>
    </xf>
    <xf numFmtId="2" fontId="7" fillId="0" borderId="80" xfId="50" applyNumberFormat="1" applyBorder="1" applyAlignment="1">
      <alignment horizontal="center"/>
      <protection/>
    </xf>
    <xf numFmtId="0" fontId="59" fillId="0" borderId="76" xfId="50" applyFont="1" applyBorder="1" applyAlignment="1">
      <alignment horizontal="center"/>
      <protection/>
    </xf>
    <xf numFmtId="0" fontId="59" fillId="0" borderId="38" xfId="50" applyFont="1" applyBorder="1" applyAlignment="1">
      <alignment horizontal="center"/>
      <protection/>
    </xf>
    <xf numFmtId="0" fontId="59" fillId="0" borderId="21" xfId="50" applyFont="1" applyFill="1" applyBorder="1" applyAlignment="1">
      <alignment horizontal="center"/>
      <protection/>
    </xf>
    <xf numFmtId="0" fontId="59" fillId="0" borderId="32" xfId="50" applyFont="1" applyBorder="1" applyAlignment="1">
      <alignment horizontal="center"/>
      <protection/>
    </xf>
    <xf numFmtId="0" fontId="7" fillId="0" borderId="53" xfId="50" applyBorder="1" applyAlignment="1">
      <alignment horizontal="center"/>
      <protection/>
    </xf>
    <xf numFmtId="2" fontId="7" fillId="0" borderId="28" xfId="50" applyNumberFormat="1" applyFont="1" applyBorder="1" applyAlignment="1">
      <alignment horizontal="left"/>
      <protection/>
    </xf>
    <xf numFmtId="0" fontId="7" fillId="0" borderId="27" xfId="50" applyNumberFormat="1" applyFont="1" applyFill="1" applyBorder="1" applyAlignment="1" applyProtection="1">
      <alignment vertical="center"/>
      <protection/>
    </xf>
    <xf numFmtId="2" fontId="59" fillId="0" borderId="28" xfId="50" applyNumberFormat="1" applyFont="1" applyBorder="1" applyAlignment="1">
      <alignment horizontal="center"/>
      <protection/>
    </xf>
    <xf numFmtId="0" fontId="7" fillId="0" borderId="32" xfId="50" applyNumberFormat="1" applyFont="1" applyFill="1" applyBorder="1" applyAlignment="1" applyProtection="1">
      <alignment vertical="center"/>
      <protection/>
    </xf>
    <xf numFmtId="2" fontId="59" fillId="0" borderId="33" xfId="50" applyNumberFormat="1" applyFont="1" applyBorder="1" applyAlignment="1">
      <alignment horizontal="center"/>
      <protection/>
    </xf>
    <xf numFmtId="0" fontId="7" fillId="0" borderId="38" xfId="50" applyNumberFormat="1" applyFont="1" applyFill="1" applyBorder="1" applyAlignment="1" applyProtection="1">
      <alignment vertical="center"/>
      <protection/>
    </xf>
    <xf numFmtId="2" fontId="7" fillId="0" borderId="61" xfId="50" applyNumberFormat="1" applyFont="1" applyBorder="1" applyAlignment="1">
      <alignment horizontal="center"/>
      <protection/>
    </xf>
    <xf numFmtId="2" fontId="8" fillId="13" borderId="19" xfId="50" applyNumberFormat="1" applyFont="1" applyFill="1" applyBorder="1" applyAlignment="1">
      <alignment horizontal="center"/>
      <protection/>
    </xf>
    <xf numFmtId="2" fontId="59" fillId="0" borderId="20" xfId="50" applyNumberFormat="1" applyFont="1" applyBorder="1" applyAlignment="1">
      <alignment horizontal="center"/>
      <protection/>
    </xf>
    <xf numFmtId="2" fontId="7" fillId="0" borderId="66" xfId="50" applyNumberFormat="1" applyFont="1" applyBorder="1" applyAlignment="1">
      <alignment horizontal="left"/>
      <protection/>
    </xf>
    <xf numFmtId="2" fontId="8" fillId="13" borderId="26" xfId="50" applyNumberFormat="1" applyFont="1" applyFill="1" applyBorder="1" applyAlignment="1">
      <alignment horizontal="center"/>
      <protection/>
    </xf>
    <xf numFmtId="0" fontId="7" fillId="0" borderId="54" xfId="50" applyBorder="1" applyAlignment="1">
      <alignment horizontal="center" vertical="center"/>
      <protection/>
    </xf>
    <xf numFmtId="0" fontId="7" fillId="0" borderId="77" xfId="50" applyNumberFormat="1" applyFont="1" applyFill="1" applyBorder="1" applyAlignment="1" applyProtection="1">
      <alignment vertical="center" wrapText="1"/>
      <protection/>
    </xf>
    <xf numFmtId="2" fontId="7" fillId="0" borderId="64" xfId="50" applyNumberFormat="1" applyFont="1" applyBorder="1" applyAlignment="1">
      <alignment horizontal="left"/>
      <protection/>
    </xf>
    <xf numFmtId="2" fontId="8" fillId="13" borderId="31" xfId="50" applyNumberFormat="1" applyFont="1" applyFill="1" applyBorder="1" applyAlignment="1">
      <alignment horizontal="center"/>
      <protection/>
    </xf>
    <xf numFmtId="2" fontId="7" fillId="0" borderId="65" xfId="50" applyNumberFormat="1" applyFont="1" applyBorder="1" applyAlignment="1">
      <alignment horizontal="left" wrapText="1"/>
      <protection/>
    </xf>
    <xf numFmtId="2" fontId="59" fillId="0" borderId="34" xfId="50" applyNumberFormat="1" applyFont="1" applyBorder="1" applyAlignment="1">
      <alignment horizontal="center"/>
      <protection/>
    </xf>
    <xf numFmtId="2" fontId="7" fillId="7" borderId="19" xfId="50" applyNumberFormat="1" applyFont="1" applyFill="1" applyBorder="1" applyAlignment="1">
      <alignment horizontal="left" vertical="center"/>
      <protection/>
    </xf>
    <xf numFmtId="2" fontId="8" fillId="7" borderId="16" xfId="50" applyNumberFormat="1" applyFont="1" applyFill="1" applyBorder="1" applyAlignment="1">
      <alignment horizontal="center" vertical="center"/>
      <protection/>
    </xf>
    <xf numFmtId="2" fontId="7" fillId="7" borderId="17" xfId="50" applyNumberFormat="1" applyFill="1" applyBorder="1" applyAlignment="1">
      <alignment horizontal="center" vertical="center"/>
      <protection/>
    </xf>
    <xf numFmtId="0" fontId="7" fillId="7" borderId="17" xfId="50" applyFill="1" applyBorder="1" applyAlignment="1">
      <alignment horizontal="center" vertical="center"/>
      <protection/>
    </xf>
    <xf numFmtId="0" fontId="9" fillId="7" borderId="19" xfId="50" applyFont="1" applyFill="1" applyBorder="1" applyAlignment="1">
      <alignment horizontal="left" vertical="center" wrapText="1"/>
      <protection/>
    </xf>
    <xf numFmtId="2" fontId="7" fillId="0" borderId="87" xfId="50" applyNumberFormat="1" applyBorder="1" applyAlignment="1">
      <alignment horizontal="center"/>
      <protection/>
    </xf>
    <xf numFmtId="2" fontId="7" fillId="0" borderId="68" xfId="50" applyNumberFormat="1" applyBorder="1" applyAlignment="1">
      <alignment horizontal="center"/>
      <protection/>
    </xf>
    <xf numFmtId="2" fontId="8" fillId="22" borderId="66" xfId="50" applyNumberFormat="1" applyFont="1" applyFill="1" applyBorder="1" applyAlignment="1">
      <alignment horizontal="center"/>
      <protection/>
    </xf>
    <xf numFmtId="2" fontId="8" fillId="0" borderId="51" xfId="50" applyNumberFormat="1" applyFont="1" applyBorder="1" applyAlignment="1">
      <alignment horizontal="center"/>
      <protection/>
    </xf>
    <xf numFmtId="2" fontId="8" fillId="0" borderId="16" xfId="50" applyNumberFormat="1" applyFont="1" applyBorder="1" applyAlignment="1">
      <alignment horizontal="center"/>
      <protection/>
    </xf>
    <xf numFmtId="0" fontId="7" fillId="0" borderId="21" xfId="50" applyBorder="1" applyAlignment="1">
      <alignment horizontal="center"/>
      <protection/>
    </xf>
    <xf numFmtId="0" fontId="9" fillId="0" borderId="21" xfId="50" applyFont="1" applyBorder="1">
      <alignment/>
      <protection/>
    </xf>
    <xf numFmtId="167" fontId="7" fillId="0" borderId="16" xfId="50" applyNumberFormat="1" applyFont="1" applyBorder="1" applyAlignment="1">
      <alignment horizontal="center"/>
      <protection/>
    </xf>
    <xf numFmtId="167" fontId="7" fillId="0" borderId="17" xfId="50" applyNumberFormat="1" applyFont="1" applyBorder="1" applyAlignment="1">
      <alignment horizontal="center"/>
      <protection/>
    </xf>
    <xf numFmtId="2" fontId="7" fillId="0" borderId="61" xfId="50" applyNumberFormat="1" applyBorder="1" applyAlignment="1">
      <alignment horizontal="center"/>
      <protection/>
    </xf>
    <xf numFmtId="0" fontId="7" fillId="0" borderId="56" xfId="50" applyBorder="1" applyAlignment="1">
      <alignment horizontal="center"/>
      <protection/>
    </xf>
    <xf numFmtId="0" fontId="7" fillId="0" borderId="48" xfId="50" applyBorder="1" applyAlignment="1">
      <alignment horizontal="center"/>
      <protection/>
    </xf>
    <xf numFmtId="0" fontId="9" fillId="0" borderId="56" xfId="50" applyFont="1" applyFill="1" applyBorder="1">
      <alignment/>
      <protection/>
    </xf>
    <xf numFmtId="2" fontId="7" fillId="0" borderId="65" xfId="50" applyNumberFormat="1" applyBorder="1" applyAlignment="1">
      <alignment horizontal="center"/>
      <protection/>
    </xf>
    <xf numFmtId="0" fontId="8" fillId="0" borderId="0" xfId="50" applyFont="1" applyAlignment="1">
      <alignment horizontal="center" wrapText="1"/>
      <protection/>
    </xf>
    <xf numFmtId="4" fontId="0" fillId="0" borderId="0" xfId="0" applyNumberFormat="1" applyAlignment="1">
      <alignment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2" fontId="7" fillId="35" borderId="55" xfId="50" applyNumberFormat="1" applyFont="1" applyFill="1" applyBorder="1" applyAlignment="1">
      <alignment horizontal="center"/>
      <protection/>
    </xf>
    <xf numFmtId="4" fontId="0" fillId="33" borderId="0" xfId="0" applyNumberFormat="1" applyFill="1" applyAlignment="1">
      <alignment vertical="center"/>
    </xf>
    <xf numFmtId="164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left" vertical="center" wrapText="1"/>
    </xf>
    <xf numFmtId="14" fontId="0" fillId="36" borderId="0" xfId="0" applyNumberFormat="1" applyFill="1" applyAlignment="1">
      <alignment vertical="center"/>
    </xf>
    <xf numFmtId="0" fontId="0" fillId="36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right"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4" fontId="0" fillId="36" borderId="10" xfId="0" applyNumberFormat="1" applyFill="1" applyBorder="1" applyAlignment="1">
      <alignment horizontal="center" vertical="center"/>
    </xf>
    <xf numFmtId="0" fontId="0" fillId="36" borderId="0" xfId="0" applyFill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38" borderId="10" xfId="0" applyFont="1" applyFill="1" applyBorder="1" applyAlignment="1" quotePrefix="1">
      <alignment horizontal="left" vertical="center" wrapText="1"/>
    </xf>
    <xf numFmtId="14" fontId="0" fillId="38" borderId="0" xfId="0" applyNumberFormat="1" applyFill="1" applyAlignment="1">
      <alignment vertical="center"/>
    </xf>
    <xf numFmtId="0" fontId="0" fillId="38" borderId="10" xfId="0" applyFill="1" applyBorder="1" applyAlignment="1">
      <alignment horizontal="right" vertical="center"/>
    </xf>
    <xf numFmtId="0" fontId="0" fillId="38" borderId="10" xfId="0" applyFill="1" applyBorder="1" applyAlignment="1">
      <alignment vertical="center"/>
    </xf>
    <xf numFmtId="0" fontId="0" fillId="38" borderId="10" xfId="0" applyFill="1" applyBorder="1" applyAlignment="1">
      <alignment vertical="center" wrapText="1"/>
    </xf>
    <xf numFmtId="0" fontId="0" fillId="38" borderId="10" xfId="0" applyFill="1" applyBorder="1" applyAlignment="1">
      <alignment horizontal="center" vertical="center"/>
    </xf>
    <xf numFmtId="164" fontId="0" fillId="38" borderId="10" xfId="0" applyNumberFormat="1" applyFill="1" applyBorder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0" fillId="38" borderId="10" xfId="0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left" vertical="center" wrapText="1"/>
    </xf>
    <xf numFmtId="0" fontId="0" fillId="39" borderId="10" xfId="0" applyFill="1" applyBorder="1" applyAlignment="1">
      <alignment horizontal="right" vertical="center"/>
    </xf>
    <xf numFmtId="0" fontId="0" fillId="39" borderId="10" xfId="0" applyFill="1" applyBorder="1" applyAlignment="1">
      <alignment vertical="center" wrapText="1"/>
    </xf>
    <xf numFmtId="14" fontId="0" fillId="39" borderId="0" xfId="0" applyNumberFormat="1" applyFill="1" applyAlignment="1">
      <alignment vertical="center"/>
    </xf>
    <xf numFmtId="14" fontId="0" fillId="17" borderId="0" xfId="0" applyNumberFormat="1" applyFill="1" applyAlignment="1">
      <alignment vertical="center"/>
    </xf>
    <xf numFmtId="164" fontId="0" fillId="17" borderId="10" xfId="0" applyNumberFormat="1" applyFill="1" applyBorder="1" applyAlignment="1">
      <alignment horizontal="center" vertical="center"/>
    </xf>
    <xf numFmtId="0" fontId="0" fillId="17" borderId="10" xfId="0" applyFill="1" applyBorder="1" applyAlignment="1">
      <alignment vertical="center"/>
    </xf>
    <xf numFmtId="0" fontId="0" fillId="17" borderId="10" xfId="0" applyFill="1" applyBorder="1" applyAlignment="1">
      <alignment horizontal="right" vertical="center"/>
    </xf>
    <xf numFmtId="0" fontId="0" fillId="17" borderId="10" xfId="0" applyFill="1" applyBorder="1" applyAlignment="1">
      <alignment vertical="center" wrapText="1"/>
    </xf>
    <xf numFmtId="0" fontId="0" fillId="17" borderId="10" xfId="0" applyFill="1" applyBorder="1" applyAlignment="1">
      <alignment horizontal="center" vertical="center"/>
    </xf>
    <xf numFmtId="4" fontId="0" fillId="17" borderId="10" xfId="0" applyNumberForma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0" fillId="17" borderId="15" xfId="0" applyFill="1" applyBorder="1" applyAlignment="1">
      <alignment vertical="top"/>
    </xf>
    <xf numFmtId="0" fontId="0" fillId="17" borderId="10" xfId="0" applyFill="1" applyBorder="1" applyAlignment="1">
      <alignment horizontal="left" vertical="center" wrapText="1"/>
    </xf>
    <xf numFmtId="0" fontId="0" fillId="17" borderId="0" xfId="0" applyFill="1" applyAlignment="1">
      <alignment vertical="top"/>
    </xf>
    <xf numFmtId="0" fontId="6" fillId="17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11" xfId="0" applyFont="1" applyFill="1" applyBorder="1" applyAlignment="1">
      <alignment horizontal="right" vertical="center"/>
    </xf>
    <xf numFmtId="0" fontId="0" fillId="33" borderId="11" xfId="0" applyFill="1" applyBorder="1" applyAlignment="1">
      <alignment vertical="center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_laroux" xfId="34"/>
    <cellStyle name="Comma_laroux" xfId="35"/>
    <cellStyle name="Currency [0]_laroux" xfId="36"/>
    <cellStyle name="Currency_laroux" xfId="37"/>
    <cellStyle name="Comma" xfId="38"/>
    <cellStyle name="Comma [0]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al_laroux" xfId="49"/>
    <cellStyle name="Normální 2" xfId="50"/>
    <cellStyle name="Poznámka" xfId="51"/>
    <cellStyle name="Percent" xfId="52"/>
    <cellStyle name="Propojená buňka" xfId="53"/>
    <cellStyle name="Správně" xfId="54"/>
    <cellStyle name="Špatně" xfId="55"/>
    <cellStyle name="text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24</xdr:row>
      <xdr:rowOff>57150</xdr:rowOff>
    </xdr:from>
    <xdr:to>
      <xdr:col>9</xdr:col>
      <xdr:colOff>409575</xdr:colOff>
      <xdr:row>30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4419600"/>
          <a:ext cx="459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20</xdr:row>
      <xdr:rowOff>9525</xdr:rowOff>
    </xdr:from>
    <xdr:to>
      <xdr:col>9</xdr:col>
      <xdr:colOff>419100</xdr:colOff>
      <xdr:row>24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76675" y="3724275"/>
          <a:ext cx="4610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112</xdr:row>
      <xdr:rowOff>0</xdr:rowOff>
    </xdr:from>
    <xdr:to>
      <xdr:col>16</xdr:col>
      <xdr:colOff>38100</xdr:colOff>
      <xdr:row>143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01725" y="23726775"/>
          <a:ext cx="4305300" cy="585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141</xdr:row>
      <xdr:rowOff>38100</xdr:rowOff>
    </xdr:from>
    <xdr:to>
      <xdr:col>12</xdr:col>
      <xdr:colOff>590550</xdr:colOff>
      <xdr:row>149</xdr:row>
      <xdr:rowOff>47625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01725" y="29127450"/>
          <a:ext cx="2419350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153</xdr:row>
      <xdr:rowOff>0</xdr:rowOff>
    </xdr:from>
    <xdr:to>
      <xdr:col>17</xdr:col>
      <xdr:colOff>85725</xdr:colOff>
      <xdr:row>160</xdr:row>
      <xdr:rowOff>104775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801725" y="31213425"/>
          <a:ext cx="4962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KCE\Borsov\Statika\B_SYS\SS_Zalozeni\P5\TaSud_652003_reakce_P5_reak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N\ZBN\statika\jarda\so403812_sv_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KCE\Borsov\Statika\B_SYS\SS_Zalozeni\P6\TaSud_652003_reakce_P6_reakc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aSud\!STATIKA_CISTOPIS\1.%20Zalozeni\2.%20Posouzeni\Plosny%20zaklad\Posouzeni_Z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CE\!2011\VEDOU\Statika\B-SYS\SS_Pilire\Posudky\Piloty\RX_Piloty_1111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AN\Velenice_2007\163_167\statika\ZBN_z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BINACE SZS"/>
      <sheetName val="DATA"/>
      <sheetName val="tabulky"/>
      <sheetName val="PRŮŘEZ"/>
      <sheetName val="POSUDEK-ULS REAKCE"/>
      <sheetName val="POSUDEK-ULS"/>
      <sheetName val="OBÁLKA"/>
    </sheetNames>
    <sheetDataSet>
      <sheetData sheetId="1">
        <row r="11">
          <cell r="D11" t="str">
            <v>P5</v>
          </cell>
        </row>
        <row r="15">
          <cell r="D15" t="str">
            <v>pilíř P5 - základová spára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ha"/>
      <sheetName val="NK1_Stale"/>
      <sheetName val="NK2_Stale"/>
      <sheetName val="Dopravni"/>
      <sheetName val="Nahodile"/>
      <sheetName val="NK1_KOL roznos MVL"/>
      <sheetName val="NK2_KOL roznos MVL"/>
      <sheetName val="Vykolejeni"/>
      <sheetName val="NK1_MNQ_roznos MVL"/>
      <sheetName val="NK2_MNQ_roznos MVL"/>
      <sheetName val="POS_Boční stabilita"/>
      <sheetName val="List1"/>
      <sheetName val="POS_Únosnost ŽB"/>
      <sheetName val="Roznos koleje ITZ"/>
      <sheetName val="MNQ_roznos ITZ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OMBINACE SZS"/>
      <sheetName val="DATA"/>
      <sheetName val="tabulky"/>
      <sheetName val="PRŮŘEZ"/>
      <sheetName val="POSUDEK-ULS REAKCE"/>
      <sheetName val="POSUDEK-ULS"/>
      <sheetName val="OBÁLKA"/>
    </sheetNames>
    <sheetDataSet>
      <sheetData sheetId="1">
        <row r="11">
          <cell r="D11" t="str">
            <v>P6</v>
          </cell>
        </row>
        <row r="15">
          <cell r="D15" t="str">
            <v>pilíř P6 - základová spára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hema "/>
      <sheetName val="Rd_R3"/>
      <sheetName val="Zalozeni_P3, P5, P7"/>
      <sheetName val="Zalozeni_P8"/>
      <sheetName val="==============================="/>
      <sheetName val="schema"/>
      <sheetName val="tiha"/>
      <sheetName val="Loziska_P9_P12"/>
      <sheetName val="Loziska_P10_P11"/>
      <sheetName val="reakce ZS_P9_P12"/>
      <sheetName val="reakce ZS_P10_P11"/>
      <sheetName val="Založení P10_P11"/>
      <sheetName val="Rd"/>
      <sheetName val="MP"/>
      <sheetName val="reakce_k_ ZS_P9_P12"/>
      <sheetName val="reakce_k_ ZS_P10_P1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_upr"/>
      <sheetName val="Tuhost Kx"/>
      <sheetName val="Geo"/>
      <sheetName val="Rekap_deform"/>
      <sheetName val="NX_kontr"/>
      <sheetName val="KOMBINACE SZS"/>
      <sheetName val="Rd_R3_5"/>
      <sheetName val="Rd_R3_20"/>
      <sheetName val="P1"/>
      <sheetName val="P2"/>
      <sheetName val="P3"/>
      <sheetName val="P4"/>
      <sheetName val="P5"/>
      <sheetName val="P6"/>
      <sheetName val="P3_My+O,5Mx"/>
      <sheetName val="OP2"/>
      <sheetName val="OP2_rest"/>
      <sheetName val="P1_fy"/>
      <sheetName val="P3_P5_fy"/>
      <sheetName val="Zalozeni P2, P4, P6, OP2"/>
      <sheetName val="Rekapitulace"/>
    </sheetNames>
    <sheetDataSet>
      <sheetData sheetId="5">
        <row r="47">
          <cell r="C47" t="b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terial"/>
      <sheetName val="GM"/>
      <sheetName val="model"/>
      <sheetName val="zat_G1"/>
      <sheetName val="zat_G2"/>
      <sheetName val="zat_P1"/>
      <sheetName val="zat_P2"/>
      <sheetName val="zat_P3"/>
      <sheetName val="zat_P4"/>
      <sheetName val="zat_P5"/>
      <sheetName val="zat_P6"/>
      <sheetName val="zat_P7"/>
      <sheetName val="zat_A1"/>
      <sheetName val="komb1"/>
      <sheetName val="komb2"/>
      <sheetName val="souc_zat"/>
      <sheetName val="zat_Grek"/>
      <sheetName val="GM_KT"/>
      <sheetName val="Tabulky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781"/>
      <c r="B1" s="1"/>
      <c r="C1" s="1"/>
      <c r="D1" s="1"/>
      <c r="E1" s="1"/>
    </row>
    <row r="2" spans="1:5" ht="12.75" customHeight="1">
      <c r="A2" s="781"/>
      <c r="B2" s="782" t="s">
        <v>0</v>
      </c>
      <c r="C2" s="1"/>
      <c r="D2" s="1"/>
      <c r="E2" s="1"/>
    </row>
    <row r="3" spans="1:5" ht="19.5" customHeight="1">
      <c r="A3" s="781"/>
      <c r="B3" s="781"/>
      <c r="C3" s="1"/>
      <c r="D3" s="1"/>
      <c r="E3" s="1"/>
    </row>
    <row r="4" spans="1:5" ht="19.5" customHeight="1">
      <c r="A4" s="1"/>
      <c r="B4" s="783" t="s">
        <v>1</v>
      </c>
      <c r="C4" s="781"/>
      <c r="D4" s="781"/>
      <c r="E4" s="1"/>
    </row>
    <row r="5" spans="1:5" ht="12.75" customHeight="1">
      <c r="A5" s="1"/>
      <c r="B5" s="781"/>
      <c r="C5" s="781"/>
      <c r="D5" s="781"/>
      <c r="E5" s="1"/>
    </row>
    <row r="6" spans="1:5" ht="12.75" customHeight="1">
      <c r="A6" s="1"/>
      <c r="B6" s="3" t="s">
        <v>2</v>
      </c>
      <c r="C6" s="6">
        <f>SUM(C10:C16)</f>
        <v>0</v>
      </c>
      <c r="D6" s="741"/>
      <c r="E6" s="1"/>
    </row>
    <row r="7" spans="1:5" ht="12.75" customHeight="1">
      <c r="A7" s="1"/>
      <c r="B7" s="3" t="s">
        <v>3</v>
      </c>
      <c r="C7" s="6">
        <f>SUM(E10:E16)</f>
        <v>0</v>
      </c>
      <c r="D7" s="1"/>
      <c r="E7" s="1"/>
    </row>
    <row r="8" spans="1:5" ht="12.75" customHeight="1">
      <c r="A8" s="5"/>
      <c r="B8" s="5"/>
      <c r="C8" s="5"/>
      <c r="D8" s="5"/>
      <c r="E8" s="5"/>
    </row>
    <row r="9" spans="1:5" ht="12.75" customHeight="1">
      <c r="A9" s="4" t="s">
        <v>4</v>
      </c>
      <c r="B9" s="4" t="s">
        <v>5</v>
      </c>
      <c r="C9" s="4" t="s">
        <v>6</v>
      </c>
      <c r="D9" s="4" t="s">
        <v>7</v>
      </c>
      <c r="E9" s="4" t="s">
        <v>8</v>
      </c>
    </row>
    <row r="10" spans="1:5" ht="12.75" customHeight="1">
      <c r="A10" s="16" t="s">
        <v>21</v>
      </c>
      <c r="B10" s="16" t="s">
        <v>22</v>
      </c>
      <c r="C10" s="17">
        <f>'SO 101'!I3</f>
        <v>0</v>
      </c>
      <c r="D10" s="17">
        <f>C10*0.21</f>
        <v>0</v>
      </c>
      <c r="E10" s="17">
        <f aca="true" t="shared" si="0" ref="E10:E16">C10+D10</f>
        <v>0</v>
      </c>
    </row>
    <row r="11" spans="1:5" ht="12.75" customHeight="1">
      <c r="A11" s="16" t="s">
        <v>256</v>
      </c>
      <c r="B11" s="16" t="s">
        <v>257</v>
      </c>
      <c r="C11" s="17">
        <f>'SO 201'!I3</f>
        <v>0</v>
      </c>
      <c r="D11" s="17">
        <f aca="true" t="shared" si="1" ref="D11:D16">C11*0.21</f>
        <v>0</v>
      </c>
      <c r="E11" s="17">
        <f t="shared" si="0"/>
        <v>0</v>
      </c>
    </row>
    <row r="12" spans="1:5" ht="12.75" customHeight="1">
      <c r="A12" s="16" t="s">
        <v>272</v>
      </c>
      <c r="B12" s="16" t="s">
        <v>273</v>
      </c>
      <c r="C12" s="17">
        <f>'SO 202'!I3</f>
        <v>0</v>
      </c>
      <c r="D12" s="17">
        <f t="shared" si="1"/>
        <v>0</v>
      </c>
      <c r="E12" s="17">
        <f t="shared" si="0"/>
        <v>0</v>
      </c>
    </row>
    <row r="13" spans="1:5" ht="12.75" customHeight="1">
      <c r="A13" s="16" t="s">
        <v>589</v>
      </c>
      <c r="B13" s="16" t="s">
        <v>590</v>
      </c>
      <c r="C13" s="17">
        <f>'SO 203'!I3</f>
        <v>0</v>
      </c>
      <c r="D13" s="17">
        <f t="shared" si="1"/>
        <v>0</v>
      </c>
      <c r="E13" s="17">
        <f t="shared" si="0"/>
        <v>0</v>
      </c>
    </row>
    <row r="14" spans="1:5" ht="12.75" customHeight="1">
      <c r="A14" s="16" t="s">
        <v>658</v>
      </c>
      <c r="B14" s="16" t="s">
        <v>659</v>
      </c>
      <c r="C14" s="17">
        <f>'SO 301'!I3</f>
        <v>0</v>
      </c>
      <c r="D14" s="17">
        <f t="shared" si="1"/>
        <v>0</v>
      </c>
      <c r="E14" s="17">
        <f t="shared" si="0"/>
        <v>0</v>
      </c>
    </row>
    <row r="15" spans="1:5" ht="12.75" customHeight="1">
      <c r="A15" s="16" t="s">
        <v>688</v>
      </c>
      <c r="B15" s="16" t="s">
        <v>689</v>
      </c>
      <c r="C15" s="17">
        <f>'SO 401'!I3</f>
        <v>0</v>
      </c>
      <c r="D15" s="17">
        <f t="shared" si="1"/>
        <v>0</v>
      </c>
      <c r="E15" s="17">
        <f t="shared" si="0"/>
        <v>0</v>
      </c>
    </row>
    <row r="16" spans="1:5" ht="12.75" customHeight="1">
      <c r="A16" s="16" t="s">
        <v>693</v>
      </c>
      <c r="B16" s="16" t="s">
        <v>694</v>
      </c>
      <c r="C16" s="17">
        <f>VON!I3</f>
        <v>0</v>
      </c>
      <c r="D16" s="17">
        <f t="shared" si="1"/>
        <v>0</v>
      </c>
      <c r="E16" s="17">
        <f t="shared" si="0"/>
        <v>0</v>
      </c>
    </row>
  </sheetData>
  <sheetProtection/>
  <mergeCells count="4">
    <mergeCell ref="A1:A3"/>
    <mergeCell ref="B2:B3"/>
    <mergeCell ref="B4:D4"/>
    <mergeCell ref="B5:D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138"/>
  <sheetViews>
    <sheetView tabSelected="1" view="pageBreakPreview" zoomScaleSheetLayoutView="100" zoomScalePageLayoutView="0" workbookViewId="0" topLeftCell="B1">
      <pane ySplit="7" topLeftCell="A93" activePane="bottomLeft" state="frozen"/>
      <selection pane="topLeft" activeCell="G9" sqref="G9"/>
      <selection pane="bottomLeft" activeCell="K69" sqref="K6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0+O8+O53+O126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85" t="s">
        <v>12</v>
      </c>
      <c r="D3" s="781"/>
      <c r="E3" s="11" t="s">
        <v>13</v>
      </c>
      <c r="F3" s="769">
        <v>43663</v>
      </c>
      <c r="G3" s="8"/>
      <c r="H3" s="7" t="s">
        <v>693</v>
      </c>
      <c r="I3" s="33">
        <f>0+I8+I53+I126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86" t="s">
        <v>693</v>
      </c>
      <c r="D4" s="787"/>
      <c r="E4" s="14" t="s">
        <v>694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84" t="s">
        <v>23</v>
      </c>
      <c r="B5" s="784" t="s">
        <v>25</v>
      </c>
      <c r="C5" s="784" t="s">
        <v>27</v>
      </c>
      <c r="D5" s="784" t="s">
        <v>28</v>
      </c>
      <c r="E5" s="784" t="s">
        <v>29</v>
      </c>
      <c r="F5" s="784" t="s">
        <v>31</v>
      </c>
      <c r="G5" s="784" t="s">
        <v>33</v>
      </c>
      <c r="H5" s="784" t="s">
        <v>35</v>
      </c>
      <c r="I5" s="784"/>
      <c r="J5" s="784" t="s">
        <v>40</v>
      </c>
      <c r="O5" t="s">
        <v>18</v>
      </c>
      <c r="P5" t="s">
        <v>20</v>
      </c>
    </row>
    <row r="6" spans="1:10" ht="12.75" customHeight="1">
      <c r="A6" s="784"/>
      <c r="B6" s="784"/>
      <c r="C6" s="784"/>
      <c r="D6" s="784"/>
      <c r="E6" s="784"/>
      <c r="F6" s="784"/>
      <c r="G6" s="784"/>
      <c r="H6" s="12" t="s">
        <v>36</v>
      </c>
      <c r="I6" s="12" t="s">
        <v>38</v>
      </c>
      <c r="J6" s="784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 s="737">
        <f>0+I9+I13+I17+I21+I25+I29+I33+I37+I41+I45+I49</f>
        <v>0</v>
      </c>
      <c r="R8">
        <f>0+O9+O13+O17+O21+O25+O29+O33+O37+O41+O45+O49</f>
        <v>0</v>
      </c>
    </row>
    <row r="9" spans="1:16" ht="12.75">
      <c r="A9" s="18" t="s">
        <v>44</v>
      </c>
      <c r="B9" s="22" t="s">
        <v>26</v>
      </c>
      <c r="C9" s="22" t="s">
        <v>695</v>
      </c>
      <c r="D9" s="18" t="s">
        <v>46</v>
      </c>
      <c r="E9" s="23" t="s">
        <v>696</v>
      </c>
      <c r="F9" s="24" t="s">
        <v>692</v>
      </c>
      <c r="G9" s="25">
        <v>1</v>
      </c>
      <c r="H9" s="26"/>
      <c r="I9" s="26">
        <f>ROUND(ROUND(H9,2)*ROUND(G9,3),2)</f>
        <v>0</v>
      </c>
      <c r="J9" s="24" t="s">
        <v>49</v>
      </c>
      <c r="O9">
        <f>(I9*21)/100</f>
        <v>0</v>
      </c>
      <c r="P9" t="s">
        <v>20</v>
      </c>
    </row>
    <row r="10" spans="1:5" ht="12.75">
      <c r="A10" s="27" t="s">
        <v>50</v>
      </c>
      <c r="E10" s="28" t="s">
        <v>46</v>
      </c>
    </row>
    <row r="11" spans="1:5" ht="12.75">
      <c r="A11" s="29" t="s">
        <v>52</v>
      </c>
      <c r="E11" s="30" t="s">
        <v>46</v>
      </c>
    </row>
    <row r="12" spans="1:5" ht="12.75">
      <c r="A12" t="s">
        <v>54</v>
      </c>
      <c r="E12" s="28" t="s">
        <v>690</v>
      </c>
    </row>
    <row r="13" spans="1:10" ht="12.75">
      <c r="A13" s="18"/>
      <c r="B13" s="757"/>
      <c r="C13" s="757"/>
      <c r="D13" s="758"/>
      <c r="E13" s="759"/>
      <c r="F13" s="760"/>
      <c r="G13" s="761"/>
      <c r="H13" s="762"/>
      <c r="I13" s="762"/>
      <c r="J13" s="760"/>
    </row>
    <row r="14" spans="1:10" ht="12.75">
      <c r="A14" s="27"/>
      <c r="B14" s="763"/>
      <c r="C14" s="763"/>
      <c r="D14" s="763"/>
      <c r="E14" s="764"/>
      <c r="F14" s="763"/>
      <c r="G14" s="763"/>
      <c r="H14" s="763"/>
      <c r="I14" s="763"/>
      <c r="J14" s="763"/>
    </row>
    <row r="15" spans="1:10" ht="12.75">
      <c r="A15" s="29"/>
      <c r="B15" s="763"/>
      <c r="C15" s="763"/>
      <c r="D15" s="763"/>
      <c r="E15" s="765"/>
      <c r="F15" s="763"/>
      <c r="G15" s="763"/>
      <c r="H15" s="763"/>
      <c r="I15" s="763"/>
      <c r="J15" s="763"/>
    </row>
    <row r="16" spans="2:10" ht="12.75">
      <c r="B16" s="763"/>
      <c r="C16" s="763"/>
      <c r="D16" s="763"/>
      <c r="E16" s="764"/>
      <c r="F16" s="763"/>
      <c r="G16" s="763"/>
      <c r="H16" s="763"/>
      <c r="I16" s="763"/>
      <c r="J16" s="763"/>
    </row>
    <row r="17" spans="1:16" ht="12.75">
      <c r="A17" s="18" t="s">
        <v>44</v>
      </c>
      <c r="B17" s="22" t="s">
        <v>19</v>
      </c>
      <c r="C17" s="22" t="s">
        <v>697</v>
      </c>
      <c r="D17" s="18" t="s">
        <v>46</v>
      </c>
      <c r="E17" s="23" t="s">
        <v>698</v>
      </c>
      <c r="F17" s="24" t="s">
        <v>210</v>
      </c>
      <c r="G17" s="25">
        <v>1</v>
      </c>
      <c r="H17" s="26"/>
      <c r="I17" s="26">
        <f>ROUND(ROUND(H17,2)*ROUND(G17,3),2)</f>
        <v>0</v>
      </c>
      <c r="J17" s="24" t="s">
        <v>49</v>
      </c>
      <c r="O17">
        <f>(I17*21)/100</f>
        <v>0</v>
      </c>
      <c r="P17" t="s">
        <v>20</v>
      </c>
    </row>
    <row r="18" spans="1:5" ht="12.75">
      <c r="A18" s="27" t="s">
        <v>50</v>
      </c>
      <c r="E18" s="28" t="s">
        <v>46</v>
      </c>
    </row>
    <row r="19" spans="1:5" ht="12.75">
      <c r="A19" s="29" t="s">
        <v>52</v>
      </c>
      <c r="E19" s="30" t="s">
        <v>46</v>
      </c>
    </row>
    <row r="20" spans="1:5" ht="12.75">
      <c r="A20" t="s">
        <v>54</v>
      </c>
      <c r="E20" s="28" t="s">
        <v>690</v>
      </c>
    </row>
    <row r="21" spans="1:16" ht="12.75">
      <c r="A21" s="18" t="s">
        <v>44</v>
      </c>
      <c r="B21" s="22" t="s">
        <v>30</v>
      </c>
      <c r="C21" s="22" t="s">
        <v>699</v>
      </c>
      <c r="D21" s="18" t="s">
        <v>46</v>
      </c>
      <c r="E21" s="23" t="s">
        <v>700</v>
      </c>
      <c r="F21" s="24" t="s">
        <v>692</v>
      </c>
      <c r="G21" s="25">
        <v>1</v>
      </c>
      <c r="H21" s="26"/>
      <c r="I21" s="26">
        <f>ROUND(ROUND(H21,2)*ROUND(G21,3),2)</f>
        <v>0</v>
      </c>
      <c r="J21" s="24" t="s">
        <v>49</v>
      </c>
      <c r="O21">
        <f>(I21*21)/100</f>
        <v>0</v>
      </c>
      <c r="P21" t="s">
        <v>20</v>
      </c>
    </row>
    <row r="22" spans="1:5" ht="12.75">
      <c r="A22" s="27" t="s">
        <v>50</v>
      </c>
      <c r="E22" s="28" t="s">
        <v>1188</v>
      </c>
    </row>
    <row r="23" spans="1:5" ht="12.75">
      <c r="A23" s="29" t="s">
        <v>52</v>
      </c>
      <c r="E23" s="30" t="s">
        <v>46</v>
      </c>
    </row>
    <row r="24" spans="1:5" ht="12.75">
      <c r="A24" t="s">
        <v>54</v>
      </c>
      <c r="E24" s="28" t="s">
        <v>690</v>
      </c>
    </row>
    <row r="25" spans="1:16" ht="12.75">
      <c r="A25" s="18" t="s">
        <v>44</v>
      </c>
      <c r="B25" s="22" t="s">
        <v>32</v>
      </c>
      <c r="C25" s="22" t="s">
        <v>701</v>
      </c>
      <c r="D25" s="18" t="s">
        <v>46</v>
      </c>
      <c r="E25" s="23" t="s">
        <v>702</v>
      </c>
      <c r="F25" s="24" t="s">
        <v>210</v>
      </c>
      <c r="G25" s="25">
        <v>1</v>
      </c>
      <c r="H25" s="26"/>
      <c r="I25" s="26">
        <f>ROUND(ROUND(H25,2)*ROUND(G25,3),2)</f>
        <v>0</v>
      </c>
      <c r="J25" s="24" t="s">
        <v>49</v>
      </c>
      <c r="O25">
        <f>(I25*21)/100</f>
        <v>0</v>
      </c>
      <c r="P25" t="s">
        <v>20</v>
      </c>
    </row>
    <row r="26" spans="1:5" ht="12.75">
      <c r="A26" s="27" t="s">
        <v>50</v>
      </c>
      <c r="E26" s="28" t="s">
        <v>46</v>
      </c>
    </row>
    <row r="27" spans="1:5" ht="12.75">
      <c r="A27" s="29" t="s">
        <v>52</v>
      </c>
      <c r="E27" s="30" t="s">
        <v>46</v>
      </c>
    </row>
    <row r="28" spans="1:5" ht="12.75">
      <c r="A28" t="s">
        <v>54</v>
      </c>
      <c r="E28" s="28" t="s">
        <v>690</v>
      </c>
    </row>
    <row r="29" spans="1:16" ht="12.75">
      <c r="A29" s="18" t="s">
        <v>44</v>
      </c>
      <c r="B29" s="22" t="s">
        <v>34</v>
      </c>
      <c r="C29" s="22" t="s">
        <v>703</v>
      </c>
      <c r="D29" s="18" t="s">
        <v>46</v>
      </c>
      <c r="E29" s="23" t="s">
        <v>704</v>
      </c>
      <c r="F29" s="24" t="s">
        <v>692</v>
      </c>
      <c r="G29" s="25">
        <v>1</v>
      </c>
      <c r="H29" s="26"/>
      <c r="I29" s="26">
        <f>ROUND(ROUND(H29,2)*ROUND(G29,3),2)</f>
        <v>0</v>
      </c>
      <c r="J29" s="24" t="s">
        <v>49</v>
      </c>
      <c r="O29">
        <f>(I29*21)/100</f>
        <v>0</v>
      </c>
      <c r="P29" t="s">
        <v>20</v>
      </c>
    </row>
    <row r="30" spans="1:5" ht="12.75">
      <c r="A30" s="27" t="s">
        <v>50</v>
      </c>
      <c r="E30" s="28" t="s">
        <v>46</v>
      </c>
    </row>
    <row r="31" spans="1:5" ht="12.75">
      <c r="A31" s="29" t="s">
        <v>52</v>
      </c>
      <c r="E31" s="30" t="s">
        <v>46</v>
      </c>
    </row>
    <row r="32" spans="1:5" ht="12.75">
      <c r="A32" t="s">
        <v>54</v>
      </c>
      <c r="E32" s="28" t="s">
        <v>690</v>
      </c>
    </row>
    <row r="33" spans="1:16" ht="12.75">
      <c r="A33" s="18" t="s">
        <v>44</v>
      </c>
      <c r="B33" s="22" t="s">
        <v>73</v>
      </c>
      <c r="C33" s="22" t="s">
        <v>705</v>
      </c>
      <c r="D33" s="18" t="s">
        <v>26</v>
      </c>
      <c r="E33" s="23" t="s">
        <v>706</v>
      </c>
      <c r="F33" s="24" t="s">
        <v>692</v>
      </c>
      <c r="G33" s="25">
        <v>1</v>
      </c>
      <c r="H33" s="26"/>
      <c r="I33" s="26">
        <f>ROUND(ROUND(H33,2)*ROUND(G33,3),2)</f>
        <v>0</v>
      </c>
      <c r="J33" s="24" t="s">
        <v>49</v>
      </c>
      <c r="O33">
        <f>(I33*21)/100</f>
        <v>0</v>
      </c>
      <c r="P33" t="s">
        <v>20</v>
      </c>
    </row>
    <row r="34" spans="1:5" ht="12.75">
      <c r="A34" s="27" t="s">
        <v>50</v>
      </c>
      <c r="E34" s="28" t="s">
        <v>46</v>
      </c>
    </row>
    <row r="35" spans="1:5" ht="12.75">
      <c r="A35" s="29" t="s">
        <v>52</v>
      </c>
      <c r="E35" s="30" t="s">
        <v>46</v>
      </c>
    </row>
    <row r="36" spans="1:5" ht="12.75">
      <c r="A36" t="s">
        <v>54</v>
      </c>
      <c r="E36" s="28" t="s">
        <v>690</v>
      </c>
    </row>
    <row r="37" spans="1:16" ht="12.75">
      <c r="A37" s="18" t="s">
        <v>44</v>
      </c>
      <c r="B37" s="749"/>
      <c r="C37" s="749"/>
      <c r="D37" s="750"/>
      <c r="E37" s="748"/>
      <c r="F37" s="751"/>
      <c r="G37" s="744"/>
      <c r="H37" s="752"/>
      <c r="I37" s="752"/>
      <c r="J37" s="751"/>
      <c r="O37">
        <f>(I37*21)/100</f>
        <v>0</v>
      </c>
      <c r="P37" t="s">
        <v>20</v>
      </c>
    </row>
    <row r="38" spans="1:10" ht="12.75">
      <c r="A38" s="27" t="s">
        <v>50</v>
      </c>
      <c r="B38" s="753"/>
      <c r="C38" s="753"/>
      <c r="D38" s="753"/>
      <c r="E38" s="745"/>
      <c r="F38" s="753"/>
      <c r="G38" s="753"/>
      <c r="H38" s="753"/>
      <c r="I38" s="753"/>
      <c r="J38" s="753"/>
    </row>
    <row r="39" spans="1:10" ht="12.75">
      <c r="A39" s="29" t="s">
        <v>52</v>
      </c>
      <c r="B39" s="753"/>
      <c r="C39" s="753"/>
      <c r="D39" s="753"/>
      <c r="E39" s="746"/>
      <c r="F39" s="753"/>
      <c r="G39" s="753"/>
      <c r="H39" s="753"/>
      <c r="I39" s="753"/>
      <c r="J39" s="753"/>
    </row>
    <row r="40" spans="1:10" ht="12.75">
      <c r="A40" t="s">
        <v>54</v>
      </c>
      <c r="B40" s="753"/>
      <c r="C40" s="753"/>
      <c r="D40" s="753"/>
      <c r="E40" s="745"/>
      <c r="F40" s="753"/>
      <c r="G40" s="753"/>
      <c r="H40" s="753"/>
      <c r="I40" s="753"/>
      <c r="J40" s="753"/>
    </row>
    <row r="41" spans="1:16" ht="25.5">
      <c r="A41" s="18" t="s">
        <v>44</v>
      </c>
      <c r="B41" s="22" t="s">
        <v>37</v>
      </c>
      <c r="C41" s="22" t="s">
        <v>705</v>
      </c>
      <c r="D41" s="18" t="s">
        <v>19</v>
      </c>
      <c r="E41" s="23" t="s">
        <v>707</v>
      </c>
      <c r="F41" s="24" t="s">
        <v>692</v>
      </c>
      <c r="G41" s="25">
        <v>1</v>
      </c>
      <c r="H41" s="26"/>
      <c r="I41" s="26">
        <f>ROUND(ROUND(H41,2)*ROUND(G41,3),2)</f>
        <v>0</v>
      </c>
      <c r="J41" s="24" t="s">
        <v>49</v>
      </c>
      <c r="O41">
        <f>(I41*21)/100</f>
        <v>0</v>
      </c>
      <c r="P41" t="s">
        <v>20</v>
      </c>
    </row>
    <row r="42" spans="1:5" ht="12.75">
      <c r="A42" s="27" t="s">
        <v>50</v>
      </c>
      <c r="E42" s="28" t="s">
        <v>46</v>
      </c>
    </row>
    <row r="43" spans="1:5" ht="12.75">
      <c r="A43" s="29" t="s">
        <v>52</v>
      </c>
      <c r="E43" s="30" t="s">
        <v>46</v>
      </c>
    </row>
    <row r="44" spans="1:5" ht="12.75">
      <c r="A44" t="s">
        <v>54</v>
      </c>
      <c r="E44" s="28" t="s">
        <v>690</v>
      </c>
    </row>
    <row r="45" spans="1:16" ht="12.75">
      <c r="A45" s="18" t="s">
        <v>44</v>
      </c>
      <c r="B45" s="22" t="s">
        <v>39</v>
      </c>
      <c r="C45" s="22" t="s">
        <v>708</v>
      </c>
      <c r="D45" s="18" t="s">
        <v>46</v>
      </c>
      <c r="E45" s="23" t="s">
        <v>709</v>
      </c>
      <c r="F45" s="24" t="s">
        <v>692</v>
      </c>
      <c r="G45" s="25">
        <v>1</v>
      </c>
      <c r="H45" s="26"/>
      <c r="I45" s="26">
        <f>ROUND(ROUND(H45,2)*ROUND(G45,3),2)</f>
        <v>0</v>
      </c>
      <c r="J45" s="24" t="s">
        <v>49</v>
      </c>
      <c r="O45">
        <f>(I45*21)/100</f>
        <v>0</v>
      </c>
      <c r="P45" t="s">
        <v>20</v>
      </c>
    </row>
    <row r="46" spans="1:5" ht="12.75">
      <c r="A46" s="27" t="s">
        <v>50</v>
      </c>
      <c r="E46" s="28" t="s">
        <v>46</v>
      </c>
    </row>
    <row r="47" spans="1:5" ht="12.75">
      <c r="A47" s="29" t="s">
        <v>52</v>
      </c>
      <c r="E47" s="30" t="s">
        <v>46</v>
      </c>
    </row>
    <row r="48" spans="1:5" ht="12.75">
      <c r="A48" t="s">
        <v>54</v>
      </c>
      <c r="E48" s="28" t="s">
        <v>690</v>
      </c>
    </row>
    <row r="49" spans="1:16" ht="12.75">
      <c r="A49" s="18" t="s">
        <v>44</v>
      </c>
      <c r="B49" s="22">
        <v>11</v>
      </c>
      <c r="C49" s="22" t="s">
        <v>1184</v>
      </c>
      <c r="D49" s="18"/>
      <c r="E49" s="23" t="s">
        <v>1185</v>
      </c>
      <c r="F49" s="24" t="s">
        <v>692</v>
      </c>
      <c r="G49" s="25">
        <v>1</v>
      </c>
      <c r="H49" s="26"/>
      <c r="I49" s="26">
        <f>ROUND(ROUND(H49,2)*ROUND(G49,3),2)</f>
        <v>0</v>
      </c>
      <c r="J49" s="24" t="s">
        <v>49</v>
      </c>
      <c r="O49">
        <f>(I49*21)/100</f>
        <v>0</v>
      </c>
      <c r="P49" t="s">
        <v>20</v>
      </c>
    </row>
    <row r="50" spans="1:5" ht="12.75">
      <c r="A50" s="27" t="s">
        <v>50</v>
      </c>
      <c r="E50" s="28" t="s">
        <v>1186</v>
      </c>
    </row>
    <row r="51" spans="1:5" ht="12.75">
      <c r="A51" s="29" t="s">
        <v>52</v>
      </c>
      <c r="E51" s="30" t="s">
        <v>46</v>
      </c>
    </row>
    <row r="52" spans="1:5" ht="25.5">
      <c r="A52" t="s">
        <v>54</v>
      </c>
      <c r="E52" s="28" t="s">
        <v>1187</v>
      </c>
    </row>
    <row r="53" spans="1:18" ht="12.75" customHeight="1">
      <c r="A53" s="15" t="s">
        <v>42</v>
      </c>
      <c r="B53" s="15"/>
      <c r="C53" s="19" t="s">
        <v>1133</v>
      </c>
      <c r="D53" s="15"/>
      <c r="E53" s="20" t="s">
        <v>1133</v>
      </c>
      <c r="F53" s="15"/>
      <c r="G53" s="15"/>
      <c r="H53" s="15"/>
      <c r="I53" s="21">
        <f>0+Q53</f>
        <v>0</v>
      </c>
      <c r="J53" s="15"/>
      <c r="O53">
        <f>0+R53</f>
        <v>0</v>
      </c>
      <c r="Q53" s="737">
        <f>0+I54+I58+I62+I66+I70+I74+I78+I82+I86+I90+I94+I110+I98+I102+I106+I114+I118+I122</f>
        <v>0</v>
      </c>
      <c r="R53">
        <f>0+O54+O58+O62+O66+O70+O74+O78+O82+O86+O90+O94+O110</f>
        <v>0</v>
      </c>
    </row>
    <row r="54" spans="1:16" ht="12.75" customHeight="1">
      <c r="A54" s="18" t="s">
        <v>44</v>
      </c>
      <c r="B54" s="22">
        <v>12</v>
      </c>
      <c r="C54" s="22" t="s">
        <v>1134</v>
      </c>
      <c r="D54" s="18"/>
      <c r="E54" s="23" t="s">
        <v>1135</v>
      </c>
      <c r="F54" s="24" t="s">
        <v>210</v>
      </c>
      <c r="G54" s="770">
        <v>14</v>
      </c>
      <c r="H54" s="26"/>
      <c r="I54" s="26">
        <f>ROUND(ROUND(H54,2)*ROUND(G54,3),2)</f>
        <v>0</v>
      </c>
      <c r="J54" s="24" t="s">
        <v>49</v>
      </c>
      <c r="O54">
        <f>(I54*21)/100</f>
        <v>0</v>
      </c>
      <c r="P54" t="s">
        <v>20</v>
      </c>
    </row>
    <row r="55" spans="1:5" ht="12.75" customHeight="1">
      <c r="A55" s="27" t="s">
        <v>50</v>
      </c>
      <c r="E55" s="28" t="s">
        <v>46</v>
      </c>
    </row>
    <row r="56" spans="1:5" ht="12.75" customHeight="1">
      <c r="A56" s="29" t="s">
        <v>52</v>
      </c>
      <c r="E56" s="30" t="s">
        <v>46</v>
      </c>
    </row>
    <row r="57" spans="1:5" ht="63.75">
      <c r="A57" t="s">
        <v>54</v>
      </c>
      <c r="E57" s="28" t="s">
        <v>1136</v>
      </c>
    </row>
    <row r="58" spans="1:16" ht="12.75" customHeight="1">
      <c r="A58" s="18" t="s">
        <v>44</v>
      </c>
      <c r="B58" s="22">
        <v>13</v>
      </c>
      <c r="C58" s="22" t="s">
        <v>1137</v>
      </c>
      <c r="D58" s="18"/>
      <c r="E58" s="23" t="s">
        <v>1138</v>
      </c>
      <c r="F58" s="24" t="s">
        <v>210</v>
      </c>
      <c r="G58" s="770">
        <v>14</v>
      </c>
      <c r="H58" s="26"/>
      <c r="I58" s="26">
        <f>ROUND(ROUND(H58,2)*ROUND(G58,3),2)</f>
        <v>0</v>
      </c>
      <c r="J58" s="24" t="s">
        <v>49</v>
      </c>
      <c r="O58">
        <f>(I58*21)/100</f>
        <v>0</v>
      </c>
      <c r="P58" t="s">
        <v>20</v>
      </c>
    </row>
    <row r="59" spans="1:5" ht="12.75" customHeight="1">
      <c r="A59" s="27" t="s">
        <v>50</v>
      </c>
      <c r="E59" s="28" t="s">
        <v>46</v>
      </c>
    </row>
    <row r="60" spans="1:5" ht="12.75" customHeight="1">
      <c r="A60" s="29" t="s">
        <v>52</v>
      </c>
      <c r="E60" s="30" t="s">
        <v>46</v>
      </c>
    </row>
    <row r="61" spans="1:5" ht="25.5">
      <c r="A61" t="s">
        <v>54</v>
      </c>
      <c r="E61" s="28" t="s">
        <v>243</v>
      </c>
    </row>
    <row r="62" spans="1:16" ht="12.75" customHeight="1">
      <c r="A62" s="18" t="s">
        <v>44</v>
      </c>
      <c r="B62" s="22">
        <v>14</v>
      </c>
      <c r="C62" s="22" t="s">
        <v>1139</v>
      </c>
      <c r="D62" s="18"/>
      <c r="E62" s="23" t="s">
        <v>1140</v>
      </c>
      <c r="F62" s="24" t="s">
        <v>1141</v>
      </c>
      <c r="G62" s="770">
        <f>G58*240</f>
        <v>3360</v>
      </c>
      <c r="H62" s="26"/>
      <c r="I62" s="26">
        <f>ROUND(ROUND(H62,2)*ROUND(G62,3),2)</f>
        <v>0</v>
      </c>
      <c r="J62" s="24" t="s">
        <v>49</v>
      </c>
      <c r="O62">
        <f>(I62*21)/100</f>
        <v>0</v>
      </c>
      <c r="P62" t="s">
        <v>20</v>
      </c>
    </row>
    <row r="63" spans="1:5" ht="12.75" customHeight="1">
      <c r="A63" s="27" t="s">
        <v>50</v>
      </c>
      <c r="E63" s="28" t="s">
        <v>46</v>
      </c>
    </row>
    <row r="64" spans="1:5" ht="12.75" customHeight="1">
      <c r="A64" s="29" t="s">
        <v>52</v>
      </c>
      <c r="E64" s="30" t="s">
        <v>1167</v>
      </c>
    </row>
    <row r="65" spans="1:5" ht="25.5">
      <c r="A65" t="s">
        <v>54</v>
      </c>
      <c r="E65" s="28" t="s">
        <v>1142</v>
      </c>
    </row>
    <row r="66" spans="1:16" ht="12.75" customHeight="1">
      <c r="A66" s="18" t="s">
        <v>44</v>
      </c>
      <c r="B66" s="22">
        <v>15</v>
      </c>
      <c r="C66" s="22" t="s">
        <v>1143</v>
      </c>
      <c r="D66" s="18"/>
      <c r="E66" s="23" t="s">
        <v>1144</v>
      </c>
      <c r="F66" s="24" t="s">
        <v>210</v>
      </c>
      <c r="G66" s="770">
        <v>3</v>
      </c>
      <c r="H66" s="26"/>
      <c r="I66" s="26">
        <f>ROUND(ROUND(H66,2)*ROUND(G66,3),2)</f>
        <v>0</v>
      </c>
      <c r="J66" s="24" t="s">
        <v>49</v>
      </c>
      <c r="O66">
        <f>(I66*21)/100</f>
        <v>0</v>
      </c>
      <c r="P66" t="s">
        <v>20</v>
      </c>
    </row>
    <row r="67" spans="1:5" ht="12.75" customHeight="1">
      <c r="A67" s="27" t="s">
        <v>50</v>
      </c>
      <c r="E67" s="28" t="s">
        <v>46</v>
      </c>
    </row>
    <row r="68" spans="1:5" ht="12.75" customHeight="1">
      <c r="A68" s="29" t="s">
        <v>52</v>
      </c>
      <c r="E68" s="30" t="s">
        <v>46</v>
      </c>
    </row>
    <row r="69" spans="1:5" ht="63.75">
      <c r="A69" t="s">
        <v>54</v>
      </c>
      <c r="E69" s="28" t="s">
        <v>1136</v>
      </c>
    </row>
    <row r="70" spans="1:16" ht="12.75" customHeight="1">
      <c r="A70" s="18" t="s">
        <v>44</v>
      </c>
      <c r="B70" s="22">
        <v>16</v>
      </c>
      <c r="C70" s="22" t="s">
        <v>1145</v>
      </c>
      <c r="D70" s="18"/>
      <c r="E70" s="23" t="s">
        <v>1146</v>
      </c>
      <c r="F70" s="24" t="s">
        <v>210</v>
      </c>
      <c r="G70" s="770">
        <v>3</v>
      </c>
      <c r="H70" s="26"/>
      <c r="I70" s="26">
        <f>ROUND(ROUND(H70,2)*ROUND(G70,3),2)</f>
        <v>0</v>
      </c>
      <c r="J70" s="24" t="s">
        <v>49</v>
      </c>
      <c r="O70">
        <f>(I70*21)/100</f>
        <v>0</v>
      </c>
      <c r="P70" t="s">
        <v>20</v>
      </c>
    </row>
    <row r="71" spans="1:5" ht="12.75" customHeight="1">
      <c r="A71" s="27" t="s">
        <v>50</v>
      </c>
      <c r="E71" s="28" t="s">
        <v>46</v>
      </c>
    </row>
    <row r="72" spans="1:5" ht="12.75" customHeight="1">
      <c r="A72" s="29" t="s">
        <v>52</v>
      </c>
      <c r="E72" s="30" t="s">
        <v>46</v>
      </c>
    </row>
    <row r="73" spans="1:5" ht="25.5">
      <c r="A73" t="s">
        <v>54</v>
      </c>
      <c r="E73" s="28" t="s">
        <v>243</v>
      </c>
    </row>
    <row r="74" spans="1:16" ht="12.75" customHeight="1">
      <c r="A74" s="18" t="s">
        <v>44</v>
      </c>
      <c r="B74" s="22">
        <v>17</v>
      </c>
      <c r="C74" s="22" t="s">
        <v>1147</v>
      </c>
      <c r="D74" s="18"/>
      <c r="E74" s="23" t="s">
        <v>1148</v>
      </c>
      <c r="F74" s="24" t="s">
        <v>1141</v>
      </c>
      <c r="G74" s="770">
        <f>G70*240</f>
        <v>720</v>
      </c>
      <c r="H74" s="26"/>
      <c r="I74" s="26">
        <f>ROUND(ROUND(H74,2)*ROUND(G74,3),2)</f>
        <v>0</v>
      </c>
      <c r="J74" s="24" t="s">
        <v>49</v>
      </c>
      <c r="O74">
        <f>(I74*21)/100</f>
        <v>0</v>
      </c>
      <c r="P74" t="s">
        <v>20</v>
      </c>
    </row>
    <row r="75" spans="1:5" ht="12.75" customHeight="1">
      <c r="A75" s="27" t="s">
        <v>50</v>
      </c>
      <c r="E75" s="28" t="s">
        <v>46</v>
      </c>
    </row>
    <row r="76" spans="1:5" ht="12.75" customHeight="1">
      <c r="A76" s="29" t="s">
        <v>52</v>
      </c>
      <c r="E76" s="30" t="s">
        <v>1167</v>
      </c>
    </row>
    <row r="77" spans="1:5" ht="25.5">
      <c r="A77" t="s">
        <v>54</v>
      </c>
      <c r="E77" s="28" t="s">
        <v>1142</v>
      </c>
    </row>
    <row r="78" spans="1:16" ht="12.75" customHeight="1">
      <c r="A78" s="18" t="s">
        <v>44</v>
      </c>
      <c r="B78" s="22">
        <v>18</v>
      </c>
      <c r="C78" s="22" t="s">
        <v>1149</v>
      </c>
      <c r="D78" s="18"/>
      <c r="E78" s="23" t="s">
        <v>1150</v>
      </c>
      <c r="F78" s="24" t="s">
        <v>210</v>
      </c>
      <c r="G78" s="770">
        <v>17</v>
      </c>
      <c r="H78" s="26"/>
      <c r="I78" s="26">
        <f>ROUND(ROUND(H78,2)*ROUND(G78,3),2)</f>
        <v>0</v>
      </c>
      <c r="J78" s="24" t="s">
        <v>49</v>
      </c>
      <c r="O78">
        <f>(I78*21)/100</f>
        <v>0</v>
      </c>
      <c r="P78" t="s">
        <v>20</v>
      </c>
    </row>
    <row r="79" spans="1:5" ht="12.75" customHeight="1">
      <c r="A79" s="27" t="s">
        <v>50</v>
      </c>
      <c r="E79" s="28" t="s">
        <v>46</v>
      </c>
    </row>
    <row r="80" spans="1:5" ht="12.75" customHeight="1">
      <c r="A80" s="29" t="s">
        <v>52</v>
      </c>
      <c r="E80" s="30" t="s">
        <v>46</v>
      </c>
    </row>
    <row r="81" spans="1:5" ht="63.75">
      <c r="A81" t="s">
        <v>54</v>
      </c>
      <c r="E81" s="28" t="s">
        <v>1155</v>
      </c>
    </row>
    <row r="82" spans="1:16" ht="12.75" customHeight="1">
      <c r="A82" s="18" t="s">
        <v>44</v>
      </c>
      <c r="B82" s="22">
        <v>19</v>
      </c>
      <c r="C82" s="22" t="s">
        <v>1151</v>
      </c>
      <c r="D82" s="18"/>
      <c r="E82" s="23" t="s">
        <v>1152</v>
      </c>
      <c r="F82" s="24" t="s">
        <v>210</v>
      </c>
      <c r="G82" s="770">
        <v>17</v>
      </c>
      <c r="H82" s="26"/>
      <c r="I82" s="26">
        <f>ROUND(ROUND(H82,2)*ROUND(G82,3),2)</f>
        <v>0</v>
      </c>
      <c r="J82" s="24" t="s">
        <v>49</v>
      </c>
      <c r="O82">
        <f>(I82*21)/100</f>
        <v>0</v>
      </c>
      <c r="P82" t="s">
        <v>20</v>
      </c>
    </row>
    <row r="83" spans="1:5" ht="12.75" customHeight="1">
      <c r="A83" s="27" t="s">
        <v>50</v>
      </c>
      <c r="E83" s="28" t="s">
        <v>46</v>
      </c>
    </row>
    <row r="84" spans="1:5" ht="12.75" customHeight="1">
      <c r="A84" s="29" t="s">
        <v>52</v>
      </c>
      <c r="E84" s="30" t="s">
        <v>46</v>
      </c>
    </row>
    <row r="85" spans="1:5" ht="25.5">
      <c r="A85" t="s">
        <v>54</v>
      </c>
      <c r="E85" s="28" t="s">
        <v>243</v>
      </c>
    </row>
    <row r="86" spans="1:16" ht="12.75" customHeight="1">
      <c r="A86" s="18" t="s">
        <v>44</v>
      </c>
      <c r="B86" s="22">
        <v>20</v>
      </c>
      <c r="C86" s="22" t="s">
        <v>1153</v>
      </c>
      <c r="D86" s="18"/>
      <c r="E86" s="23" t="s">
        <v>1154</v>
      </c>
      <c r="F86" s="24" t="s">
        <v>1141</v>
      </c>
      <c r="G86" s="770">
        <f>G82*240</f>
        <v>4080</v>
      </c>
      <c r="H86" s="26"/>
      <c r="I86" s="26">
        <f>ROUND(ROUND(H86,2)*ROUND(G86,3),2)</f>
        <v>0</v>
      </c>
      <c r="J86" s="24" t="s">
        <v>49</v>
      </c>
      <c r="O86">
        <f>(I86*21)/100</f>
        <v>0</v>
      </c>
      <c r="P86" t="s">
        <v>20</v>
      </c>
    </row>
    <row r="87" spans="1:5" ht="12.75" customHeight="1">
      <c r="A87" s="27" t="s">
        <v>50</v>
      </c>
      <c r="E87" s="28" t="s">
        <v>46</v>
      </c>
    </row>
    <row r="88" spans="1:5" ht="12.75" customHeight="1">
      <c r="A88" s="29" t="s">
        <v>52</v>
      </c>
      <c r="E88" s="30" t="s">
        <v>1167</v>
      </c>
    </row>
    <row r="89" spans="1:5" ht="25.5">
      <c r="A89" t="s">
        <v>54</v>
      </c>
      <c r="E89" s="28" t="s">
        <v>1156</v>
      </c>
    </row>
    <row r="90" spans="1:16" ht="12.75" customHeight="1">
      <c r="A90" s="18" t="s">
        <v>44</v>
      </c>
      <c r="B90" s="22">
        <v>21</v>
      </c>
      <c r="C90" s="22" t="s">
        <v>1157</v>
      </c>
      <c r="D90" s="18"/>
      <c r="E90" s="23" t="s">
        <v>1158</v>
      </c>
      <c r="F90" s="24" t="s">
        <v>80</v>
      </c>
      <c r="G90" s="25">
        <v>6</v>
      </c>
      <c r="H90" s="26"/>
      <c r="I90" s="26">
        <f>ROUND(ROUND(H90,2)*ROUND(G90,3),2)</f>
        <v>0</v>
      </c>
      <c r="J90" s="24" t="s">
        <v>49</v>
      </c>
      <c r="O90">
        <f>(I90*21)/100</f>
        <v>0</v>
      </c>
      <c r="P90" t="s">
        <v>20</v>
      </c>
    </row>
    <row r="91" spans="1:5" ht="12.75" customHeight="1">
      <c r="A91" s="27" t="s">
        <v>50</v>
      </c>
      <c r="E91" s="28" t="s">
        <v>46</v>
      </c>
    </row>
    <row r="92" spans="1:5" ht="12.75" customHeight="1">
      <c r="A92" s="29" t="s">
        <v>52</v>
      </c>
      <c r="E92" s="30" t="s">
        <v>46</v>
      </c>
    </row>
    <row r="93" spans="1:5" ht="76.5">
      <c r="A93" t="s">
        <v>54</v>
      </c>
      <c r="E93" s="28" t="s">
        <v>1166</v>
      </c>
    </row>
    <row r="94" spans="1:16" ht="12.75" customHeight="1">
      <c r="A94" s="18" t="s">
        <v>44</v>
      </c>
      <c r="B94" s="22">
        <v>22</v>
      </c>
      <c r="C94" s="22" t="s">
        <v>1159</v>
      </c>
      <c r="D94" s="18"/>
      <c r="E94" s="23" t="s">
        <v>1160</v>
      </c>
      <c r="F94" s="24" t="s">
        <v>80</v>
      </c>
      <c r="G94" s="25">
        <v>6</v>
      </c>
      <c r="H94" s="26"/>
      <c r="I94" s="26">
        <f>ROUND(ROUND(H94,2)*ROUND(G94,3),2)</f>
        <v>0</v>
      </c>
      <c r="J94" s="24" t="s">
        <v>49</v>
      </c>
      <c r="O94">
        <f>(I94*21)/100</f>
        <v>0</v>
      </c>
      <c r="P94" t="s">
        <v>20</v>
      </c>
    </row>
    <row r="95" spans="1:5" ht="12.75" customHeight="1">
      <c r="A95" s="27" t="s">
        <v>50</v>
      </c>
      <c r="E95" s="28" t="s">
        <v>46</v>
      </c>
    </row>
    <row r="96" spans="1:5" ht="12.75" customHeight="1">
      <c r="A96" s="29" t="s">
        <v>52</v>
      </c>
      <c r="E96" s="30" t="s">
        <v>46</v>
      </c>
    </row>
    <row r="97" spans="1:5" ht="38.25">
      <c r="A97" t="s">
        <v>54</v>
      </c>
      <c r="E97" s="28" t="s">
        <v>1165</v>
      </c>
    </row>
    <row r="98" spans="1:16" ht="12.75" customHeight="1">
      <c r="A98" s="18" t="s">
        <v>44</v>
      </c>
      <c r="B98" s="22">
        <v>23</v>
      </c>
      <c r="C98" s="22" t="s">
        <v>1161</v>
      </c>
      <c r="D98" s="18"/>
      <c r="E98" s="23" t="s">
        <v>1162</v>
      </c>
      <c r="F98" s="24" t="s">
        <v>1163</v>
      </c>
      <c r="G98" s="25">
        <f>6*8*30</f>
        <v>1440</v>
      </c>
      <c r="H98" s="26"/>
      <c r="I98" s="26">
        <f>ROUND(ROUND(H98,2)*ROUND(G98,3),2)</f>
        <v>0</v>
      </c>
      <c r="J98" s="24" t="s">
        <v>49</v>
      </c>
      <c r="O98">
        <f>(I98*21)/100</f>
        <v>0</v>
      </c>
      <c r="P98" t="s">
        <v>20</v>
      </c>
    </row>
    <row r="99" spans="1:5" ht="12.75" customHeight="1">
      <c r="A99" s="27" t="s">
        <v>50</v>
      </c>
      <c r="E99" s="28" t="s">
        <v>46</v>
      </c>
    </row>
    <row r="100" spans="1:5" ht="12.75" customHeight="1">
      <c r="A100" s="29" t="s">
        <v>52</v>
      </c>
      <c r="E100" s="30" t="s">
        <v>1167</v>
      </c>
    </row>
    <row r="101" spans="1:5" ht="25.5">
      <c r="A101" t="s">
        <v>54</v>
      </c>
      <c r="E101" s="28" t="s">
        <v>1164</v>
      </c>
    </row>
    <row r="102" spans="1:16" s="776" customFormat="1" ht="12.75" customHeight="1">
      <c r="A102" s="771" t="s">
        <v>44</v>
      </c>
      <c r="B102" s="772">
        <v>101</v>
      </c>
      <c r="C102" s="772" t="s">
        <v>1213</v>
      </c>
      <c r="D102" s="771"/>
      <c r="E102" s="773" t="s">
        <v>1207</v>
      </c>
      <c r="F102" s="774" t="s">
        <v>210</v>
      </c>
      <c r="G102" s="770">
        <v>2</v>
      </c>
      <c r="H102" s="775"/>
      <c r="I102" s="775">
        <f>ROUND(ROUND(H102,2)*ROUND(G102,3),2)</f>
        <v>0</v>
      </c>
      <c r="J102" s="774" t="s">
        <v>49</v>
      </c>
      <c r="O102" s="776">
        <f>(I102*21)/100</f>
        <v>0</v>
      </c>
      <c r="P102" s="776" t="s">
        <v>20</v>
      </c>
    </row>
    <row r="103" spans="1:5" s="776" customFormat="1" ht="12.75" customHeight="1">
      <c r="A103" s="777" t="s">
        <v>50</v>
      </c>
      <c r="E103" s="778" t="s">
        <v>46</v>
      </c>
    </row>
    <row r="104" spans="1:5" s="776" customFormat="1" ht="12.75" customHeight="1">
      <c r="A104" s="779" t="s">
        <v>52</v>
      </c>
      <c r="E104" s="780"/>
    </row>
    <row r="105" spans="1:5" s="776" customFormat="1" ht="63.75">
      <c r="A105" s="776" t="s">
        <v>54</v>
      </c>
      <c r="E105" s="778" t="s">
        <v>1210</v>
      </c>
    </row>
    <row r="106" spans="1:16" s="776" customFormat="1" ht="12.75" customHeight="1">
      <c r="A106" s="771" t="s">
        <v>44</v>
      </c>
      <c r="B106" s="772">
        <v>102</v>
      </c>
      <c r="C106" s="772" t="s">
        <v>1214</v>
      </c>
      <c r="D106" s="771"/>
      <c r="E106" s="773" t="s">
        <v>1208</v>
      </c>
      <c r="F106" s="774" t="s">
        <v>210</v>
      </c>
      <c r="G106" s="770">
        <v>2</v>
      </c>
      <c r="H106" s="775"/>
      <c r="I106" s="775">
        <f>ROUND(ROUND(H106,2)*ROUND(G106,3),2)</f>
        <v>0</v>
      </c>
      <c r="J106" s="774" t="s">
        <v>49</v>
      </c>
      <c r="O106" s="776">
        <f>(I106*21)/100</f>
        <v>0</v>
      </c>
      <c r="P106" s="776" t="s">
        <v>20</v>
      </c>
    </row>
    <row r="107" spans="1:5" s="776" customFormat="1" ht="12.75" customHeight="1">
      <c r="A107" s="777" t="s">
        <v>50</v>
      </c>
      <c r="E107" s="778" t="s">
        <v>46</v>
      </c>
    </row>
    <row r="108" spans="1:5" s="776" customFormat="1" ht="12.75" customHeight="1">
      <c r="A108" s="779" t="s">
        <v>52</v>
      </c>
      <c r="E108" s="780"/>
    </row>
    <row r="109" spans="1:5" s="776" customFormat="1" ht="25.5">
      <c r="A109" s="776" t="s">
        <v>54</v>
      </c>
      <c r="E109" s="778" t="s">
        <v>1211</v>
      </c>
    </row>
    <row r="110" spans="1:16" s="776" customFormat="1" ht="12.75" customHeight="1">
      <c r="A110" s="771" t="s">
        <v>44</v>
      </c>
      <c r="B110" s="772">
        <v>103</v>
      </c>
      <c r="C110" s="772" t="s">
        <v>1215</v>
      </c>
      <c r="D110" s="771"/>
      <c r="E110" s="773" t="s">
        <v>1209</v>
      </c>
      <c r="F110" s="774" t="s">
        <v>1163</v>
      </c>
      <c r="G110" s="770">
        <v>480</v>
      </c>
      <c r="H110" s="775"/>
      <c r="I110" s="775">
        <f>ROUND(ROUND(H110,2)*ROUND(G110,3),2)</f>
        <v>0</v>
      </c>
      <c r="J110" s="774" t="s">
        <v>49</v>
      </c>
      <c r="O110" s="776">
        <f>(I110*21)/100</f>
        <v>0</v>
      </c>
      <c r="P110" s="776" t="s">
        <v>20</v>
      </c>
    </row>
    <row r="111" spans="1:5" s="776" customFormat="1" ht="12.75" customHeight="1">
      <c r="A111" s="777" t="s">
        <v>50</v>
      </c>
      <c r="E111" s="778" t="s">
        <v>46</v>
      </c>
    </row>
    <row r="112" spans="1:5" s="776" customFormat="1" ht="12.75" customHeight="1">
      <c r="A112" s="779" t="s">
        <v>52</v>
      </c>
      <c r="E112" s="780" t="s">
        <v>1167</v>
      </c>
    </row>
    <row r="113" spans="1:5" s="776" customFormat="1" ht="25.5">
      <c r="A113" s="776" t="s">
        <v>54</v>
      </c>
      <c r="E113" s="778" t="s">
        <v>1212</v>
      </c>
    </row>
    <row r="114" spans="1:16" s="776" customFormat="1" ht="12.75" customHeight="1">
      <c r="A114" s="771" t="s">
        <v>44</v>
      </c>
      <c r="B114" s="772">
        <v>104</v>
      </c>
      <c r="C114" s="772" t="s">
        <v>1216</v>
      </c>
      <c r="D114" s="771"/>
      <c r="E114" s="773" t="s">
        <v>1217</v>
      </c>
      <c r="F114" s="774" t="s">
        <v>210</v>
      </c>
      <c r="G114" s="770">
        <v>2</v>
      </c>
      <c r="H114" s="775"/>
      <c r="I114" s="775">
        <f>ROUND(ROUND(H114,2)*ROUND(G114,3),2)</f>
        <v>0</v>
      </c>
      <c r="J114" s="774" t="s">
        <v>49</v>
      </c>
      <c r="O114" s="776">
        <f>(I114*21)/100</f>
        <v>0</v>
      </c>
      <c r="P114" s="776" t="s">
        <v>20</v>
      </c>
    </row>
    <row r="115" spans="1:5" s="776" customFormat="1" ht="12.75" customHeight="1">
      <c r="A115" s="777" t="s">
        <v>50</v>
      </c>
      <c r="E115" s="778" t="s">
        <v>46</v>
      </c>
    </row>
    <row r="116" spans="1:5" s="776" customFormat="1" ht="12.75" customHeight="1">
      <c r="A116" s="779" t="s">
        <v>52</v>
      </c>
      <c r="E116" s="780"/>
    </row>
    <row r="117" spans="1:5" s="776" customFormat="1" ht="76.5">
      <c r="A117" s="776" t="s">
        <v>54</v>
      </c>
      <c r="E117" s="778" t="s">
        <v>1222</v>
      </c>
    </row>
    <row r="118" spans="1:16" s="776" customFormat="1" ht="12.75" customHeight="1">
      <c r="A118" s="771" t="s">
        <v>44</v>
      </c>
      <c r="B118" s="772">
        <v>105</v>
      </c>
      <c r="C118" s="772" t="s">
        <v>1218</v>
      </c>
      <c r="D118" s="771"/>
      <c r="E118" s="773" t="s">
        <v>1219</v>
      </c>
      <c r="F118" s="774" t="s">
        <v>210</v>
      </c>
      <c r="G118" s="770">
        <v>2</v>
      </c>
      <c r="H118" s="775"/>
      <c r="I118" s="775">
        <f>ROUND(ROUND(H118,2)*ROUND(G118,3),2)</f>
        <v>0</v>
      </c>
      <c r="J118" s="774" t="s">
        <v>49</v>
      </c>
      <c r="O118" s="776">
        <f>(I118*21)/100</f>
        <v>0</v>
      </c>
      <c r="P118" s="776" t="s">
        <v>20</v>
      </c>
    </row>
    <row r="119" spans="1:5" s="776" customFormat="1" ht="12.75" customHeight="1">
      <c r="A119" s="777" t="s">
        <v>50</v>
      </c>
      <c r="E119" s="778" t="s">
        <v>46</v>
      </c>
    </row>
    <row r="120" spans="1:5" s="776" customFormat="1" ht="12.75" customHeight="1">
      <c r="A120" s="779" t="s">
        <v>52</v>
      </c>
      <c r="E120" s="780"/>
    </row>
    <row r="121" spans="1:5" s="776" customFormat="1" ht="25.5">
      <c r="A121" s="776" t="s">
        <v>54</v>
      </c>
      <c r="E121" s="778" t="s">
        <v>1211</v>
      </c>
    </row>
    <row r="122" spans="1:16" s="776" customFormat="1" ht="12.75" customHeight="1">
      <c r="A122" s="771" t="s">
        <v>44</v>
      </c>
      <c r="B122" s="772">
        <v>106</v>
      </c>
      <c r="C122" s="772" t="s">
        <v>1220</v>
      </c>
      <c r="D122" s="771"/>
      <c r="E122" s="773" t="s">
        <v>1221</v>
      </c>
      <c r="F122" s="774" t="s">
        <v>1163</v>
      </c>
      <c r="G122" s="770">
        <v>480</v>
      </c>
      <c r="H122" s="775"/>
      <c r="I122" s="775">
        <f>ROUND(ROUND(H122,2)*ROUND(G122,3),2)</f>
        <v>0</v>
      </c>
      <c r="J122" s="774" t="s">
        <v>49</v>
      </c>
      <c r="O122" s="776">
        <f>(I122*21)/100</f>
        <v>0</v>
      </c>
      <c r="P122" s="776" t="s">
        <v>20</v>
      </c>
    </row>
    <row r="123" spans="1:5" s="776" customFormat="1" ht="12.75" customHeight="1">
      <c r="A123" s="777" t="s">
        <v>50</v>
      </c>
      <c r="E123" s="778" t="s">
        <v>46</v>
      </c>
    </row>
    <row r="124" spans="1:5" s="776" customFormat="1" ht="12.75" customHeight="1">
      <c r="A124" s="779" t="s">
        <v>52</v>
      </c>
      <c r="E124" s="780" t="s">
        <v>1167</v>
      </c>
    </row>
    <row r="125" spans="1:5" s="776" customFormat="1" ht="25.5">
      <c r="A125" s="776" t="s">
        <v>54</v>
      </c>
      <c r="E125" s="778" t="s">
        <v>1212</v>
      </c>
    </row>
    <row r="126" spans="1:18" ht="12.75" customHeight="1">
      <c r="A126" s="15" t="s">
        <v>42</v>
      </c>
      <c r="B126" s="15"/>
      <c r="C126" s="19" t="s">
        <v>1171</v>
      </c>
      <c r="D126" s="15"/>
      <c r="E126" s="20" t="s">
        <v>1172</v>
      </c>
      <c r="F126" s="15"/>
      <c r="G126" s="15"/>
      <c r="H126" s="15"/>
      <c r="I126" s="21">
        <f>0+Q126</f>
        <v>0</v>
      </c>
      <c r="J126" s="15"/>
      <c r="O126">
        <f>0+R126</f>
        <v>0</v>
      </c>
      <c r="Q126" s="737">
        <f>0+I127+I131+I135</f>
        <v>0</v>
      </c>
      <c r="R126">
        <f>0+O127+O131+O135</f>
        <v>0</v>
      </c>
    </row>
    <row r="127" spans="1:16" ht="12.75" customHeight="1">
      <c r="A127" s="18" t="s">
        <v>44</v>
      </c>
      <c r="B127" s="22">
        <v>24</v>
      </c>
      <c r="C127" s="22" t="s">
        <v>1173</v>
      </c>
      <c r="D127" s="18"/>
      <c r="E127" s="23" t="s">
        <v>1174</v>
      </c>
      <c r="F127" s="24" t="s">
        <v>106</v>
      </c>
      <c r="G127" s="25">
        <f>(5300*6.5+1900*6.5)*0.3</f>
        <v>14040</v>
      </c>
      <c r="H127" s="26"/>
      <c r="I127" s="26">
        <f>ROUND(ROUND(H127,2)*ROUND(G127,3),2)</f>
        <v>0</v>
      </c>
      <c r="J127" s="24" t="s">
        <v>49</v>
      </c>
      <c r="O127">
        <f>(I127*21)/100</f>
        <v>0</v>
      </c>
      <c r="P127" t="s">
        <v>20</v>
      </c>
    </row>
    <row r="128" spans="1:5" ht="12.75" customHeight="1">
      <c r="A128" s="27" t="s">
        <v>50</v>
      </c>
      <c r="E128" s="28" t="s">
        <v>1180</v>
      </c>
    </row>
    <row r="129" spans="1:5" ht="25.5">
      <c r="A129" s="29" t="s">
        <v>52</v>
      </c>
      <c r="E129" s="30" t="s">
        <v>1194</v>
      </c>
    </row>
    <row r="130" spans="1:5" ht="51">
      <c r="A130" t="s">
        <v>54</v>
      </c>
      <c r="E130" s="28" t="s">
        <v>1181</v>
      </c>
    </row>
    <row r="131" spans="1:16" ht="12.75" customHeight="1">
      <c r="A131" s="18" t="s">
        <v>44</v>
      </c>
      <c r="B131" s="22">
        <v>25</v>
      </c>
      <c r="C131" s="22" t="s">
        <v>1175</v>
      </c>
      <c r="D131" s="18"/>
      <c r="E131" s="23" t="s">
        <v>1177</v>
      </c>
      <c r="F131" s="24" t="s">
        <v>106</v>
      </c>
      <c r="G131" s="25">
        <f>5300*6.5+1900*6.5</f>
        <v>46800</v>
      </c>
      <c r="H131" s="26"/>
      <c r="I131" s="26">
        <f>ROUND(ROUND(H131,2)*ROUND(G131,3),2)</f>
        <v>0</v>
      </c>
      <c r="J131" s="24" t="s">
        <v>49</v>
      </c>
      <c r="O131">
        <f>(I131*21)/100</f>
        <v>0</v>
      </c>
      <c r="P131" t="s">
        <v>20</v>
      </c>
    </row>
    <row r="132" spans="1:5" ht="12.75" customHeight="1">
      <c r="A132" s="27" t="s">
        <v>50</v>
      </c>
      <c r="E132" s="28" t="s">
        <v>46</v>
      </c>
    </row>
    <row r="133" spans="1:5" ht="12.75" customHeight="1">
      <c r="A133" s="29" t="s">
        <v>52</v>
      </c>
      <c r="E133" s="30" t="s">
        <v>1192</v>
      </c>
    </row>
    <row r="134" spans="1:5" ht="12.75">
      <c r="A134" t="s">
        <v>54</v>
      </c>
      <c r="E134" s="28" t="s">
        <v>1193</v>
      </c>
    </row>
    <row r="135" spans="1:16" ht="12.75" customHeight="1">
      <c r="A135" s="18" t="s">
        <v>44</v>
      </c>
      <c r="B135" s="22">
        <v>26</v>
      </c>
      <c r="C135" s="22" t="s">
        <v>1176</v>
      </c>
      <c r="D135" s="18"/>
      <c r="E135" s="23" t="s">
        <v>1178</v>
      </c>
      <c r="F135" s="24" t="s">
        <v>210</v>
      </c>
      <c r="G135" s="25">
        <v>2</v>
      </c>
      <c r="H135" s="26"/>
      <c r="I135" s="26">
        <f>ROUND(ROUND(H135,2)*ROUND(G135,3),2)</f>
        <v>0</v>
      </c>
      <c r="J135" s="24" t="s">
        <v>49</v>
      </c>
      <c r="O135">
        <f>(I135*21)/100</f>
        <v>0</v>
      </c>
      <c r="P135" t="s">
        <v>20</v>
      </c>
    </row>
    <row r="136" spans="1:5" ht="12.75" customHeight="1">
      <c r="A136" s="27" t="s">
        <v>50</v>
      </c>
      <c r="E136" s="28" t="s">
        <v>1179</v>
      </c>
    </row>
    <row r="137" spans="1:5" ht="12.75" customHeight="1">
      <c r="A137" s="29" t="s">
        <v>52</v>
      </c>
      <c r="E137" s="30"/>
    </row>
    <row r="138" spans="1:5" ht="12.75">
      <c r="A138" t="s">
        <v>54</v>
      </c>
      <c r="E138" s="28" t="s">
        <v>1193</v>
      </c>
    </row>
  </sheetData>
  <sheetProtection/>
  <mergeCells count="11"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2"/>
  <sheetViews>
    <sheetView view="pageBreakPreview" zoomScaleSheetLayoutView="100" zoomScalePageLayoutView="0" workbookViewId="0" topLeftCell="B1">
      <pane ySplit="7" topLeftCell="A9" activePane="bottomLeft" state="frozen"/>
      <selection pane="topLeft" activeCell="B5" sqref="B5:D5"/>
      <selection pane="bottomLeft" activeCell="G9" sqref="G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0+O8+O25+O90+O95+O104+O157+O166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85" t="s">
        <v>12</v>
      </c>
      <c r="D3" s="781"/>
      <c r="E3" s="11" t="s">
        <v>13</v>
      </c>
      <c r="F3" s="1"/>
      <c r="G3" s="8"/>
      <c r="H3" s="7" t="s">
        <v>21</v>
      </c>
      <c r="I3" s="33">
        <f>0+I8+I25+I90+I95+I104+I157+I166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86" t="s">
        <v>21</v>
      </c>
      <c r="D4" s="787"/>
      <c r="E4" s="14" t="s">
        <v>22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84" t="s">
        <v>23</v>
      </c>
      <c r="B5" s="784" t="s">
        <v>25</v>
      </c>
      <c r="C5" s="784" t="s">
        <v>27</v>
      </c>
      <c r="D5" s="784" t="s">
        <v>28</v>
      </c>
      <c r="E5" s="784" t="s">
        <v>29</v>
      </c>
      <c r="F5" s="784" t="s">
        <v>31</v>
      </c>
      <c r="G5" s="784" t="s">
        <v>33</v>
      </c>
      <c r="H5" s="784" t="s">
        <v>35</v>
      </c>
      <c r="I5" s="784"/>
      <c r="J5" s="784" t="s">
        <v>40</v>
      </c>
      <c r="O5" t="s">
        <v>18</v>
      </c>
      <c r="P5" t="s">
        <v>20</v>
      </c>
    </row>
    <row r="6" spans="1:10" ht="12.75" customHeight="1">
      <c r="A6" s="784"/>
      <c r="B6" s="784"/>
      <c r="C6" s="784"/>
      <c r="D6" s="784"/>
      <c r="E6" s="784"/>
      <c r="F6" s="784"/>
      <c r="G6" s="784"/>
      <c r="H6" s="12" t="s">
        <v>36</v>
      </c>
      <c r="I6" s="12" t="s">
        <v>38</v>
      </c>
      <c r="J6" s="784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0+I9+I13+I17+I21</f>
        <v>0</v>
      </c>
      <c r="R8">
        <f>0+O9+O13+O17+O21</f>
        <v>0</v>
      </c>
    </row>
    <row r="9" spans="1:16" ht="12.75">
      <c r="A9" s="18" t="s">
        <v>44</v>
      </c>
      <c r="B9" s="22" t="s">
        <v>26</v>
      </c>
      <c r="C9" s="22" t="s">
        <v>45</v>
      </c>
      <c r="D9" s="18" t="s">
        <v>46</v>
      </c>
      <c r="E9" s="23" t="s">
        <v>47</v>
      </c>
      <c r="F9" s="24" t="s">
        <v>48</v>
      </c>
      <c r="G9" s="25">
        <v>243.9</v>
      </c>
      <c r="H9" s="26"/>
      <c r="I9" s="26">
        <f>ROUND(ROUND(H9,2)*ROUND(G9,3),2)</f>
        <v>0</v>
      </c>
      <c r="J9" s="24" t="s">
        <v>49</v>
      </c>
      <c r="O9">
        <f>(I9*21)/100</f>
        <v>0</v>
      </c>
      <c r="P9" t="s">
        <v>20</v>
      </c>
    </row>
    <row r="10" spans="1:5" ht="12.75">
      <c r="A10" s="27" t="s">
        <v>50</v>
      </c>
      <c r="E10" s="28" t="s">
        <v>51</v>
      </c>
    </row>
    <row r="11" spans="1:5" ht="12.75">
      <c r="A11" s="29" t="s">
        <v>52</v>
      </c>
      <c r="E11" s="30" t="s">
        <v>53</v>
      </c>
    </row>
    <row r="12" spans="1:5" ht="25.5">
      <c r="A12" t="s">
        <v>54</v>
      </c>
      <c r="E12" s="28" t="s">
        <v>55</v>
      </c>
    </row>
    <row r="13" spans="1:16" ht="12.75">
      <c r="A13" s="18" t="s">
        <v>44</v>
      </c>
      <c r="B13" s="22" t="s">
        <v>20</v>
      </c>
      <c r="C13" s="22" t="s">
        <v>56</v>
      </c>
      <c r="D13" s="18" t="s">
        <v>26</v>
      </c>
      <c r="E13" s="23" t="s">
        <v>47</v>
      </c>
      <c r="F13" s="24" t="s">
        <v>57</v>
      </c>
      <c r="G13" s="25">
        <v>141.3</v>
      </c>
      <c r="H13" s="26"/>
      <c r="I13" s="26">
        <f>ROUND(ROUND(H13,2)*ROUND(G13,3),2)</f>
        <v>0</v>
      </c>
      <c r="J13" s="24" t="s">
        <v>49</v>
      </c>
      <c r="O13">
        <f>(I13*21)/100</f>
        <v>0</v>
      </c>
      <c r="P13" t="s">
        <v>20</v>
      </c>
    </row>
    <row r="14" spans="1:5" ht="12.75">
      <c r="A14" s="27" t="s">
        <v>50</v>
      </c>
      <c r="E14" s="28" t="s">
        <v>58</v>
      </c>
    </row>
    <row r="15" spans="1:5" ht="12.75">
      <c r="A15" s="29" t="s">
        <v>52</v>
      </c>
      <c r="E15" s="30" t="s">
        <v>59</v>
      </c>
    </row>
    <row r="16" spans="1:5" ht="25.5">
      <c r="A16" t="s">
        <v>54</v>
      </c>
      <c r="E16" s="28" t="s">
        <v>55</v>
      </c>
    </row>
    <row r="17" spans="1:16" ht="12.75">
      <c r="A17" s="18" t="s">
        <v>44</v>
      </c>
      <c r="B17" s="22" t="s">
        <v>19</v>
      </c>
      <c r="C17" s="22" t="s">
        <v>56</v>
      </c>
      <c r="D17" s="18" t="s">
        <v>20</v>
      </c>
      <c r="E17" s="23" t="s">
        <v>47</v>
      </c>
      <c r="F17" s="24" t="s">
        <v>57</v>
      </c>
      <c r="G17" s="25">
        <v>139.86</v>
      </c>
      <c r="H17" s="26"/>
      <c r="I17" s="26">
        <f>ROUND(ROUND(H17,2)*ROUND(G17,3),2)</f>
        <v>0</v>
      </c>
      <c r="J17" s="24" t="s">
        <v>49</v>
      </c>
      <c r="O17">
        <f>(I17*21)/100</f>
        <v>0</v>
      </c>
      <c r="P17" t="s">
        <v>20</v>
      </c>
    </row>
    <row r="18" spans="1:5" ht="12.75">
      <c r="A18" s="27" t="s">
        <v>50</v>
      </c>
      <c r="E18" s="28" t="s">
        <v>60</v>
      </c>
    </row>
    <row r="19" spans="1:5" ht="12.75">
      <c r="A19" s="29" t="s">
        <v>52</v>
      </c>
      <c r="E19" s="30" t="s">
        <v>61</v>
      </c>
    </row>
    <row r="20" spans="1:5" ht="25.5">
      <c r="A20" t="s">
        <v>54</v>
      </c>
      <c r="E20" s="28" t="s">
        <v>55</v>
      </c>
    </row>
    <row r="21" spans="1:16" ht="12.75">
      <c r="A21" s="18" t="s">
        <v>44</v>
      </c>
      <c r="B21" s="22" t="s">
        <v>30</v>
      </c>
      <c r="C21" s="22" t="s">
        <v>56</v>
      </c>
      <c r="D21" s="18" t="s">
        <v>19</v>
      </c>
      <c r="E21" s="23" t="s">
        <v>47</v>
      </c>
      <c r="F21" s="24" t="s">
        <v>57</v>
      </c>
      <c r="G21" s="25">
        <v>17.16</v>
      </c>
      <c r="H21" s="26"/>
      <c r="I21" s="26">
        <f>ROUND(ROUND(H21,2)*ROUND(G21,3),2)</f>
        <v>0</v>
      </c>
      <c r="J21" s="24" t="s">
        <v>49</v>
      </c>
      <c r="O21">
        <f>(I21*21)/100</f>
        <v>0</v>
      </c>
      <c r="P21" t="s">
        <v>20</v>
      </c>
    </row>
    <row r="22" spans="1:5" ht="12.75">
      <c r="A22" s="27" t="s">
        <v>50</v>
      </c>
      <c r="E22" s="28" t="s">
        <v>62</v>
      </c>
    </row>
    <row r="23" spans="1:5" ht="12.75">
      <c r="A23" s="29" t="s">
        <v>52</v>
      </c>
      <c r="E23" s="30" t="s">
        <v>63</v>
      </c>
    </row>
    <row r="24" spans="1:5" ht="25.5">
      <c r="A24" t="s">
        <v>54</v>
      </c>
      <c r="E24" s="28" t="s">
        <v>55</v>
      </c>
    </row>
    <row r="25" spans="1:18" ht="12.75" customHeight="1">
      <c r="A25" s="5" t="s">
        <v>42</v>
      </c>
      <c r="B25" s="5"/>
      <c r="C25" s="31" t="s">
        <v>26</v>
      </c>
      <c r="D25" s="5"/>
      <c r="E25" s="20" t="s">
        <v>64</v>
      </c>
      <c r="F25" s="5"/>
      <c r="G25" s="5"/>
      <c r="H25" s="5"/>
      <c r="I25" s="32">
        <f>0+Q25</f>
        <v>0</v>
      </c>
      <c r="J25" s="5"/>
      <c r="O25">
        <f>0+R25</f>
        <v>0</v>
      </c>
      <c r="Q25">
        <f>0+I26+I30+I34+I38+I42+I46+I50+I54+I58+I62+I66+I70+I74+I78+I82+I86</f>
        <v>0</v>
      </c>
      <c r="R25">
        <f>0+O26+O30+O34+O38+O42+O46+O50+O54+O58+O62+O66+O70+O74+O78+O82+O86</f>
        <v>0</v>
      </c>
    </row>
    <row r="26" spans="1:16" ht="25.5">
      <c r="A26" s="18" t="s">
        <v>44</v>
      </c>
      <c r="B26" s="22" t="s">
        <v>32</v>
      </c>
      <c r="C26" s="22" t="s">
        <v>65</v>
      </c>
      <c r="D26" s="18" t="s">
        <v>46</v>
      </c>
      <c r="E26" s="23" t="s">
        <v>66</v>
      </c>
      <c r="F26" s="24" t="s">
        <v>48</v>
      </c>
      <c r="G26" s="25">
        <v>55.63</v>
      </c>
      <c r="H26" s="26"/>
      <c r="I26" s="26">
        <f>ROUND(ROUND(H26,2)*ROUND(G26,3),2)</f>
        <v>0</v>
      </c>
      <c r="J26" s="24" t="s">
        <v>49</v>
      </c>
      <c r="O26">
        <f>(I26*21)/100</f>
        <v>0</v>
      </c>
      <c r="P26" t="s">
        <v>20</v>
      </c>
    </row>
    <row r="27" spans="1:5" ht="12.75">
      <c r="A27" s="27" t="s">
        <v>50</v>
      </c>
      <c r="E27" s="28" t="s">
        <v>46</v>
      </c>
    </row>
    <row r="28" spans="1:5" ht="12.75">
      <c r="A28" s="29" t="s">
        <v>52</v>
      </c>
      <c r="E28" s="30" t="s">
        <v>67</v>
      </c>
    </row>
    <row r="29" spans="1:5" ht="63.75">
      <c r="A29" t="s">
        <v>54</v>
      </c>
      <c r="E29" s="28" t="s">
        <v>68</v>
      </c>
    </row>
    <row r="30" spans="1:16" ht="12.75">
      <c r="A30" s="18" t="s">
        <v>44</v>
      </c>
      <c r="B30" s="22" t="s">
        <v>34</v>
      </c>
      <c r="C30" s="22" t="s">
        <v>69</v>
      </c>
      <c r="D30" s="18" t="s">
        <v>46</v>
      </c>
      <c r="E30" s="23" t="s">
        <v>70</v>
      </c>
      <c r="F30" s="24" t="s">
        <v>48</v>
      </c>
      <c r="G30" s="25">
        <v>0.48</v>
      </c>
      <c r="H30" s="26"/>
      <c r="I30" s="26">
        <f>ROUND(ROUND(H30,2)*ROUND(G30,3),2)</f>
        <v>0</v>
      </c>
      <c r="J30" s="24" t="s">
        <v>49</v>
      </c>
      <c r="O30">
        <f>(I30*21)/100</f>
        <v>0</v>
      </c>
      <c r="P30" t="s">
        <v>20</v>
      </c>
    </row>
    <row r="31" spans="1:5" ht="12.75">
      <c r="A31" s="27" t="s">
        <v>50</v>
      </c>
      <c r="E31" s="28" t="s">
        <v>71</v>
      </c>
    </row>
    <row r="32" spans="1:5" ht="12.75">
      <c r="A32" s="29" t="s">
        <v>52</v>
      </c>
      <c r="E32" s="30" t="s">
        <v>72</v>
      </c>
    </row>
    <row r="33" spans="1:5" ht="63.75">
      <c r="A33" t="s">
        <v>54</v>
      </c>
      <c r="E33" s="28" t="s">
        <v>68</v>
      </c>
    </row>
    <row r="34" spans="1:16" ht="25.5">
      <c r="A34" s="18" t="s">
        <v>44</v>
      </c>
      <c r="B34" s="22" t="s">
        <v>73</v>
      </c>
      <c r="C34" s="22" t="s">
        <v>74</v>
      </c>
      <c r="D34" s="18" t="s">
        <v>46</v>
      </c>
      <c r="E34" s="23" t="s">
        <v>75</v>
      </c>
      <c r="F34" s="24" t="s">
        <v>48</v>
      </c>
      <c r="G34" s="25">
        <v>77.7</v>
      </c>
      <c r="H34" s="26"/>
      <c r="I34" s="26">
        <f>ROUND(ROUND(H34,2)*ROUND(G34,3),2)</f>
        <v>0</v>
      </c>
      <c r="J34" s="24" t="s">
        <v>49</v>
      </c>
      <c r="O34">
        <f>(I34*21)/100</f>
        <v>0</v>
      </c>
      <c r="P34" t="s">
        <v>20</v>
      </c>
    </row>
    <row r="35" spans="1:5" ht="12.75">
      <c r="A35" s="27" t="s">
        <v>50</v>
      </c>
      <c r="E35" s="28" t="s">
        <v>46</v>
      </c>
    </row>
    <row r="36" spans="1:5" ht="12.75">
      <c r="A36" s="29" t="s">
        <v>52</v>
      </c>
      <c r="E36" s="30" t="s">
        <v>76</v>
      </c>
    </row>
    <row r="37" spans="1:5" ht="63.75">
      <c r="A37" t="s">
        <v>54</v>
      </c>
      <c r="E37" s="28" t="s">
        <v>68</v>
      </c>
    </row>
    <row r="38" spans="1:16" ht="12.75">
      <c r="A38" s="18" t="s">
        <v>44</v>
      </c>
      <c r="B38" s="22" t="s">
        <v>77</v>
      </c>
      <c r="C38" s="22" t="s">
        <v>78</v>
      </c>
      <c r="D38" s="18" t="s">
        <v>46</v>
      </c>
      <c r="E38" s="23" t="s">
        <v>79</v>
      </c>
      <c r="F38" s="24" t="s">
        <v>80</v>
      </c>
      <c r="G38" s="25">
        <v>26.5</v>
      </c>
      <c r="H38" s="26"/>
      <c r="I38" s="26">
        <f>ROUND(ROUND(H38,2)*ROUND(G38,3),2)</f>
        <v>0</v>
      </c>
      <c r="J38" s="24" t="s">
        <v>49</v>
      </c>
      <c r="O38">
        <f>(I38*21)/100</f>
        <v>0</v>
      </c>
      <c r="P38" t="s">
        <v>20</v>
      </c>
    </row>
    <row r="39" spans="1:5" ht="12.75">
      <c r="A39" s="27" t="s">
        <v>50</v>
      </c>
      <c r="E39" s="28" t="s">
        <v>46</v>
      </c>
    </row>
    <row r="40" spans="1:5" ht="12.75">
      <c r="A40" s="29" t="s">
        <v>52</v>
      </c>
      <c r="E40" s="30" t="s">
        <v>81</v>
      </c>
    </row>
    <row r="41" spans="1:5" ht="63.75">
      <c r="A41" t="s">
        <v>54</v>
      </c>
      <c r="E41" s="28" t="s">
        <v>68</v>
      </c>
    </row>
    <row r="42" spans="1:16" ht="12.75">
      <c r="A42" s="18" t="s">
        <v>44</v>
      </c>
      <c r="B42" s="22" t="s">
        <v>37</v>
      </c>
      <c r="C42" s="22" t="s">
        <v>82</v>
      </c>
      <c r="D42" s="18" t="s">
        <v>46</v>
      </c>
      <c r="E42" s="23" t="s">
        <v>83</v>
      </c>
      <c r="F42" s="24" t="s">
        <v>84</v>
      </c>
      <c r="G42" s="25">
        <v>10.931</v>
      </c>
      <c r="H42" s="26"/>
      <c r="I42" s="26">
        <f>ROUND(ROUND(H42,2)*ROUND(G42,3),2)</f>
        <v>0</v>
      </c>
      <c r="J42" s="24" t="s">
        <v>49</v>
      </c>
      <c r="O42">
        <f>(I42*21)/100</f>
        <v>0</v>
      </c>
      <c r="P42" t="s">
        <v>20</v>
      </c>
    </row>
    <row r="43" spans="1:5" ht="12.75">
      <c r="A43" s="27" t="s">
        <v>50</v>
      </c>
      <c r="E43" s="28" t="s">
        <v>46</v>
      </c>
    </row>
    <row r="44" spans="1:5" ht="12.75">
      <c r="A44" s="29" t="s">
        <v>52</v>
      </c>
      <c r="E44" s="30" t="s">
        <v>85</v>
      </c>
    </row>
    <row r="45" spans="1:5" ht="25.5">
      <c r="A45" t="s">
        <v>54</v>
      </c>
      <c r="E45" s="28" t="s">
        <v>86</v>
      </c>
    </row>
    <row r="46" spans="1:16" ht="12.75">
      <c r="A46" s="18" t="s">
        <v>44</v>
      </c>
      <c r="B46" s="22" t="s">
        <v>39</v>
      </c>
      <c r="C46" s="22" t="s">
        <v>87</v>
      </c>
      <c r="D46" s="18" t="s">
        <v>46</v>
      </c>
      <c r="E46" s="23" t="s">
        <v>88</v>
      </c>
      <c r="F46" s="24" t="s">
        <v>48</v>
      </c>
      <c r="G46" s="25">
        <v>148.1</v>
      </c>
      <c r="H46" s="26"/>
      <c r="I46" s="26">
        <f>ROUND(ROUND(H46,2)*ROUND(G46,3),2)</f>
        <v>0</v>
      </c>
      <c r="J46" s="24" t="s">
        <v>49</v>
      </c>
      <c r="O46">
        <f>(I46*21)/100</f>
        <v>0</v>
      </c>
      <c r="P46" t="s">
        <v>20</v>
      </c>
    </row>
    <row r="47" spans="1:5" ht="12.75">
      <c r="A47" s="27" t="s">
        <v>50</v>
      </c>
      <c r="E47" s="28" t="s">
        <v>46</v>
      </c>
    </row>
    <row r="48" spans="1:5" ht="12.75">
      <c r="A48" s="29" t="s">
        <v>52</v>
      </c>
      <c r="E48" s="30" t="s">
        <v>46</v>
      </c>
    </row>
    <row r="49" spans="1:5" ht="369.75">
      <c r="A49" t="s">
        <v>54</v>
      </c>
      <c r="E49" s="28" t="s">
        <v>89</v>
      </c>
    </row>
    <row r="50" spans="1:16" ht="12.75">
      <c r="A50" s="18" t="s">
        <v>44</v>
      </c>
      <c r="B50" s="22" t="s">
        <v>41</v>
      </c>
      <c r="C50" s="22" t="s">
        <v>90</v>
      </c>
      <c r="D50" s="18" t="s">
        <v>46</v>
      </c>
      <c r="E50" s="23" t="s">
        <v>91</v>
      </c>
      <c r="F50" s="24" t="s">
        <v>48</v>
      </c>
      <c r="G50" s="25">
        <v>95.8</v>
      </c>
      <c r="H50" s="26"/>
      <c r="I50" s="26">
        <f>ROUND(ROUND(H50,2)*ROUND(G50,3),2)</f>
        <v>0</v>
      </c>
      <c r="J50" s="24" t="s">
        <v>49</v>
      </c>
      <c r="O50">
        <f>(I50*21)/100</f>
        <v>0</v>
      </c>
      <c r="P50" t="s">
        <v>20</v>
      </c>
    </row>
    <row r="51" spans="1:5" ht="12.75">
      <c r="A51" s="27" t="s">
        <v>50</v>
      </c>
      <c r="E51" s="28" t="s">
        <v>46</v>
      </c>
    </row>
    <row r="52" spans="1:5" ht="12.75">
      <c r="A52" s="29" t="s">
        <v>52</v>
      </c>
      <c r="E52" s="30" t="s">
        <v>92</v>
      </c>
    </row>
    <row r="53" spans="1:5" ht="293.25">
      <c r="A53" t="s">
        <v>54</v>
      </c>
      <c r="E53" s="28" t="s">
        <v>93</v>
      </c>
    </row>
    <row r="54" spans="1:16" ht="12.75">
      <c r="A54" s="18" t="s">
        <v>44</v>
      </c>
      <c r="B54" s="22" t="s">
        <v>94</v>
      </c>
      <c r="C54" s="22" t="s">
        <v>95</v>
      </c>
      <c r="D54" s="18" t="s">
        <v>46</v>
      </c>
      <c r="E54" s="23" t="s">
        <v>96</v>
      </c>
      <c r="F54" s="24" t="s">
        <v>48</v>
      </c>
      <c r="G54" s="25">
        <v>313.6</v>
      </c>
      <c r="H54" s="26"/>
      <c r="I54" s="26">
        <f>ROUND(ROUND(H54,2)*ROUND(G54,3),2)</f>
        <v>0</v>
      </c>
      <c r="J54" s="24" t="s">
        <v>49</v>
      </c>
      <c r="O54">
        <f>(I54*21)/100</f>
        <v>0</v>
      </c>
      <c r="P54" t="s">
        <v>20</v>
      </c>
    </row>
    <row r="55" spans="1:5" ht="12.75">
      <c r="A55" s="27" t="s">
        <v>50</v>
      </c>
      <c r="E55" s="28" t="s">
        <v>46</v>
      </c>
    </row>
    <row r="56" spans="1:5" ht="12.75">
      <c r="A56" s="29" t="s">
        <v>52</v>
      </c>
      <c r="E56" s="30" t="s">
        <v>46</v>
      </c>
    </row>
    <row r="57" spans="1:5" ht="280.5">
      <c r="A57" t="s">
        <v>54</v>
      </c>
      <c r="E57" s="28" t="s">
        <v>97</v>
      </c>
    </row>
    <row r="58" spans="1:16" ht="12.75">
      <c r="A58" s="18" t="s">
        <v>44</v>
      </c>
      <c r="B58" s="22" t="s">
        <v>98</v>
      </c>
      <c r="C58" s="22" t="s">
        <v>99</v>
      </c>
      <c r="D58" s="18" t="s">
        <v>46</v>
      </c>
      <c r="E58" s="23" t="s">
        <v>100</v>
      </c>
      <c r="F58" s="24" t="s">
        <v>48</v>
      </c>
      <c r="G58" s="25">
        <v>16.8</v>
      </c>
      <c r="H58" s="26"/>
      <c r="I58" s="26">
        <f>ROUND(ROUND(H58,2)*ROUND(G58,3),2)</f>
        <v>0</v>
      </c>
      <c r="J58" s="24" t="s">
        <v>49</v>
      </c>
      <c r="O58">
        <f>(I58*21)/100</f>
        <v>0</v>
      </c>
      <c r="P58" t="s">
        <v>20</v>
      </c>
    </row>
    <row r="59" spans="1:5" ht="12.75">
      <c r="A59" s="27" t="s">
        <v>50</v>
      </c>
      <c r="E59" s="28" t="s">
        <v>101</v>
      </c>
    </row>
    <row r="60" spans="1:5" ht="12.75">
      <c r="A60" s="29" t="s">
        <v>52</v>
      </c>
      <c r="E60" s="30" t="s">
        <v>46</v>
      </c>
    </row>
    <row r="61" spans="1:5" ht="293.25">
      <c r="A61" t="s">
        <v>54</v>
      </c>
      <c r="E61" s="28" t="s">
        <v>102</v>
      </c>
    </row>
    <row r="62" spans="1:16" ht="12.75">
      <c r="A62" s="18" t="s">
        <v>44</v>
      </c>
      <c r="B62" s="22" t="s">
        <v>103</v>
      </c>
      <c r="C62" s="22" t="s">
        <v>104</v>
      </c>
      <c r="D62" s="18" t="s">
        <v>46</v>
      </c>
      <c r="E62" s="23" t="s">
        <v>105</v>
      </c>
      <c r="F62" s="24" t="s">
        <v>106</v>
      </c>
      <c r="G62" s="25">
        <v>921.638</v>
      </c>
      <c r="H62" s="26"/>
      <c r="I62" s="26">
        <f>ROUND(ROUND(H62,2)*ROUND(G62,3),2)</f>
        <v>0</v>
      </c>
      <c r="J62" s="24" t="s">
        <v>49</v>
      </c>
      <c r="O62">
        <f>(I62*21)/100</f>
        <v>0</v>
      </c>
      <c r="P62" t="s">
        <v>20</v>
      </c>
    </row>
    <row r="63" spans="1:5" ht="12.75">
      <c r="A63" s="27" t="s">
        <v>50</v>
      </c>
      <c r="E63" s="28" t="s">
        <v>46</v>
      </c>
    </row>
    <row r="64" spans="1:5" ht="12.75">
      <c r="A64" s="29" t="s">
        <v>52</v>
      </c>
      <c r="E64" s="30" t="s">
        <v>107</v>
      </c>
    </row>
    <row r="65" spans="1:5" ht="25.5">
      <c r="A65" t="s">
        <v>54</v>
      </c>
      <c r="E65" s="28" t="s">
        <v>108</v>
      </c>
    </row>
    <row r="66" spans="1:16" ht="12.75">
      <c r="A66" s="18" t="s">
        <v>44</v>
      </c>
      <c r="B66" s="22" t="s">
        <v>109</v>
      </c>
      <c r="C66" s="22" t="s">
        <v>110</v>
      </c>
      <c r="D66" s="18" t="s">
        <v>46</v>
      </c>
      <c r="E66" s="23" t="s">
        <v>111</v>
      </c>
      <c r="F66" s="24" t="s">
        <v>106</v>
      </c>
      <c r="G66" s="25">
        <v>395</v>
      </c>
      <c r="H66" s="26"/>
      <c r="I66" s="26">
        <f>ROUND(ROUND(H66,2)*ROUND(G66,3),2)</f>
        <v>0</v>
      </c>
      <c r="J66" s="24" t="s">
        <v>49</v>
      </c>
      <c r="O66">
        <f>(I66*21)/100</f>
        <v>0</v>
      </c>
      <c r="P66" t="s">
        <v>20</v>
      </c>
    </row>
    <row r="67" spans="1:5" ht="12.75">
      <c r="A67" s="27" t="s">
        <v>50</v>
      </c>
      <c r="E67" s="28" t="s">
        <v>46</v>
      </c>
    </row>
    <row r="68" spans="1:5" ht="12.75">
      <c r="A68" s="29" t="s">
        <v>52</v>
      </c>
      <c r="E68" s="30" t="s">
        <v>112</v>
      </c>
    </row>
    <row r="69" spans="1:5" ht="12.75">
      <c r="A69" t="s">
        <v>54</v>
      </c>
      <c r="E69" s="28" t="s">
        <v>113</v>
      </c>
    </row>
    <row r="70" spans="1:16" ht="12.75">
      <c r="A70" s="18" t="s">
        <v>44</v>
      </c>
      <c r="B70" s="22" t="s">
        <v>114</v>
      </c>
      <c r="C70" s="22" t="s">
        <v>115</v>
      </c>
      <c r="D70" s="18" t="s">
        <v>46</v>
      </c>
      <c r="E70" s="23" t="s">
        <v>116</v>
      </c>
      <c r="F70" s="24" t="s">
        <v>106</v>
      </c>
      <c r="G70" s="25">
        <v>395</v>
      </c>
      <c r="H70" s="26"/>
      <c r="I70" s="26">
        <f>ROUND(ROUND(H70,2)*ROUND(G70,3),2)</f>
        <v>0</v>
      </c>
      <c r="J70" s="24" t="s">
        <v>49</v>
      </c>
      <c r="O70">
        <f>(I70*21)/100</f>
        <v>0</v>
      </c>
      <c r="P70" t="s">
        <v>20</v>
      </c>
    </row>
    <row r="71" spans="1:5" ht="12.75">
      <c r="A71" s="27" t="s">
        <v>50</v>
      </c>
      <c r="E71" s="28" t="s">
        <v>46</v>
      </c>
    </row>
    <row r="72" spans="1:5" ht="12.75">
      <c r="A72" s="29" t="s">
        <v>52</v>
      </c>
      <c r="E72" s="30" t="s">
        <v>112</v>
      </c>
    </row>
    <row r="73" spans="1:5" ht="38.25">
      <c r="A73" t="s">
        <v>54</v>
      </c>
      <c r="E73" s="28" t="s">
        <v>117</v>
      </c>
    </row>
    <row r="74" spans="1:16" ht="12.75">
      <c r="A74" s="18" t="s">
        <v>44</v>
      </c>
      <c r="B74" s="22" t="s">
        <v>118</v>
      </c>
      <c r="C74" s="22" t="s">
        <v>119</v>
      </c>
      <c r="D74" s="18" t="s">
        <v>46</v>
      </c>
      <c r="E74" s="23" t="s">
        <v>120</v>
      </c>
      <c r="F74" s="24" t="s">
        <v>106</v>
      </c>
      <c r="G74" s="25">
        <v>395</v>
      </c>
      <c r="H74" s="26"/>
      <c r="I74" s="26">
        <f>ROUND(ROUND(H74,2)*ROUND(G74,3),2)</f>
        <v>0</v>
      </c>
      <c r="J74" s="24" t="s">
        <v>49</v>
      </c>
      <c r="O74">
        <f>(I74*21)/100</f>
        <v>0</v>
      </c>
      <c r="P74" t="s">
        <v>20</v>
      </c>
    </row>
    <row r="75" spans="1:5" ht="12.75">
      <c r="A75" s="27" t="s">
        <v>50</v>
      </c>
      <c r="E75" s="28" t="s">
        <v>46</v>
      </c>
    </row>
    <row r="76" spans="1:5" ht="12.75">
      <c r="A76" s="29" t="s">
        <v>52</v>
      </c>
      <c r="E76" s="30" t="s">
        <v>112</v>
      </c>
    </row>
    <row r="77" spans="1:5" ht="25.5">
      <c r="A77" t="s">
        <v>54</v>
      </c>
      <c r="E77" s="28" t="s">
        <v>121</v>
      </c>
    </row>
    <row r="78" spans="1:16" ht="12.75">
      <c r="A78" s="18" t="s">
        <v>44</v>
      </c>
      <c r="B78" s="22" t="s">
        <v>122</v>
      </c>
      <c r="C78" s="22" t="s">
        <v>123</v>
      </c>
      <c r="D78" s="18" t="s">
        <v>46</v>
      </c>
      <c r="E78" s="23" t="s">
        <v>124</v>
      </c>
      <c r="F78" s="24" t="s">
        <v>106</v>
      </c>
      <c r="G78" s="25">
        <v>395</v>
      </c>
      <c r="H78" s="26"/>
      <c r="I78" s="26">
        <f>ROUND(ROUND(H78,2)*ROUND(G78,3),2)</f>
        <v>0</v>
      </c>
      <c r="J78" s="24" t="s">
        <v>49</v>
      </c>
      <c r="O78">
        <f>(I78*21)/100</f>
        <v>0</v>
      </c>
      <c r="P78" t="s">
        <v>20</v>
      </c>
    </row>
    <row r="79" spans="1:5" ht="12.75">
      <c r="A79" s="27" t="s">
        <v>50</v>
      </c>
      <c r="E79" s="28" t="s">
        <v>46</v>
      </c>
    </row>
    <row r="80" spans="1:5" ht="12.75">
      <c r="A80" s="29" t="s">
        <v>52</v>
      </c>
      <c r="E80" s="30" t="s">
        <v>46</v>
      </c>
    </row>
    <row r="81" spans="1:5" ht="38.25">
      <c r="A81" t="s">
        <v>54</v>
      </c>
      <c r="E81" s="28" t="s">
        <v>125</v>
      </c>
    </row>
    <row r="82" spans="1:16" ht="12.75">
      <c r="A82" s="18" t="s">
        <v>44</v>
      </c>
      <c r="B82" s="22" t="s">
        <v>126</v>
      </c>
      <c r="C82" s="22" t="s">
        <v>127</v>
      </c>
      <c r="D82" s="18" t="s">
        <v>46</v>
      </c>
      <c r="E82" s="23" t="s">
        <v>128</v>
      </c>
      <c r="F82" s="24" t="s">
        <v>106</v>
      </c>
      <c r="G82" s="25">
        <v>395</v>
      </c>
      <c r="H82" s="26"/>
      <c r="I82" s="26">
        <f>ROUND(ROUND(H82,2)*ROUND(G82,3),2)</f>
        <v>0</v>
      </c>
      <c r="J82" s="24" t="s">
        <v>49</v>
      </c>
      <c r="O82">
        <f>(I82*21)/100</f>
        <v>0</v>
      </c>
      <c r="P82" t="s">
        <v>20</v>
      </c>
    </row>
    <row r="83" spans="1:5" ht="12.75">
      <c r="A83" s="27" t="s">
        <v>50</v>
      </c>
      <c r="E83" s="28" t="s">
        <v>46</v>
      </c>
    </row>
    <row r="84" spans="1:5" ht="12.75">
      <c r="A84" s="29" t="s">
        <v>52</v>
      </c>
      <c r="E84" s="30" t="s">
        <v>46</v>
      </c>
    </row>
    <row r="85" spans="1:5" ht="25.5">
      <c r="A85" t="s">
        <v>54</v>
      </c>
      <c r="E85" s="28" t="s">
        <v>129</v>
      </c>
    </row>
    <row r="86" spans="1:16" ht="12.75">
      <c r="A86" s="18" t="s">
        <v>44</v>
      </c>
      <c r="B86" s="22" t="s">
        <v>130</v>
      </c>
      <c r="C86" s="22" t="s">
        <v>131</v>
      </c>
      <c r="D86" s="18" t="s">
        <v>46</v>
      </c>
      <c r="E86" s="23" t="s">
        <v>132</v>
      </c>
      <c r="F86" s="24" t="s">
        <v>48</v>
      </c>
      <c r="G86" s="25">
        <v>19.75</v>
      </c>
      <c r="H86" s="26"/>
      <c r="I86" s="26">
        <f>ROUND(ROUND(H86,2)*ROUND(G86,3),2)</f>
        <v>0</v>
      </c>
      <c r="J86" s="24" t="s">
        <v>49</v>
      </c>
      <c r="O86">
        <f>(I86*21)/100</f>
        <v>0</v>
      </c>
      <c r="P86" t="s">
        <v>20</v>
      </c>
    </row>
    <row r="87" spans="1:5" ht="12.75">
      <c r="A87" s="27" t="s">
        <v>50</v>
      </c>
      <c r="E87" s="28" t="s">
        <v>46</v>
      </c>
    </row>
    <row r="88" spans="1:5" ht="12.75">
      <c r="A88" s="29" t="s">
        <v>52</v>
      </c>
      <c r="E88" s="30" t="s">
        <v>46</v>
      </c>
    </row>
    <row r="89" spans="1:5" ht="38.25">
      <c r="A89" t="s">
        <v>54</v>
      </c>
      <c r="E89" s="28" t="s">
        <v>133</v>
      </c>
    </row>
    <row r="90" spans="1:18" ht="12.75" customHeight="1">
      <c r="A90" s="5" t="s">
        <v>42</v>
      </c>
      <c r="B90" s="5"/>
      <c r="C90" s="31" t="s">
        <v>20</v>
      </c>
      <c r="D90" s="5"/>
      <c r="E90" s="20" t="s">
        <v>134</v>
      </c>
      <c r="F90" s="5"/>
      <c r="G90" s="5"/>
      <c r="H90" s="5"/>
      <c r="I90" s="32">
        <f>0+Q90</f>
        <v>0</v>
      </c>
      <c r="J90" s="5"/>
      <c r="O90">
        <f>0+R90</f>
        <v>0</v>
      </c>
      <c r="Q90">
        <f>0+I91</f>
        <v>0</v>
      </c>
      <c r="R90">
        <f>0+O91</f>
        <v>0</v>
      </c>
    </row>
    <row r="91" spans="1:16" ht="12.75">
      <c r="A91" s="18" t="s">
        <v>44</v>
      </c>
      <c r="B91" s="22" t="s">
        <v>135</v>
      </c>
      <c r="C91" s="22" t="s">
        <v>136</v>
      </c>
      <c r="D91" s="18" t="s">
        <v>46</v>
      </c>
      <c r="E91" s="23" t="s">
        <v>137</v>
      </c>
      <c r="F91" s="24" t="s">
        <v>106</v>
      </c>
      <c r="G91" s="25">
        <v>133.4</v>
      </c>
      <c r="H91" s="26"/>
      <c r="I91" s="26">
        <f>ROUND(ROUND(H91,2)*ROUND(G91,3),2)</f>
        <v>0</v>
      </c>
      <c r="J91" s="24" t="s">
        <v>49</v>
      </c>
      <c r="O91">
        <f>(I91*21)/100</f>
        <v>0</v>
      </c>
      <c r="P91" t="s">
        <v>20</v>
      </c>
    </row>
    <row r="92" spans="1:5" ht="12.75">
      <c r="A92" s="27" t="s">
        <v>50</v>
      </c>
      <c r="E92" s="28" t="s">
        <v>138</v>
      </c>
    </row>
    <row r="93" spans="1:5" ht="12.75">
      <c r="A93" s="29" t="s">
        <v>52</v>
      </c>
      <c r="E93" s="30" t="s">
        <v>46</v>
      </c>
    </row>
    <row r="94" spans="1:5" ht="38.25">
      <c r="A94" t="s">
        <v>54</v>
      </c>
      <c r="E94" s="28" t="s">
        <v>139</v>
      </c>
    </row>
    <row r="95" spans="1:18" ht="12.75" customHeight="1">
      <c r="A95" s="5" t="s">
        <v>42</v>
      </c>
      <c r="B95" s="5"/>
      <c r="C95" s="31" t="s">
        <v>30</v>
      </c>
      <c r="D95" s="5"/>
      <c r="E95" s="20" t="s">
        <v>140</v>
      </c>
      <c r="F95" s="5"/>
      <c r="G95" s="5"/>
      <c r="H95" s="5"/>
      <c r="I95" s="32">
        <f>0+Q95</f>
        <v>0</v>
      </c>
      <c r="J95" s="5"/>
      <c r="O95">
        <f>0+R95</f>
        <v>0</v>
      </c>
      <c r="Q95">
        <f>0+I96+I100</f>
        <v>0</v>
      </c>
      <c r="R95">
        <f>0+O96+O100</f>
        <v>0</v>
      </c>
    </row>
    <row r="96" spans="1:16" ht="12.75">
      <c r="A96" s="18" t="s">
        <v>44</v>
      </c>
      <c r="B96" s="22" t="s">
        <v>141</v>
      </c>
      <c r="C96" s="22" t="s">
        <v>142</v>
      </c>
      <c r="D96" s="18" t="s">
        <v>46</v>
      </c>
      <c r="E96" s="23" t="s">
        <v>143</v>
      </c>
      <c r="F96" s="24" t="s">
        <v>48</v>
      </c>
      <c r="G96" s="25">
        <v>15.68</v>
      </c>
      <c r="H96" s="26"/>
      <c r="I96" s="26">
        <f>ROUND(ROUND(H96,2)*ROUND(G96,3),2)</f>
        <v>0</v>
      </c>
      <c r="J96" s="24" t="s">
        <v>49</v>
      </c>
      <c r="O96">
        <f>(I96*21)/100</f>
        <v>0</v>
      </c>
      <c r="P96" t="s">
        <v>20</v>
      </c>
    </row>
    <row r="97" spans="1:5" ht="12.75">
      <c r="A97" s="27" t="s">
        <v>50</v>
      </c>
      <c r="E97" s="28" t="s">
        <v>46</v>
      </c>
    </row>
    <row r="98" spans="1:5" ht="12.75">
      <c r="A98" s="29" t="s">
        <v>52</v>
      </c>
      <c r="E98" s="30" t="s">
        <v>144</v>
      </c>
    </row>
    <row r="99" spans="1:5" ht="102">
      <c r="A99" t="s">
        <v>54</v>
      </c>
      <c r="E99" s="28" t="s">
        <v>145</v>
      </c>
    </row>
    <row r="100" spans="1:16" ht="12.75">
      <c r="A100" s="18" t="s">
        <v>44</v>
      </c>
      <c r="B100" s="22" t="s">
        <v>146</v>
      </c>
      <c r="C100" s="22" t="s">
        <v>147</v>
      </c>
      <c r="D100" s="18" t="s">
        <v>46</v>
      </c>
      <c r="E100" s="23" t="s">
        <v>148</v>
      </c>
      <c r="F100" s="24" t="s">
        <v>48</v>
      </c>
      <c r="G100" s="25">
        <v>29.36</v>
      </c>
      <c r="H100" s="26"/>
      <c r="I100" s="26">
        <f>ROUND(ROUND(H100,2)*ROUND(G100,3),2)</f>
        <v>0</v>
      </c>
      <c r="J100" s="24" t="s">
        <v>49</v>
      </c>
      <c r="O100">
        <f>(I100*21)/100</f>
        <v>0</v>
      </c>
      <c r="P100" t="s">
        <v>20</v>
      </c>
    </row>
    <row r="101" spans="1:5" ht="12.75">
      <c r="A101" s="27" t="s">
        <v>50</v>
      </c>
      <c r="E101" s="28" t="s">
        <v>46</v>
      </c>
    </row>
    <row r="102" spans="1:5" ht="12.75">
      <c r="A102" s="29" t="s">
        <v>52</v>
      </c>
      <c r="E102" s="30" t="s">
        <v>149</v>
      </c>
    </row>
    <row r="103" spans="1:5" ht="369.75">
      <c r="A103" t="s">
        <v>54</v>
      </c>
      <c r="E103" s="28" t="s">
        <v>150</v>
      </c>
    </row>
    <row r="104" spans="1:18" ht="12.75" customHeight="1">
      <c r="A104" s="5" t="s">
        <v>42</v>
      </c>
      <c r="B104" s="5"/>
      <c r="C104" s="31" t="s">
        <v>32</v>
      </c>
      <c r="D104" s="5"/>
      <c r="E104" s="20" t="s">
        <v>151</v>
      </c>
      <c r="F104" s="5"/>
      <c r="G104" s="5"/>
      <c r="H104" s="5"/>
      <c r="I104" s="32">
        <f>0+Q104</f>
        <v>0</v>
      </c>
      <c r="J104" s="5"/>
      <c r="O104">
        <f>0+R104</f>
        <v>0</v>
      </c>
      <c r="Q104">
        <f>0+I105+I109+I113+I117+I121+I125+I129+I133+I137+I141+I145+I149+I153</f>
        <v>0</v>
      </c>
      <c r="R104">
        <f>0+O105+O109+O113+O117+O121+O125+O129+O133+O137+O141+O145+O149+O153</f>
        <v>0</v>
      </c>
    </row>
    <row r="105" spans="1:16" ht="12.75">
      <c r="A105" s="18" t="s">
        <v>44</v>
      </c>
      <c r="B105" s="22" t="s">
        <v>152</v>
      </c>
      <c r="C105" s="22" t="s">
        <v>153</v>
      </c>
      <c r="D105" s="18" t="s">
        <v>46</v>
      </c>
      <c r="E105" s="23" t="s">
        <v>154</v>
      </c>
      <c r="F105" s="24" t="s">
        <v>106</v>
      </c>
      <c r="G105" s="25">
        <v>559.74</v>
      </c>
      <c r="H105" s="26"/>
      <c r="I105" s="26">
        <f>ROUND(ROUND(H105,2)*ROUND(G105,3),2)</f>
        <v>0</v>
      </c>
      <c r="J105" s="24" t="s">
        <v>49</v>
      </c>
      <c r="O105">
        <f>(I105*21)/100</f>
        <v>0</v>
      </c>
      <c r="P105" t="s">
        <v>20</v>
      </c>
    </row>
    <row r="106" spans="1:5" ht="12.75">
      <c r="A106" s="27" t="s">
        <v>50</v>
      </c>
      <c r="E106" s="28" t="s">
        <v>46</v>
      </c>
    </row>
    <row r="107" spans="1:5" ht="12.75">
      <c r="A107" s="29" t="s">
        <v>52</v>
      </c>
      <c r="E107" s="30" t="s">
        <v>155</v>
      </c>
    </row>
    <row r="108" spans="1:5" ht="140.25">
      <c r="A108" t="s">
        <v>54</v>
      </c>
      <c r="E108" s="28" t="s">
        <v>156</v>
      </c>
    </row>
    <row r="109" spans="1:16" ht="12.75">
      <c r="A109" s="18" t="s">
        <v>44</v>
      </c>
      <c r="B109" s="22" t="s">
        <v>157</v>
      </c>
      <c r="C109" s="22" t="s">
        <v>158</v>
      </c>
      <c r="D109" s="18" t="s">
        <v>46</v>
      </c>
      <c r="E109" s="23" t="s">
        <v>159</v>
      </c>
      <c r="F109" s="24" t="s">
        <v>106</v>
      </c>
      <c r="G109" s="25">
        <v>559.74</v>
      </c>
      <c r="H109" s="26"/>
      <c r="I109" s="26">
        <f>ROUND(ROUND(H109,2)*ROUND(G109,3),2)</f>
        <v>0</v>
      </c>
      <c r="J109" s="24" t="s">
        <v>49</v>
      </c>
      <c r="O109">
        <f>(I109*21)/100</f>
        <v>0</v>
      </c>
      <c r="P109" t="s">
        <v>20</v>
      </c>
    </row>
    <row r="110" spans="1:5" ht="12.75">
      <c r="A110" s="27" t="s">
        <v>50</v>
      </c>
      <c r="E110" s="28" t="s">
        <v>46</v>
      </c>
    </row>
    <row r="111" spans="1:5" ht="12.75">
      <c r="A111" s="29" t="s">
        <v>52</v>
      </c>
      <c r="E111" s="30" t="s">
        <v>155</v>
      </c>
    </row>
    <row r="112" spans="1:5" ht="51">
      <c r="A112" t="s">
        <v>54</v>
      </c>
      <c r="E112" s="28" t="s">
        <v>160</v>
      </c>
    </row>
    <row r="113" spans="1:16" ht="12.75">
      <c r="A113" s="18" t="s">
        <v>44</v>
      </c>
      <c r="B113" s="22" t="s">
        <v>161</v>
      </c>
      <c r="C113" s="22" t="s">
        <v>162</v>
      </c>
      <c r="D113" s="18" t="s">
        <v>46</v>
      </c>
      <c r="E113" s="23" t="s">
        <v>163</v>
      </c>
      <c r="F113" s="24" t="s">
        <v>106</v>
      </c>
      <c r="G113" s="25">
        <v>547.74</v>
      </c>
      <c r="H113" s="26"/>
      <c r="I113" s="26">
        <f>ROUND(ROUND(H113,2)*ROUND(G113,3),2)</f>
        <v>0</v>
      </c>
      <c r="J113" s="24" t="s">
        <v>49</v>
      </c>
      <c r="O113">
        <f>(I113*21)/100</f>
        <v>0</v>
      </c>
      <c r="P113" t="s">
        <v>20</v>
      </c>
    </row>
    <row r="114" spans="1:5" ht="12.75">
      <c r="A114" s="27" t="s">
        <v>50</v>
      </c>
      <c r="E114" s="28" t="s">
        <v>46</v>
      </c>
    </row>
    <row r="115" spans="1:5" ht="12.75">
      <c r="A115" s="29" t="s">
        <v>52</v>
      </c>
      <c r="E115" s="30" t="s">
        <v>164</v>
      </c>
    </row>
    <row r="116" spans="1:5" ht="51">
      <c r="A116" t="s">
        <v>54</v>
      </c>
      <c r="E116" s="28" t="s">
        <v>160</v>
      </c>
    </row>
    <row r="117" spans="1:16" ht="12.75">
      <c r="A117" s="18" t="s">
        <v>44</v>
      </c>
      <c r="B117" s="22" t="s">
        <v>165</v>
      </c>
      <c r="C117" s="22" t="s">
        <v>166</v>
      </c>
      <c r="D117" s="18" t="s">
        <v>46</v>
      </c>
      <c r="E117" s="23" t="s">
        <v>167</v>
      </c>
      <c r="F117" s="24" t="s">
        <v>106</v>
      </c>
      <c r="G117" s="25">
        <v>547.74</v>
      </c>
      <c r="H117" s="26"/>
      <c r="I117" s="26">
        <f>ROUND(ROUND(H117,2)*ROUND(G117,3),2)</f>
        <v>0</v>
      </c>
      <c r="J117" s="24" t="s">
        <v>49</v>
      </c>
      <c r="O117">
        <f>(I117*21)/100</f>
        <v>0</v>
      </c>
      <c r="P117" t="s">
        <v>20</v>
      </c>
    </row>
    <row r="118" spans="1:5" ht="12.75">
      <c r="A118" s="27" t="s">
        <v>50</v>
      </c>
      <c r="E118" s="28" t="s">
        <v>46</v>
      </c>
    </row>
    <row r="119" spans="1:5" ht="12.75">
      <c r="A119" s="29" t="s">
        <v>52</v>
      </c>
      <c r="E119" s="30" t="s">
        <v>164</v>
      </c>
    </row>
    <row r="120" spans="1:5" ht="140.25">
      <c r="A120" t="s">
        <v>54</v>
      </c>
      <c r="E120" s="28" t="s">
        <v>156</v>
      </c>
    </row>
    <row r="121" spans="1:16" ht="12.75">
      <c r="A121" s="18" t="s">
        <v>44</v>
      </c>
      <c r="B121" s="22" t="s">
        <v>168</v>
      </c>
      <c r="C121" s="22" t="s">
        <v>169</v>
      </c>
      <c r="D121" s="18" t="s">
        <v>26</v>
      </c>
      <c r="E121" s="23" t="s">
        <v>170</v>
      </c>
      <c r="F121" s="24" t="s">
        <v>106</v>
      </c>
      <c r="G121" s="25">
        <v>547.74</v>
      </c>
      <c r="H121" s="26"/>
      <c r="I121" s="26">
        <f>ROUND(ROUND(H121,2)*ROUND(G121,3),2)</f>
        <v>0</v>
      </c>
      <c r="J121" s="24" t="s">
        <v>49</v>
      </c>
      <c r="O121">
        <f>(I121*21)/100</f>
        <v>0</v>
      </c>
      <c r="P121" t="s">
        <v>20</v>
      </c>
    </row>
    <row r="122" spans="1:5" ht="12.75">
      <c r="A122" s="27" t="s">
        <v>50</v>
      </c>
      <c r="E122" s="28" t="s">
        <v>171</v>
      </c>
    </row>
    <row r="123" spans="1:5" ht="12.75">
      <c r="A123" s="29" t="s">
        <v>52</v>
      </c>
      <c r="E123" s="30" t="s">
        <v>164</v>
      </c>
    </row>
    <row r="124" spans="1:5" ht="51">
      <c r="A124" t="s">
        <v>54</v>
      </c>
      <c r="E124" s="28" t="s">
        <v>172</v>
      </c>
    </row>
    <row r="125" spans="1:16" ht="12.75">
      <c r="A125" s="18" t="s">
        <v>44</v>
      </c>
      <c r="B125" s="22" t="s">
        <v>173</v>
      </c>
      <c r="C125" s="22" t="s">
        <v>169</v>
      </c>
      <c r="D125" s="18" t="s">
        <v>20</v>
      </c>
      <c r="E125" s="23" t="s">
        <v>170</v>
      </c>
      <c r="F125" s="24" t="s">
        <v>106</v>
      </c>
      <c r="G125" s="25">
        <v>599.24</v>
      </c>
      <c r="H125" s="26"/>
      <c r="I125" s="26">
        <f>ROUND(ROUND(H125,2)*ROUND(G125,3),2)</f>
        <v>0</v>
      </c>
      <c r="J125" s="24" t="s">
        <v>49</v>
      </c>
      <c r="O125">
        <f>(I125*21)/100</f>
        <v>0</v>
      </c>
      <c r="P125" t="s">
        <v>20</v>
      </c>
    </row>
    <row r="126" spans="1:5" ht="12.75">
      <c r="A126" s="27" t="s">
        <v>50</v>
      </c>
      <c r="E126" s="28" t="s">
        <v>174</v>
      </c>
    </row>
    <row r="127" spans="1:5" ht="12.75">
      <c r="A127" s="29" t="s">
        <v>52</v>
      </c>
      <c r="E127" s="30" t="s">
        <v>175</v>
      </c>
    </row>
    <row r="128" spans="1:5" ht="51">
      <c r="A128" t="s">
        <v>54</v>
      </c>
      <c r="E128" s="28" t="s">
        <v>172</v>
      </c>
    </row>
    <row r="129" spans="1:16" ht="12.75">
      <c r="A129" s="18" t="s">
        <v>44</v>
      </c>
      <c r="B129" s="22" t="s">
        <v>176</v>
      </c>
      <c r="C129" s="22" t="s">
        <v>177</v>
      </c>
      <c r="D129" s="18" t="s">
        <v>46</v>
      </c>
      <c r="E129" s="23" t="s">
        <v>178</v>
      </c>
      <c r="F129" s="24" t="s">
        <v>106</v>
      </c>
      <c r="G129" s="25">
        <v>140.5</v>
      </c>
      <c r="H129" s="26"/>
      <c r="I129" s="26">
        <f>ROUND(ROUND(H129,2)*ROUND(G129,3),2)</f>
        <v>0</v>
      </c>
      <c r="J129" s="24" t="s">
        <v>49</v>
      </c>
      <c r="O129">
        <f>(I129*21)/100</f>
        <v>0</v>
      </c>
      <c r="P129" t="s">
        <v>20</v>
      </c>
    </row>
    <row r="130" spans="1:5" ht="12.75">
      <c r="A130" s="27" t="s">
        <v>50</v>
      </c>
      <c r="E130" s="28" t="s">
        <v>174</v>
      </c>
    </row>
    <row r="131" spans="1:5" ht="12.75">
      <c r="A131" s="29" t="s">
        <v>52</v>
      </c>
      <c r="E131" s="30" t="s">
        <v>179</v>
      </c>
    </row>
    <row r="132" spans="1:5" ht="51">
      <c r="A132" t="s">
        <v>54</v>
      </c>
      <c r="E132" s="28" t="s">
        <v>172</v>
      </c>
    </row>
    <row r="133" spans="1:16" ht="12.75">
      <c r="A133" s="18" t="s">
        <v>44</v>
      </c>
      <c r="B133" s="22" t="s">
        <v>180</v>
      </c>
      <c r="C133" s="22" t="s">
        <v>181</v>
      </c>
      <c r="D133" s="18" t="s">
        <v>46</v>
      </c>
      <c r="E133" s="23" t="s">
        <v>182</v>
      </c>
      <c r="F133" s="24" t="s">
        <v>106</v>
      </c>
      <c r="G133" s="25">
        <v>99.9</v>
      </c>
      <c r="H133" s="26"/>
      <c r="I133" s="26">
        <f>ROUND(ROUND(H133,2)*ROUND(G133,3),2)</f>
        <v>0</v>
      </c>
      <c r="J133" s="24" t="s">
        <v>49</v>
      </c>
      <c r="O133">
        <f>(I133*21)/100</f>
        <v>0</v>
      </c>
      <c r="P133" t="s">
        <v>20</v>
      </c>
    </row>
    <row r="134" spans="1:5" ht="12.75">
      <c r="A134" s="27" t="s">
        <v>50</v>
      </c>
      <c r="E134" s="28" t="s">
        <v>46</v>
      </c>
    </row>
    <row r="135" spans="1:5" ht="12.75">
      <c r="A135" s="29" t="s">
        <v>52</v>
      </c>
      <c r="E135" s="30" t="s">
        <v>46</v>
      </c>
    </row>
    <row r="136" spans="1:5" ht="102">
      <c r="A136" t="s">
        <v>54</v>
      </c>
      <c r="E136" s="28" t="s">
        <v>183</v>
      </c>
    </row>
    <row r="137" spans="1:16" ht="12.75">
      <c r="A137" s="18" t="s">
        <v>44</v>
      </c>
      <c r="B137" s="22" t="s">
        <v>184</v>
      </c>
      <c r="C137" s="22" t="s">
        <v>185</v>
      </c>
      <c r="D137" s="18" t="s">
        <v>46</v>
      </c>
      <c r="E137" s="23" t="s">
        <v>186</v>
      </c>
      <c r="F137" s="24" t="s">
        <v>106</v>
      </c>
      <c r="G137" s="25">
        <v>31</v>
      </c>
      <c r="H137" s="26"/>
      <c r="I137" s="26">
        <f>ROUND(ROUND(H137,2)*ROUND(G137,3),2)</f>
        <v>0</v>
      </c>
      <c r="J137" s="24" t="s">
        <v>49</v>
      </c>
      <c r="O137">
        <f>(I137*21)/100</f>
        <v>0</v>
      </c>
      <c r="P137" t="s">
        <v>20</v>
      </c>
    </row>
    <row r="138" spans="1:5" ht="12.75">
      <c r="A138" s="27" t="s">
        <v>50</v>
      </c>
      <c r="E138" s="28" t="s">
        <v>187</v>
      </c>
    </row>
    <row r="139" spans="1:5" ht="12.75">
      <c r="A139" s="29" t="s">
        <v>52</v>
      </c>
      <c r="E139" s="30" t="s">
        <v>46</v>
      </c>
    </row>
    <row r="140" spans="1:5" ht="165.75">
      <c r="A140" t="s">
        <v>54</v>
      </c>
      <c r="E140" s="28" t="s">
        <v>188</v>
      </c>
    </row>
    <row r="141" spans="1:16" ht="25.5">
      <c r="A141" s="18" t="s">
        <v>44</v>
      </c>
      <c r="B141" s="22" t="s">
        <v>189</v>
      </c>
      <c r="C141" s="22" t="s">
        <v>190</v>
      </c>
      <c r="D141" s="18" t="s">
        <v>46</v>
      </c>
      <c r="E141" s="23" t="s">
        <v>191</v>
      </c>
      <c r="F141" s="24" t="s">
        <v>106</v>
      </c>
      <c r="G141" s="25">
        <v>51.5</v>
      </c>
      <c r="H141" s="26"/>
      <c r="I141" s="26">
        <f>ROUND(ROUND(H141,2)*ROUND(G141,3),2)</f>
        <v>0</v>
      </c>
      <c r="J141" s="24" t="s">
        <v>49</v>
      </c>
      <c r="O141">
        <f>(I141*21)/100</f>
        <v>0</v>
      </c>
      <c r="P141" t="s">
        <v>20</v>
      </c>
    </row>
    <row r="142" spans="1:5" ht="12.75">
      <c r="A142" s="27" t="s">
        <v>50</v>
      </c>
      <c r="E142" s="28" t="s">
        <v>192</v>
      </c>
    </row>
    <row r="143" spans="1:5" ht="12.75">
      <c r="A143" s="29" t="s">
        <v>52</v>
      </c>
      <c r="E143" s="30" t="s">
        <v>46</v>
      </c>
    </row>
    <row r="144" spans="1:5" ht="165.75">
      <c r="A144" t="s">
        <v>54</v>
      </c>
      <c r="E144" s="28" t="s">
        <v>188</v>
      </c>
    </row>
    <row r="145" spans="1:16" ht="12.75">
      <c r="A145" s="18" t="s">
        <v>44</v>
      </c>
      <c r="B145" s="22" t="s">
        <v>193</v>
      </c>
      <c r="C145" s="22" t="s">
        <v>194</v>
      </c>
      <c r="D145" s="18" t="s">
        <v>46</v>
      </c>
      <c r="E145" s="23" t="s">
        <v>195</v>
      </c>
      <c r="F145" s="24" t="s">
        <v>106</v>
      </c>
      <c r="G145" s="25">
        <v>9.6</v>
      </c>
      <c r="H145" s="26"/>
      <c r="I145" s="26">
        <f>ROUND(ROUND(H145,2)*ROUND(G145,3),2)</f>
        <v>0</v>
      </c>
      <c r="J145" s="24" t="s">
        <v>49</v>
      </c>
      <c r="O145">
        <f>(I145*21)/100</f>
        <v>0</v>
      </c>
      <c r="P145" t="s">
        <v>20</v>
      </c>
    </row>
    <row r="146" spans="1:5" ht="12.75">
      <c r="A146" s="27" t="s">
        <v>50</v>
      </c>
      <c r="E146" s="28" t="s">
        <v>196</v>
      </c>
    </row>
    <row r="147" spans="1:5" ht="12.75">
      <c r="A147" s="29" t="s">
        <v>52</v>
      </c>
      <c r="E147" s="30" t="s">
        <v>46</v>
      </c>
    </row>
    <row r="148" spans="1:5" ht="38.25">
      <c r="A148" t="s">
        <v>54</v>
      </c>
      <c r="E148" s="28" t="s">
        <v>197</v>
      </c>
    </row>
    <row r="149" spans="1:16" ht="12.75">
      <c r="A149" s="18" t="s">
        <v>44</v>
      </c>
      <c r="B149" s="22" t="s">
        <v>198</v>
      </c>
      <c r="C149" s="22" t="s">
        <v>199</v>
      </c>
      <c r="D149" s="18" t="s">
        <v>46</v>
      </c>
      <c r="E149" s="23" t="s">
        <v>200</v>
      </c>
      <c r="F149" s="24" t="s">
        <v>106</v>
      </c>
      <c r="G149" s="25">
        <v>42.6</v>
      </c>
      <c r="H149" s="26"/>
      <c r="I149" s="26">
        <f>ROUND(ROUND(H149,2)*ROUND(G149,3),2)</f>
        <v>0</v>
      </c>
      <c r="J149" s="24" t="s">
        <v>49</v>
      </c>
      <c r="O149">
        <f>(I149*21)/100</f>
        <v>0</v>
      </c>
      <c r="P149" t="s">
        <v>20</v>
      </c>
    </row>
    <row r="150" spans="1:5" ht="12.75">
      <c r="A150" s="27" t="s">
        <v>50</v>
      </c>
      <c r="E150" s="28" t="s">
        <v>46</v>
      </c>
    </row>
    <row r="151" spans="1:5" ht="12.75">
      <c r="A151" s="29" t="s">
        <v>52</v>
      </c>
      <c r="E151" s="30" t="s">
        <v>201</v>
      </c>
    </row>
    <row r="152" spans="1:5" ht="38.25">
      <c r="A152" t="s">
        <v>54</v>
      </c>
      <c r="E152" s="28" t="s">
        <v>197</v>
      </c>
    </row>
    <row r="153" spans="1:16" ht="12.75">
      <c r="A153" s="18" t="s">
        <v>44</v>
      </c>
      <c r="B153" s="22" t="s">
        <v>202</v>
      </c>
      <c r="C153" s="22" t="s">
        <v>203</v>
      </c>
      <c r="D153" s="18" t="s">
        <v>46</v>
      </c>
      <c r="E153" s="23" t="s">
        <v>204</v>
      </c>
      <c r="F153" s="24" t="s">
        <v>80</v>
      </c>
      <c r="G153" s="25">
        <v>12</v>
      </c>
      <c r="H153" s="26"/>
      <c r="I153" s="26">
        <f>ROUND(ROUND(H153,2)*ROUND(G153,3),2)</f>
        <v>0</v>
      </c>
      <c r="J153" s="24" t="s">
        <v>49</v>
      </c>
      <c r="O153">
        <f>(I153*21)/100</f>
        <v>0</v>
      </c>
      <c r="P153" t="s">
        <v>20</v>
      </c>
    </row>
    <row r="154" spans="1:5" ht="12.75">
      <c r="A154" s="27" t="s">
        <v>50</v>
      </c>
      <c r="E154" s="28" t="s">
        <v>46</v>
      </c>
    </row>
    <row r="155" spans="1:5" ht="12.75">
      <c r="A155" s="29" t="s">
        <v>52</v>
      </c>
      <c r="E155" s="30" t="s">
        <v>46</v>
      </c>
    </row>
    <row r="156" spans="1:5" ht="38.25">
      <c r="A156" t="s">
        <v>54</v>
      </c>
      <c r="E156" s="28" t="s">
        <v>205</v>
      </c>
    </row>
    <row r="157" spans="1:18" ht="12.75" customHeight="1">
      <c r="A157" s="5" t="s">
        <v>42</v>
      </c>
      <c r="B157" s="5"/>
      <c r="C157" s="31" t="s">
        <v>77</v>
      </c>
      <c r="D157" s="5"/>
      <c r="E157" s="20" t="s">
        <v>206</v>
      </c>
      <c r="F157" s="5"/>
      <c r="G157" s="5"/>
      <c r="H157" s="5"/>
      <c r="I157" s="32">
        <f>0+Q157</f>
        <v>0</v>
      </c>
      <c r="J157" s="5"/>
      <c r="O157">
        <f>0+R157</f>
        <v>0</v>
      </c>
      <c r="Q157">
        <f>0+I158+I162</f>
        <v>0</v>
      </c>
      <c r="R157">
        <f>0+O158+O162</f>
        <v>0</v>
      </c>
    </row>
    <row r="158" spans="1:16" ht="12.75">
      <c r="A158" s="18" t="s">
        <v>44</v>
      </c>
      <c r="B158" s="22" t="s">
        <v>207</v>
      </c>
      <c r="C158" s="22" t="s">
        <v>208</v>
      </c>
      <c r="D158" s="18" t="s">
        <v>46</v>
      </c>
      <c r="E158" s="23" t="s">
        <v>209</v>
      </c>
      <c r="F158" s="24" t="s">
        <v>210</v>
      </c>
      <c r="G158" s="25">
        <v>5</v>
      </c>
      <c r="H158" s="26"/>
      <c r="I158" s="26">
        <f>ROUND(ROUND(H158,2)*ROUND(G158,3),2)</f>
        <v>0</v>
      </c>
      <c r="J158" s="24" t="s">
        <v>49</v>
      </c>
      <c r="O158">
        <f>(I158*21)/100</f>
        <v>0</v>
      </c>
      <c r="P158" t="s">
        <v>20</v>
      </c>
    </row>
    <row r="159" spans="1:5" ht="12.75">
      <c r="A159" s="27" t="s">
        <v>50</v>
      </c>
      <c r="E159" s="28" t="s">
        <v>46</v>
      </c>
    </row>
    <row r="160" spans="1:5" ht="12.75">
      <c r="A160" s="29" t="s">
        <v>52</v>
      </c>
      <c r="E160" s="30" t="s">
        <v>46</v>
      </c>
    </row>
    <row r="161" spans="1:5" ht="76.5">
      <c r="A161" t="s">
        <v>54</v>
      </c>
      <c r="E161" s="28" t="s">
        <v>211</v>
      </c>
    </row>
    <row r="162" spans="1:16" ht="12.75">
      <c r="A162" s="18" t="s">
        <v>44</v>
      </c>
      <c r="B162" s="22" t="s">
        <v>212</v>
      </c>
      <c r="C162" s="22" t="s">
        <v>213</v>
      </c>
      <c r="D162" s="18" t="s">
        <v>46</v>
      </c>
      <c r="E162" s="23" t="s">
        <v>214</v>
      </c>
      <c r="F162" s="24" t="s">
        <v>80</v>
      </c>
      <c r="G162" s="25">
        <v>58</v>
      </c>
      <c r="H162" s="26"/>
      <c r="I162" s="26">
        <f>ROUND(ROUND(H162,2)*ROUND(G162,3),2)</f>
        <v>0</v>
      </c>
      <c r="J162" s="24" t="s">
        <v>49</v>
      </c>
      <c r="O162">
        <f>(I162*21)/100</f>
        <v>0</v>
      </c>
      <c r="P162" t="s">
        <v>20</v>
      </c>
    </row>
    <row r="163" spans="1:5" ht="12.75">
      <c r="A163" s="27" t="s">
        <v>50</v>
      </c>
      <c r="E163" s="28" t="s">
        <v>215</v>
      </c>
    </row>
    <row r="164" spans="1:5" ht="12.75">
      <c r="A164" s="29" t="s">
        <v>52</v>
      </c>
      <c r="E164" s="30" t="s">
        <v>46</v>
      </c>
    </row>
    <row r="165" spans="1:5" ht="242.25">
      <c r="A165" t="s">
        <v>54</v>
      </c>
      <c r="E165" s="28" t="s">
        <v>216</v>
      </c>
    </row>
    <row r="166" spans="1:18" ht="12.75" customHeight="1">
      <c r="A166" s="5" t="s">
        <v>42</v>
      </c>
      <c r="B166" s="5"/>
      <c r="C166" s="31" t="s">
        <v>37</v>
      </c>
      <c r="D166" s="5"/>
      <c r="E166" s="20" t="s">
        <v>217</v>
      </c>
      <c r="F166" s="5"/>
      <c r="G166" s="5"/>
      <c r="H166" s="5"/>
      <c r="I166" s="32">
        <f>0+Q166</f>
        <v>0</v>
      </c>
      <c r="J166" s="5"/>
      <c r="O166">
        <f>0+R166</f>
        <v>0</v>
      </c>
      <c r="Q166">
        <f>0+I167+I171+I175+I179+I183+I187+I191+I195+I199</f>
        <v>0</v>
      </c>
      <c r="R166">
        <f>0+O167+O171+O175+O179+O183+O187+O191+O195+O199</f>
        <v>0</v>
      </c>
    </row>
    <row r="167" spans="1:16" ht="25.5">
      <c r="A167" s="18" t="s">
        <v>44</v>
      </c>
      <c r="B167" s="22" t="s">
        <v>218</v>
      </c>
      <c r="C167" s="22" t="s">
        <v>219</v>
      </c>
      <c r="D167" s="18" t="s">
        <v>46</v>
      </c>
      <c r="E167" s="23" t="s">
        <v>220</v>
      </c>
      <c r="F167" s="24" t="s">
        <v>80</v>
      </c>
      <c r="G167" s="25">
        <v>85</v>
      </c>
      <c r="H167" s="26"/>
      <c r="I167" s="26">
        <f>ROUND(ROUND(H167,2)*ROUND(G167,3),2)</f>
        <v>0</v>
      </c>
      <c r="J167" s="24" t="s">
        <v>49</v>
      </c>
      <c r="O167">
        <f>(I167*21)/100</f>
        <v>0</v>
      </c>
      <c r="P167" t="s">
        <v>20</v>
      </c>
    </row>
    <row r="168" spans="1:5" ht="12.75">
      <c r="A168" s="27" t="s">
        <v>50</v>
      </c>
      <c r="E168" s="28" t="s">
        <v>46</v>
      </c>
    </row>
    <row r="169" spans="1:5" ht="12.75">
      <c r="A169" s="29" t="s">
        <v>52</v>
      </c>
      <c r="E169" s="30" t="s">
        <v>221</v>
      </c>
    </row>
    <row r="170" spans="1:5" ht="127.5">
      <c r="A170" t="s">
        <v>54</v>
      </c>
      <c r="E170" s="28" t="s">
        <v>222</v>
      </c>
    </row>
    <row r="171" spans="1:16" ht="12.75">
      <c r="A171" s="18" t="s">
        <v>44</v>
      </c>
      <c r="B171" s="22" t="s">
        <v>223</v>
      </c>
      <c r="C171" s="22" t="s">
        <v>224</v>
      </c>
      <c r="D171" s="18" t="s">
        <v>46</v>
      </c>
      <c r="E171" s="23" t="s">
        <v>225</v>
      </c>
      <c r="F171" s="24" t="s">
        <v>80</v>
      </c>
      <c r="G171" s="25">
        <v>60.5</v>
      </c>
      <c r="H171" s="26"/>
      <c r="I171" s="26">
        <f>ROUND(ROUND(H171,2)*ROUND(G171,3),2)</f>
        <v>0</v>
      </c>
      <c r="J171" s="24" t="s">
        <v>49</v>
      </c>
      <c r="O171">
        <f>(I171*21)/100</f>
        <v>0</v>
      </c>
      <c r="P171" t="s">
        <v>20</v>
      </c>
    </row>
    <row r="172" spans="1:5" ht="12.75">
      <c r="A172" s="27" t="s">
        <v>50</v>
      </c>
      <c r="E172" s="28" t="s">
        <v>226</v>
      </c>
    </row>
    <row r="173" spans="1:5" ht="12.75">
      <c r="A173" s="29" t="s">
        <v>52</v>
      </c>
      <c r="E173" s="30" t="s">
        <v>46</v>
      </c>
    </row>
    <row r="174" spans="1:5" ht="51">
      <c r="A174" t="s">
        <v>54</v>
      </c>
      <c r="E174" s="28" t="s">
        <v>227</v>
      </c>
    </row>
    <row r="175" spans="1:16" ht="12.75">
      <c r="A175" s="18" t="s">
        <v>44</v>
      </c>
      <c r="B175" s="22" t="s">
        <v>228</v>
      </c>
      <c r="C175" s="22" t="s">
        <v>229</v>
      </c>
      <c r="D175" s="18" t="s">
        <v>46</v>
      </c>
      <c r="E175" s="23" t="s">
        <v>230</v>
      </c>
      <c r="F175" s="24" t="s">
        <v>80</v>
      </c>
      <c r="G175" s="25">
        <v>83.3</v>
      </c>
      <c r="H175" s="26"/>
      <c r="I175" s="26">
        <f>ROUND(ROUND(H175,2)*ROUND(G175,3),2)</f>
        <v>0</v>
      </c>
      <c r="J175" s="24" t="s">
        <v>49</v>
      </c>
      <c r="O175">
        <f>(I175*21)/100</f>
        <v>0</v>
      </c>
      <c r="P175" t="s">
        <v>20</v>
      </c>
    </row>
    <row r="176" spans="1:5" ht="12.75">
      <c r="A176" s="27" t="s">
        <v>50</v>
      </c>
      <c r="E176" s="28" t="s">
        <v>231</v>
      </c>
    </row>
    <row r="177" spans="1:5" ht="12.75">
      <c r="A177" s="29" t="s">
        <v>52</v>
      </c>
      <c r="E177" s="30" t="s">
        <v>46</v>
      </c>
    </row>
    <row r="178" spans="1:5" ht="51">
      <c r="A178" t="s">
        <v>54</v>
      </c>
      <c r="E178" s="28" t="s">
        <v>227</v>
      </c>
    </row>
    <row r="179" spans="1:16" ht="12.75">
      <c r="A179" s="18" t="s">
        <v>44</v>
      </c>
      <c r="B179" s="22" t="s">
        <v>232</v>
      </c>
      <c r="C179" s="22" t="s">
        <v>233</v>
      </c>
      <c r="D179" s="18" t="s">
        <v>46</v>
      </c>
      <c r="E179" s="23" t="s">
        <v>234</v>
      </c>
      <c r="F179" s="24" t="s">
        <v>80</v>
      </c>
      <c r="G179" s="25">
        <v>24</v>
      </c>
      <c r="H179" s="26"/>
      <c r="I179" s="26">
        <f>ROUND(ROUND(H179,2)*ROUND(G179,3),2)</f>
        <v>0</v>
      </c>
      <c r="J179" s="24" t="s">
        <v>49</v>
      </c>
      <c r="O179">
        <f>(I179*21)/100</f>
        <v>0</v>
      </c>
      <c r="P179" t="s">
        <v>20</v>
      </c>
    </row>
    <row r="180" spans="1:5" ht="12.75">
      <c r="A180" s="27" t="s">
        <v>50</v>
      </c>
      <c r="E180" s="28" t="s">
        <v>46</v>
      </c>
    </row>
    <row r="181" spans="1:5" ht="12.75">
      <c r="A181" s="29" t="s">
        <v>52</v>
      </c>
      <c r="E181" s="30" t="s">
        <v>46</v>
      </c>
    </row>
    <row r="182" spans="1:5" ht="25.5">
      <c r="A182" t="s">
        <v>54</v>
      </c>
      <c r="E182" s="28" t="s">
        <v>235</v>
      </c>
    </row>
    <row r="183" spans="1:16" ht="12.75">
      <c r="A183" s="18" t="s">
        <v>44</v>
      </c>
      <c r="B183" s="22" t="s">
        <v>236</v>
      </c>
      <c r="C183" s="22" t="s">
        <v>237</v>
      </c>
      <c r="D183" s="18" t="s">
        <v>46</v>
      </c>
      <c r="E183" s="23" t="s">
        <v>238</v>
      </c>
      <c r="F183" s="24" t="s">
        <v>210</v>
      </c>
      <c r="G183" s="25">
        <v>6</v>
      </c>
      <c r="H183" s="26"/>
      <c r="I183" s="26">
        <f>ROUND(ROUND(H183,2)*ROUND(G183,3),2)</f>
        <v>0</v>
      </c>
      <c r="J183" s="24" t="s">
        <v>49</v>
      </c>
      <c r="O183">
        <f>(I183*21)/100</f>
        <v>0</v>
      </c>
      <c r="P183" t="s">
        <v>20</v>
      </c>
    </row>
    <row r="184" spans="1:5" ht="12.75">
      <c r="A184" s="27" t="s">
        <v>50</v>
      </c>
      <c r="E184" s="28" t="s">
        <v>46</v>
      </c>
    </row>
    <row r="185" spans="1:5" ht="12.75">
      <c r="A185" s="29" t="s">
        <v>52</v>
      </c>
      <c r="E185" s="30" t="s">
        <v>46</v>
      </c>
    </row>
    <row r="186" spans="1:5" ht="51">
      <c r="A186" t="s">
        <v>54</v>
      </c>
      <c r="E186" s="28" t="s">
        <v>239</v>
      </c>
    </row>
    <row r="187" spans="1:16" ht="25.5">
      <c r="A187" s="18" t="s">
        <v>44</v>
      </c>
      <c r="B187" s="22" t="s">
        <v>240</v>
      </c>
      <c r="C187" s="22" t="s">
        <v>241</v>
      </c>
      <c r="D187" s="18" t="s">
        <v>46</v>
      </c>
      <c r="E187" s="23" t="s">
        <v>242</v>
      </c>
      <c r="F187" s="24" t="s">
        <v>210</v>
      </c>
      <c r="G187" s="25">
        <v>8</v>
      </c>
      <c r="H187" s="26"/>
      <c r="I187" s="26">
        <f>ROUND(ROUND(H187,2)*ROUND(G187,3),2)</f>
        <v>0</v>
      </c>
      <c r="J187" s="24" t="s">
        <v>49</v>
      </c>
      <c r="O187">
        <f>(I187*21)/100</f>
        <v>0</v>
      </c>
      <c r="P187" t="s">
        <v>20</v>
      </c>
    </row>
    <row r="188" spans="1:5" ht="12.75">
      <c r="A188" s="27" t="s">
        <v>50</v>
      </c>
      <c r="E188" s="28" t="s">
        <v>46</v>
      </c>
    </row>
    <row r="189" spans="1:5" ht="12.75">
      <c r="A189" s="29" t="s">
        <v>52</v>
      </c>
      <c r="E189" s="30" t="s">
        <v>46</v>
      </c>
    </row>
    <row r="190" spans="1:5" ht="25.5">
      <c r="A190" t="s">
        <v>54</v>
      </c>
      <c r="E190" s="28" t="s">
        <v>243</v>
      </c>
    </row>
    <row r="191" spans="1:16" ht="25.5">
      <c r="A191" s="18" t="s">
        <v>44</v>
      </c>
      <c r="B191" s="22" t="s">
        <v>244</v>
      </c>
      <c r="C191" s="22" t="s">
        <v>245</v>
      </c>
      <c r="D191" s="18" t="s">
        <v>46</v>
      </c>
      <c r="E191" s="23" t="s">
        <v>246</v>
      </c>
      <c r="F191" s="24" t="s">
        <v>80</v>
      </c>
      <c r="G191" s="25">
        <v>110</v>
      </c>
      <c r="H191" s="26"/>
      <c r="I191" s="26">
        <f>ROUND(ROUND(H191,2)*ROUND(G191,3),2)</f>
        <v>0</v>
      </c>
      <c r="J191" s="24" t="s">
        <v>49</v>
      </c>
      <c r="O191">
        <f>(I191*21)/100</f>
        <v>0</v>
      </c>
      <c r="P191" t="s">
        <v>20</v>
      </c>
    </row>
    <row r="192" spans="1:5" ht="12.75">
      <c r="A192" s="27" t="s">
        <v>50</v>
      </c>
      <c r="E192" s="28" t="s">
        <v>46</v>
      </c>
    </row>
    <row r="193" spans="1:5" ht="12.75">
      <c r="A193" s="29" t="s">
        <v>52</v>
      </c>
      <c r="E193" s="30" t="s">
        <v>46</v>
      </c>
    </row>
    <row r="194" spans="1:5" ht="38.25">
      <c r="A194" t="s">
        <v>54</v>
      </c>
      <c r="E194" s="28" t="s">
        <v>247</v>
      </c>
    </row>
    <row r="195" spans="1:16" ht="12.75">
      <c r="A195" s="18" t="s">
        <v>44</v>
      </c>
      <c r="B195" s="22" t="s">
        <v>248</v>
      </c>
      <c r="C195" s="22" t="s">
        <v>249</v>
      </c>
      <c r="D195" s="18" t="s">
        <v>46</v>
      </c>
      <c r="E195" s="23" t="s">
        <v>250</v>
      </c>
      <c r="F195" s="24" t="s">
        <v>210</v>
      </c>
      <c r="G195" s="25">
        <v>1</v>
      </c>
      <c r="H195" s="26"/>
      <c r="I195" s="26">
        <f>ROUND(ROUND(H195,2)*ROUND(G195,3),2)</f>
        <v>0</v>
      </c>
      <c r="J195" s="24" t="s">
        <v>49</v>
      </c>
      <c r="O195">
        <f>(I195*21)/100</f>
        <v>0</v>
      </c>
      <c r="P195" t="s">
        <v>20</v>
      </c>
    </row>
    <row r="196" spans="1:5" ht="12.75">
      <c r="A196" s="27" t="s">
        <v>50</v>
      </c>
      <c r="E196" s="28" t="s">
        <v>46</v>
      </c>
    </row>
    <row r="197" spans="1:5" ht="12.75">
      <c r="A197" s="29" t="s">
        <v>52</v>
      </c>
      <c r="E197" s="30" t="s">
        <v>46</v>
      </c>
    </row>
    <row r="198" spans="1:5" ht="89.25">
      <c r="A198" t="s">
        <v>54</v>
      </c>
      <c r="E198" s="28" t="s">
        <v>251</v>
      </c>
    </row>
    <row r="199" spans="1:16" ht="12.75">
      <c r="A199" s="18" t="s">
        <v>44</v>
      </c>
      <c r="B199" s="22" t="s">
        <v>252</v>
      </c>
      <c r="C199" s="22" t="s">
        <v>253</v>
      </c>
      <c r="D199" s="18" t="s">
        <v>46</v>
      </c>
      <c r="E199" s="23" t="s">
        <v>254</v>
      </c>
      <c r="F199" s="24" t="s">
        <v>48</v>
      </c>
      <c r="G199" s="25">
        <v>7.8</v>
      </c>
      <c r="H199" s="26"/>
      <c r="I199" s="26">
        <f>ROUND(ROUND(H199,2)*ROUND(G199,3),2)</f>
        <v>0</v>
      </c>
      <c r="J199" s="24" t="s">
        <v>49</v>
      </c>
      <c r="O199">
        <f>(I199*21)/100</f>
        <v>0</v>
      </c>
      <c r="P199" t="s">
        <v>20</v>
      </c>
    </row>
    <row r="200" spans="1:5" ht="12.75">
      <c r="A200" s="27" t="s">
        <v>50</v>
      </c>
      <c r="E200" s="28" t="s">
        <v>46</v>
      </c>
    </row>
    <row r="201" spans="1:5" ht="12.75">
      <c r="A201" s="29" t="s">
        <v>52</v>
      </c>
      <c r="E201" s="30" t="s">
        <v>46</v>
      </c>
    </row>
    <row r="202" spans="1:5" ht="114.75">
      <c r="A202" t="s">
        <v>54</v>
      </c>
      <c r="E202" s="28" t="s">
        <v>255</v>
      </c>
    </row>
  </sheetData>
  <sheetProtection/>
  <mergeCells count="11"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85" zoomScaleSheetLayoutView="85" zoomScalePageLayoutView="0" workbookViewId="0" topLeftCell="A1">
      <pane ySplit="7" topLeftCell="A27" activePane="bottomLeft" state="frozen"/>
      <selection pane="topLeft" activeCell="G9" sqref="G9"/>
      <selection pane="bottomLeft" activeCell="G9" sqref="G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0+O8+O21+O26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85" t="s">
        <v>12</v>
      </c>
      <c r="D3" s="781"/>
      <c r="E3" s="11" t="s">
        <v>13</v>
      </c>
      <c r="F3" s="1"/>
      <c r="G3" s="8"/>
      <c r="H3" s="7" t="s">
        <v>256</v>
      </c>
      <c r="I3" s="33">
        <f>0+I8+I21+I26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86" t="s">
        <v>256</v>
      </c>
      <c r="D4" s="787"/>
      <c r="E4" s="14" t="s">
        <v>257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84" t="s">
        <v>23</v>
      </c>
      <c r="B5" s="784" t="s">
        <v>25</v>
      </c>
      <c r="C5" s="784" t="s">
        <v>27</v>
      </c>
      <c r="D5" s="784" t="s">
        <v>28</v>
      </c>
      <c r="E5" s="784" t="s">
        <v>29</v>
      </c>
      <c r="F5" s="784" t="s">
        <v>31</v>
      </c>
      <c r="G5" s="784" t="s">
        <v>33</v>
      </c>
      <c r="H5" s="784" t="s">
        <v>35</v>
      </c>
      <c r="I5" s="784"/>
      <c r="J5" s="784" t="s">
        <v>40</v>
      </c>
      <c r="O5" t="s">
        <v>18</v>
      </c>
      <c r="P5" t="s">
        <v>20</v>
      </c>
    </row>
    <row r="6" spans="1:10" ht="12.75" customHeight="1">
      <c r="A6" s="784"/>
      <c r="B6" s="784"/>
      <c r="C6" s="784"/>
      <c r="D6" s="784"/>
      <c r="E6" s="784"/>
      <c r="F6" s="784"/>
      <c r="G6" s="784"/>
      <c r="H6" s="12" t="s">
        <v>36</v>
      </c>
      <c r="I6" s="12" t="s">
        <v>38</v>
      </c>
      <c r="J6" s="784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0+I9+I13+I17</f>
        <v>0</v>
      </c>
      <c r="R8">
        <f>0+O9+O13+O17</f>
        <v>0</v>
      </c>
    </row>
    <row r="9" spans="1:16" ht="12.75">
      <c r="A9" s="18" t="s">
        <v>44</v>
      </c>
      <c r="B9" s="22" t="s">
        <v>26</v>
      </c>
      <c r="C9" s="22" t="s">
        <v>56</v>
      </c>
      <c r="D9" s="18" t="s">
        <v>26</v>
      </c>
      <c r="E9" s="23" t="s">
        <v>47</v>
      </c>
      <c r="F9" s="24" t="s">
        <v>57</v>
      </c>
      <c r="G9" s="25">
        <v>24.028</v>
      </c>
      <c r="H9" s="26"/>
      <c r="I9" s="26">
        <f>ROUND(ROUND(H9,2)*ROUND(G9,3),2)</f>
        <v>0</v>
      </c>
      <c r="J9" s="24" t="s">
        <v>49</v>
      </c>
      <c r="O9">
        <f>(I9*21)/100</f>
        <v>0</v>
      </c>
      <c r="P9" t="s">
        <v>20</v>
      </c>
    </row>
    <row r="10" spans="1:5" ht="12.75">
      <c r="A10" s="27" t="s">
        <v>50</v>
      </c>
      <c r="E10" s="28" t="s">
        <v>58</v>
      </c>
    </row>
    <row r="11" spans="1:5" ht="12.75">
      <c r="A11" s="29" t="s">
        <v>52</v>
      </c>
      <c r="E11" s="30" t="s">
        <v>258</v>
      </c>
    </row>
    <row r="12" spans="1:5" ht="25.5">
      <c r="A12" t="s">
        <v>54</v>
      </c>
      <c r="E12" s="28" t="s">
        <v>55</v>
      </c>
    </row>
    <row r="13" spans="1:16" ht="12.75">
      <c r="A13" s="18" t="s">
        <v>44</v>
      </c>
      <c r="B13" s="22" t="s">
        <v>20</v>
      </c>
      <c r="C13" s="22" t="s">
        <v>56</v>
      </c>
      <c r="D13" s="18" t="s">
        <v>19</v>
      </c>
      <c r="E13" s="23" t="s">
        <v>47</v>
      </c>
      <c r="F13" s="24" t="s">
        <v>57</v>
      </c>
      <c r="G13" s="25">
        <v>78.045</v>
      </c>
      <c r="H13" s="26"/>
      <c r="I13" s="26">
        <f>ROUND(ROUND(H13,2)*ROUND(G13,3),2)</f>
        <v>0</v>
      </c>
      <c r="J13" s="24" t="s">
        <v>49</v>
      </c>
      <c r="O13">
        <f>(I13*21)/100</f>
        <v>0</v>
      </c>
      <c r="P13" t="s">
        <v>20</v>
      </c>
    </row>
    <row r="14" spans="1:5" ht="12.75">
      <c r="A14" s="27" t="s">
        <v>50</v>
      </c>
      <c r="E14" s="28" t="s">
        <v>62</v>
      </c>
    </row>
    <row r="15" spans="1:5" ht="12.75">
      <c r="A15" s="29" t="s">
        <v>52</v>
      </c>
      <c r="E15" s="30" t="s">
        <v>259</v>
      </c>
    </row>
    <row r="16" spans="1:5" ht="25.5">
      <c r="A16" t="s">
        <v>54</v>
      </c>
      <c r="E16" s="28" t="s">
        <v>55</v>
      </c>
    </row>
    <row r="17" spans="1:16" ht="12.75">
      <c r="A17" s="18" t="s">
        <v>44</v>
      </c>
      <c r="B17" s="22" t="s">
        <v>19</v>
      </c>
      <c r="C17" s="22" t="s">
        <v>56</v>
      </c>
      <c r="D17" s="18" t="s">
        <v>30</v>
      </c>
      <c r="E17" s="23" t="s">
        <v>47</v>
      </c>
      <c r="F17" s="24" t="s">
        <v>57</v>
      </c>
      <c r="G17" s="25">
        <v>4.586</v>
      </c>
      <c r="H17" s="26"/>
      <c r="I17" s="26">
        <f>ROUND(ROUND(H17,2)*ROUND(G17,3),2)</f>
        <v>0</v>
      </c>
      <c r="J17" s="24" t="s">
        <v>49</v>
      </c>
      <c r="O17">
        <f>(I17*21)/100</f>
        <v>0</v>
      </c>
      <c r="P17" t="s">
        <v>20</v>
      </c>
    </row>
    <row r="18" spans="1:5" ht="12.75">
      <c r="A18" s="27" t="s">
        <v>50</v>
      </c>
      <c r="E18" s="28" t="s">
        <v>260</v>
      </c>
    </row>
    <row r="19" spans="1:5" ht="12.75">
      <c r="A19" s="29" t="s">
        <v>52</v>
      </c>
      <c r="E19" s="30" t="s">
        <v>261</v>
      </c>
    </row>
    <row r="20" spans="1:5" ht="25.5">
      <c r="A20" t="s">
        <v>54</v>
      </c>
      <c r="E20" s="28" t="s">
        <v>55</v>
      </c>
    </row>
    <row r="21" spans="1:18" ht="12.75" customHeight="1">
      <c r="A21" s="5" t="s">
        <v>42</v>
      </c>
      <c r="B21" s="5"/>
      <c r="C21" s="31" t="s">
        <v>26</v>
      </c>
      <c r="D21" s="5"/>
      <c r="E21" s="20" t="s">
        <v>64</v>
      </c>
      <c r="F21" s="5"/>
      <c r="G21" s="5"/>
      <c r="H21" s="5"/>
      <c r="I21" s="32">
        <f>0+Q21</f>
        <v>0</v>
      </c>
      <c r="J21" s="5"/>
      <c r="O21">
        <f>0+R21</f>
        <v>0</v>
      </c>
      <c r="Q21">
        <f>0+I22</f>
        <v>0</v>
      </c>
      <c r="R21">
        <f>0+O22</f>
        <v>0</v>
      </c>
    </row>
    <row r="22" spans="1:16" ht="25.5">
      <c r="A22" s="18" t="s">
        <v>44</v>
      </c>
      <c r="B22" s="22" t="s">
        <v>30</v>
      </c>
      <c r="C22" s="22" t="s">
        <v>65</v>
      </c>
      <c r="D22" s="18" t="s">
        <v>46</v>
      </c>
      <c r="E22" s="23" t="s">
        <v>66</v>
      </c>
      <c r="F22" s="24" t="s">
        <v>48</v>
      </c>
      <c r="G22" s="25">
        <v>9.46</v>
      </c>
      <c r="H22" s="26"/>
      <c r="I22" s="26">
        <f>ROUND(ROUND(H22,2)*ROUND(G22,3),2)</f>
        <v>0</v>
      </c>
      <c r="J22" s="24" t="s">
        <v>49</v>
      </c>
      <c r="O22">
        <f>(I22*21)/100</f>
        <v>0</v>
      </c>
      <c r="P22" t="s">
        <v>20</v>
      </c>
    </row>
    <row r="23" spans="1:5" ht="12.75">
      <c r="A23" s="27" t="s">
        <v>50</v>
      </c>
      <c r="E23" s="28" t="s">
        <v>46</v>
      </c>
    </row>
    <row r="24" spans="1:5" ht="12.75">
      <c r="A24" s="29" t="s">
        <v>52</v>
      </c>
      <c r="E24" s="30" t="s">
        <v>262</v>
      </c>
    </row>
    <row r="25" spans="1:5" ht="63.75">
      <c r="A25" t="s">
        <v>54</v>
      </c>
      <c r="E25" s="28" t="s">
        <v>68</v>
      </c>
    </row>
    <row r="26" spans="1:18" ht="12.75" customHeight="1">
      <c r="A26" s="5" t="s">
        <v>42</v>
      </c>
      <c r="B26" s="5"/>
      <c r="C26" s="31" t="s">
        <v>37</v>
      </c>
      <c r="D26" s="5"/>
      <c r="E26" s="20" t="s">
        <v>217</v>
      </c>
      <c r="F26" s="5"/>
      <c r="G26" s="5"/>
      <c r="H26" s="5"/>
      <c r="I26" s="32">
        <f>0+Q26</f>
        <v>0</v>
      </c>
      <c r="J26" s="5"/>
      <c r="O26">
        <f>0+R26</f>
        <v>0</v>
      </c>
      <c r="Q26" s="737">
        <f>0+I27+I31+I35+I39</f>
        <v>0</v>
      </c>
      <c r="R26">
        <f>0+O27+O31+O35+O39</f>
        <v>0</v>
      </c>
    </row>
    <row r="27" spans="1:16" ht="12.75">
      <c r="A27" s="18" t="s">
        <v>44</v>
      </c>
      <c r="B27" s="22" t="s">
        <v>32</v>
      </c>
      <c r="C27" s="22" t="s">
        <v>263</v>
      </c>
      <c r="D27" s="18" t="s">
        <v>46</v>
      </c>
      <c r="E27" s="23" t="s">
        <v>264</v>
      </c>
      <c r="F27" s="24" t="s">
        <v>48</v>
      </c>
      <c r="G27" s="25">
        <v>31.218</v>
      </c>
      <c r="H27" s="26"/>
      <c r="I27" s="26">
        <f>ROUND(ROUND(H27,2)*ROUND(G27,3),2)</f>
        <v>0</v>
      </c>
      <c r="J27" s="24" t="s">
        <v>49</v>
      </c>
      <c r="O27">
        <f>(I27*21)/100</f>
        <v>0</v>
      </c>
      <c r="P27" t="s">
        <v>20</v>
      </c>
    </row>
    <row r="28" spans="1:5" ht="12.75">
      <c r="A28" s="27" t="s">
        <v>50</v>
      </c>
      <c r="E28" s="28" t="s">
        <v>1199</v>
      </c>
    </row>
    <row r="29" spans="1:5" ht="12.75">
      <c r="A29" s="29" t="s">
        <v>52</v>
      </c>
      <c r="E29" s="30" t="s">
        <v>265</v>
      </c>
    </row>
    <row r="30" spans="1:5" ht="114.75">
      <c r="A30" t="s">
        <v>54</v>
      </c>
      <c r="E30" s="28" t="s">
        <v>255</v>
      </c>
    </row>
    <row r="31" spans="1:16" ht="12.75">
      <c r="A31" s="18" t="s">
        <v>44</v>
      </c>
      <c r="B31" s="22" t="s">
        <v>34</v>
      </c>
      <c r="C31" s="22" t="s">
        <v>266</v>
      </c>
      <c r="D31" s="18" t="s">
        <v>46</v>
      </c>
      <c r="E31" s="23" t="s">
        <v>267</v>
      </c>
      <c r="F31" s="24" t="s">
        <v>57</v>
      </c>
      <c r="G31" s="25">
        <v>120.381</v>
      </c>
      <c r="H31" s="26"/>
      <c r="I31" s="26">
        <f>ROUND(ROUND(H31,2)*ROUND(G31,3),2)</f>
        <v>0</v>
      </c>
      <c r="J31" s="24" t="s">
        <v>49</v>
      </c>
      <c r="O31">
        <f>(I31*21)/100</f>
        <v>0</v>
      </c>
      <c r="P31" t="s">
        <v>20</v>
      </c>
    </row>
    <row r="32" spans="1:5" ht="12.75">
      <c r="A32" s="27" t="s">
        <v>50</v>
      </c>
      <c r="E32" s="28" t="s">
        <v>1199</v>
      </c>
    </row>
    <row r="33" spans="1:5" ht="12.75">
      <c r="A33" s="29" t="s">
        <v>52</v>
      </c>
      <c r="E33" s="30" t="s">
        <v>46</v>
      </c>
    </row>
    <row r="34" spans="1:5" ht="114.75">
      <c r="A34" t="s">
        <v>54</v>
      </c>
      <c r="E34" s="28" t="s">
        <v>268</v>
      </c>
    </row>
    <row r="35" spans="1:16" ht="12.75">
      <c r="A35" s="18" t="s">
        <v>44</v>
      </c>
      <c r="B35" s="22" t="s">
        <v>73</v>
      </c>
      <c r="C35" s="22" t="s">
        <v>269</v>
      </c>
      <c r="D35" s="18" t="s">
        <v>46</v>
      </c>
      <c r="E35" s="23" t="s">
        <v>270</v>
      </c>
      <c r="F35" s="24" t="s">
        <v>48</v>
      </c>
      <c r="G35" s="25">
        <v>6.551</v>
      </c>
      <c r="H35" s="26"/>
      <c r="I35" s="26">
        <f>ROUND(ROUND(H35,2)*ROUND(G35,3),2)</f>
        <v>0</v>
      </c>
      <c r="J35" s="24" t="s">
        <v>49</v>
      </c>
      <c r="O35">
        <f>(I35*21)/100</f>
        <v>0</v>
      </c>
      <c r="P35" t="s">
        <v>20</v>
      </c>
    </row>
    <row r="36" spans="1:5" ht="12.75">
      <c r="A36" s="27" t="s">
        <v>50</v>
      </c>
      <c r="E36" s="28" t="s">
        <v>46</v>
      </c>
    </row>
    <row r="37" spans="1:5" ht="25.5">
      <c r="A37" s="29" t="s">
        <v>52</v>
      </c>
      <c r="E37" s="30" t="s">
        <v>271</v>
      </c>
    </row>
    <row r="38" spans="1:5" ht="114.75">
      <c r="A38" t="s">
        <v>54</v>
      </c>
      <c r="E38" s="28" t="s">
        <v>255</v>
      </c>
    </row>
    <row r="39" spans="1:16" ht="12.75">
      <c r="A39" s="18" t="s">
        <v>44</v>
      </c>
      <c r="B39" s="22">
        <v>8</v>
      </c>
      <c r="C39" s="22" t="s">
        <v>1197</v>
      </c>
      <c r="D39" s="18" t="s">
        <v>46</v>
      </c>
      <c r="E39" s="23" t="s">
        <v>1198</v>
      </c>
      <c r="F39" s="24" t="s">
        <v>210</v>
      </c>
      <c r="G39" s="25">
        <v>1</v>
      </c>
      <c r="H39" s="26"/>
      <c r="I39" s="26">
        <f>ROUND(ROUND(H39,2)*ROUND(G39,3),2)</f>
        <v>0</v>
      </c>
      <c r="J39" s="24" t="s">
        <v>49</v>
      </c>
      <c r="O39">
        <f>(I39*21)/100</f>
        <v>0</v>
      </c>
      <c r="P39" t="s">
        <v>20</v>
      </c>
    </row>
    <row r="40" spans="1:5" ht="25.5">
      <c r="A40" s="27" t="s">
        <v>50</v>
      </c>
      <c r="E40" s="28" t="s">
        <v>1200</v>
      </c>
    </row>
    <row r="41" spans="1:5" ht="12.75">
      <c r="A41" s="29" t="s">
        <v>52</v>
      </c>
      <c r="E41" s="30"/>
    </row>
    <row r="43" ht="12.75" customHeight="1">
      <c r="I43" s="737"/>
    </row>
  </sheetData>
  <sheetProtection/>
  <mergeCells count="11"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view="pageBreakPreview" zoomScaleNormal="85" zoomScaleSheetLayoutView="100" zoomScalePageLayoutView="0" workbookViewId="0" topLeftCell="A1">
      <selection activeCell="B5" sqref="B5:D5"/>
    </sheetView>
  </sheetViews>
  <sheetFormatPr defaultColWidth="9.140625" defaultRowHeight="12.75"/>
  <cols>
    <col min="1" max="1" width="48.00390625" style="34" customWidth="1"/>
    <col min="2" max="3" width="9.140625" style="34" customWidth="1"/>
    <col min="4" max="5" width="8.8515625" style="36" customWidth="1"/>
    <col min="6" max="6" width="8.8515625" style="35" customWidth="1"/>
    <col min="7" max="7" width="8.8515625" style="36" customWidth="1"/>
    <col min="8" max="8" width="10.421875" style="35" customWidth="1"/>
    <col min="9" max="11" width="8.8515625" style="36" customWidth="1"/>
    <col min="12" max="12" width="19.140625" style="35" customWidth="1"/>
    <col min="13" max="16384" width="9.140625" style="34" customWidth="1"/>
  </cols>
  <sheetData>
    <row r="1" spans="1:21" ht="27.75">
      <c r="A1" s="158" t="s">
        <v>747</v>
      </c>
      <c r="B1" s="157" t="s">
        <v>746</v>
      </c>
      <c r="C1" s="156"/>
      <c r="D1" s="155"/>
      <c r="E1" s="155"/>
      <c r="F1" s="154"/>
      <c r="G1" s="155"/>
      <c r="H1" s="154"/>
      <c r="J1" s="34"/>
      <c r="K1" s="34"/>
      <c r="L1" s="34"/>
      <c r="M1" s="153"/>
      <c r="N1" s="153"/>
      <c r="O1" s="153"/>
      <c r="P1" s="153"/>
      <c r="Q1" s="153"/>
      <c r="R1" s="153"/>
      <c r="S1" s="153"/>
      <c r="T1" s="153"/>
      <c r="U1" s="153"/>
    </row>
    <row r="2" ht="12.75">
      <c r="E2" s="36" t="s">
        <v>1132</v>
      </c>
    </row>
    <row r="3" spans="1:12" ht="12.75">
      <c r="A3" s="152"/>
      <c r="B3" s="152"/>
      <c r="C3" s="152"/>
      <c r="D3" s="151"/>
      <c r="E3" s="151"/>
      <c r="F3" s="150"/>
      <c r="G3" s="151"/>
      <c r="H3" s="150"/>
      <c r="I3" s="151"/>
      <c r="J3" s="151"/>
      <c r="K3" s="151"/>
      <c r="L3" s="150"/>
    </row>
    <row r="4" spans="1:12" ht="15.75">
      <c r="A4" s="149" t="s">
        <v>745</v>
      </c>
      <c r="B4" s="149"/>
      <c r="C4" s="149"/>
      <c r="D4" s="148"/>
      <c r="E4" s="148"/>
      <c r="F4" s="147"/>
      <c r="G4" s="148"/>
      <c r="H4" s="147"/>
      <c r="I4" s="148"/>
      <c r="J4" s="148"/>
      <c r="K4" s="148"/>
      <c r="L4" s="147"/>
    </row>
    <row r="5" spans="1:12" ht="13.5" thickBot="1">
      <c r="A5" s="146"/>
      <c r="B5" s="146"/>
      <c r="C5" s="146"/>
      <c r="D5" s="83"/>
      <c r="E5" s="83"/>
      <c r="F5" s="84"/>
      <c r="G5" s="83"/>
      <c r="H5" s="84"/>
      <c r="I5" s="83"/>
      <c r="J5" s="83"/>
      <c r="K5" s="83"/>
      <c r="L5" s="84"/>
    </row>
    <row r="6" spans="1:12" ht="12.75">
      <c r="A6" s="145" t="s">
        <v>744</v>
      </c>
      <c r="B6" s="110" t="s">
        <v>31</v>
      </c>
      <c r="C6" s="110"/>
      <c r="D6" s="107" t="s">
        <v>743</v>
      </c>
      <c r="E6" s="107" t="s">
        <v>742</v>
      </c>
      <c r="F6" s="109" t="s">
        <v>741</v>
      </c>
      <c r="G6" s="107" t="s">
        <v>740</v>
      </c>
      <c r="H6" s="108" t="s">
        <v>739</v>
      </c>
      <c r="I6" s="107" t="s">
        <v>738</v>
      </c>
      <c r="J6" s="107" t="s">
        <v>737</v>
      </c>
      <c r="K6" s="107" t="s">
        <v>736</v>
      </c>
      <c r="L6" s="106" t="s">
        <v>735</v>
      </c>
    </row>
    <row r="7" spans="1:12" ht="13.5" thickBot="1">
      <c r="A7" s="144"/>
      <c r="B7" s="143"/>
      <c r="C7" s="143"/>
      <c r="D7" s="140" t="s">
        <v>733</v>
      </c>
      <c r="E7" s="140" t="s">
        <v>733</v>
      </c>
      <c r="F7" s="142" t="s">
        <v>734</v>
      </c>
      <c r="G7" s="140" t="s">
        <v>733</v>
      </c>
      <c r="H7" s="141" t="s">
        <v>728</v>
      </c>
      <c r="I7" s="140" t="s">
        <v>732</v>
      </c>
      <c r="J7" s="140" t="s">
        <v>731</v>
      </c>
      <c r="K7" s="140"/>
      <c r="L7" s="139" t="s">
        <v>710</v>
      </c>
    </row>
    <row r="8" spans="1:12" ht="15.75" thickBot="1">
      <c r="A8" s="138" t="s">
        <v>730</v>
      </c>
      <c r="B8" s="137"/>
      <c r="C8" s="137"/>
      <c r="D8" s="135"/>
      <c r="E8" s="135"/>
      <c r="F8" s="136"/>
      <c r="G8" s="135"/>
      <c r="H8" s="108"/>
      <c r="I8" s="135"/>
      <c r="J8" s="135"/>
      <c r="K8" s="135"/>
      <c r="L8" s="134"/>
    </row>
    <row r="9" spans="1:12" ht="13.5" thickBot="1">
      <c r="A9" s="133" t="s">
        <v>729</v>
      </c>
      <c r="B9" s="132" t="s">
        <v>728</v>
      </c>
      <c r="C9" s="131"/>
      <c r="D9" s="130">
        <v>40</v>
      </c>
      <c r="E9" s="130">
        <v>4.3</v>
      </c>
      <c r="F9" s="129">
        <f>+E9*D9</f>
        <v>172</v>
      </c>
      <c r="G9" s="128">
        <f>+(0.07+0.26)/2*1.1</f>
        <v>0.18150000000000002</v>
      </c>
      <c r="H9" s="127">
        <f>+F9*G9</f>
        <v>31.218000000000004</v>
      </c>
      <c r="I9" s="126"/>
      <c r="J9" s="125"/>
      <c r="K9" s="124"/>
      <c r="L9" s="123"/>
    </row>
    <row r="10" spans="1:12" ht="8.25" customHeight="1">
      <c r="A10" s="122"/>
      <c r="B10" s="121"/>
      <c r="C10" s="121"/>
      <c r="D10" s="114"/>
      <c r="E10" s="114"/>
      <c r="F10" s="120"/>
      <c r="G10" s="114"/>
      <c r="H10" s="77"/>
      <c r="I10" s="114"/>
      <c r="J10" s="114"/>
      <c r="K10" s="114"/>
      <c r="L10" s="119"/>
    </row>
    <row r="11" spans="1:14" ht="15" thickBot="1">
      <c r="A11" s="118"/>
      <c r="B11" s="117"/>
      <c r="C11" s="117"/>
      <c r="D11" s="116"/>
      <c r="E11" s="116"/>
      <c r="F11" s="115"/>
      <c r="G11" s="114"/>
      <c r="H11" s="77"/>
      <c r="I11" s="114"/>
      <c r="J11" s="114"/>
      <c r="K11" s="83"/>
      <c r="L11" s="113"/>
      <c r="M11" s="112"/>
      <c r="N11" s="112"/>
    </row>
    <row r="12" spans="1:12" ht="15.75" thickBot="1">
      <c r="A12" s="111" t="s">
        <v>727</v>
      </c>
      <c r="B12" s="110" t="s">
        <v>31</v>
      </c>
      <c r="C12" s="110"/>
      <c r="D12" s="107"/>
      <c r="E12" s="107"/>
      <c r="F12" s="109"/>
      <c r="G12" s="107"/>
      <c r="H12" s="108"/>
      <c r="I12" s="107"/>
      <c r="J12" s="107"/>
      <c r="K12" s="107"/>
      <c r="L12" s="106"/>
    </row>
    <row r="13" spans="1:12" ht="14.25">
      <c r="A13" s="105" t="s">
        <v>726</v>
      </c>
      <c r="B13" s="104" t="s">
        <v>710</v>
      </c>
      <c r="C13" s="99"/>
      <c r="D13" s="95">
        <v>40</v>
      </c>
      <c r="E13" s="95"/>
      <c r="F13" s="94"/>
      <c r="G13" s="98"/>
      <c r="H13" s="97"/>
      <c r="I13" s="96"/>
      <c r="J13" s="95">
        <v>1800</v>
      </c>
      <c r="K13" s="95"/>
      <c r="L13" s="94">
        <f>+J13*D13/1000</f>
        <v>72</v>
      </c>
    </row>
    <row r="14" spans="1:12" ht="14.25">
      <c r="A14" s="103" t="s">
        <v>725</v>
      </c>
      <c r="B14" s="102" t="s">
        <v>710</v>
      </c>
      <c r="C14" s="99"/>
      <c r="D14" s="95">
        <f>4*40</f>
        <v>160</v>
      </c>
      <c r="E14" s="95"/>
      <c r="F14" s="94"/>
      <c r="G14" s="98"/>
      <c r="H14" s="97"/>
      <c r="I14" s="96"/>
      <c r="J14" s="95">
        <v>76</v>
      </c>
      <c r="K14" s="95"/>
      <c r="L14" s="94">
        <f>+J14*D14/1000</f>
        <v>12.16</v>
      </c>
    </row>
    <row r="15" spans="1:12" ht="14.25">
      <c r="A15" s="101" t="s">
        <v>724</v>
      </c>
      <c r="B15" s="100" t="s">
        <v>710</v>
      </c>
      <c r="C15" s="99"/>
      <c r="D15" s="95">
        <v>80</v>
      </c>
      <c r="E15" s="95"/>
      <c r="F15" s="94" t="s">
        <v>723</v>
      </c>
      <c r="G15" s="98"/>
      <c r="H15" s="97"/>
      <c r="I15" s="96"/>
      <c r="J15" s="95">
        <v>50</v>
      </c>
      <c r="K15" s="95"/>
      <c r="L15" s="94">
        <f>+J15*D15/1000</f>
        <v>4</v>
      </c>
    </row>
    <row r="16" spans="1:12" ht="14.25">
      <c r="A16" s="93" t="s">
        <v>722</v>
      </c>
      <c r="B16" s="92" t="s">
        <v>710</v>
      </c>
      <c r="C16" s="99"/>
      <c r="D16" s="95">
        <f>40+5.4</f>
        <v>45.4</v>
      </c>
      <c r="E16" s="95"/>
      <c r="F16" s="94"/>
      <c r="G16" s="98"/>
      <c r="H16" s="97"/>
      <c r="I16" s="96"/>
      <c r="J16" s="95">
        <v>100</v>
      </c>
      <c r="K16" s="95"/>
      <c r="L16" s="94">
        <f>+J16*D16/1000</f>
        <v>4.54</v>
      </c>
    </row>
    <row r="17" spans="1:12" ht="14.25">
      <c r="A17" s="93" t="s">
        <v>721</v>
      </c>
      <c r="B17" s="92" t="s">
        <v>710</v>
      </c>
      <c r="C17" s="99"/>
      <c r="D17" s="95">
        <v>40</v>
      </c>
      <c r="E17" s="95">
        <v>4.8</v>
      </c>
      <c r="F17" s="60">
        <f>+E17*D17</f>
        <v>192</v>
      </c>
      <c r="G17" s="98"/>
      <c r="H17" s="97"/>
      <c r="I17" s="96"/>
      <c r="J17" s="95"/>
      <c r="K17" s="95">
        <v>135</v>
      </c>
      <c r="L17" s="94">
        <f>+K17*F17/1000</f>
        <v>25.92</v>
      </c>
    </row>
    <row r="18" spans="1:12" ht="14.25">
      <c r="A18" s="93" t="s">
        <v>720</v>
      </c>
      <c r="B18" s="92" t="s">
        <v>710</v>
      </c>
      <c r="C18" s="99"/>
      <c r="D18" s="95">
        <f>14*(1.7+0.15)</f>
        <v>25.9</v>
      </c>
      <c r="E18" s="95"/>
      <c r="F18" s="94"/>
      <c r="G18" s="98"/>
      <c r="H18" s="97"/>
      <c r="I18" s="96"/>
      <c r="J18" s="95">
        <v>68</v>
      </c>
      <c r="K18" s="95"/>
      <c r="L18" s="94">
        <f>+J18*D18/1000</f>
        <v>1.7611999999999999</v>
      </c>
    </row>
    <row r="19" spans="1:12" ht="15" thickBot="1">
      <c r="A19" s="93"/>
      <c r="B19" s="92"/>
      <c r="C19" s="91"/>
      <c r="D19" s="87"/>
      <c r="E19" s="87"/>
      <c r="F19" s="86"/>
      <c r="G19" s="90"/>
      <c r="H19" s="89"/>
      <c r="I19" s="88"/>
      <c r="J19" s="87"/>
      <c r="K19" s="87"/>
      <c r="L19" s="86"/>
    </row>
    <row r="20" spans="1:12" ht="15" thickBot="1">
      <c r="A20" s="45" t="s">
        <v>719</v>
      </c>
      <c r="B20" s="44" t="s">
        <v>710</v>
      </c>
      <c r="C20" s="43"/>
      <c r="D20" s="38"/>
      <c r="E20" s="38"/>
      <c r="F20" s="42"/>
      <c r="G20" s="41"/>
      <c r="H20" s="40"/>
      <c r="I20" s="39"/>
      <c r="J20" s="38"/>
      <c r="K20" s="38"/>
      <c r="L20" s="37">
        <f>SUM(L13:L19)</f>
        <v>120.3812</v>
      </c>
    </row>
    <row r="21" spans="2:12" ht="12.75">
      <c r="B21" s="83"/>
      <c r="C21" s="83"/>
      <c r="D21" s="83"/>
      <c r="E21" s="83"/>
      <c r="F21" s="84"/>
      <c r="G21" s="83"/>
      <c r="H21" s="83"/>
      <c r="I21" s="83"/>
      <c r="J21" s="83"/>
      <c r="K21" s="83"/>
      <c r="L21" s="85"/>
    </row>
    <row r="22" spans="2:12" ht="12.75">
      <c r="B22" s="83"/>
      <c r="C22" s="83"/>
      <c r="D22" s="83"/>
      <c r="E22" s="83"/>
      <c r="F22" s="84"/>
      <c r="G22" s="83"/>
      <c r="H22" s="83"/>
      <c r="I22" s="83"/>
      <c r="J22" s="83"/>
      <c r="K22" s="83"/>
      <c r="L22" s="82"/>
    </row>
    <row r="23" spans="2:12" ht="12.75">
      <c r="B23" s="83"/>
      <c r="C23" s="83"/>
      <c r="D23" s="83"/>
      <c r="E23" s="83"/>
      <c r="F23" s="84"/>
      <c r="G23" s="83"/>
      <c r="H23" s="83"/>
      <c r="I23" s="83"/>
      <c r="J23" s="83"/>
      <c r="K23" s="83"/>
      <c r="L23" s="82"/>
    </row>
    <row r="24" spans="2:12" ht="12.75">
      <c r="B24" s="83"/>
      <c r="C24" s="83"/>
      <c r="D24" s="83"/>
      <c r="E24" s="83"/>
      <c r="F24" s="84"/>
      <c r="G24" s="83"/>
      <c r="H24" s="83"/>
      <c r="I24" s="83"/>
      <c r="J24" s="83"/>
      <c r="K24" s="83"/>
      <c r="L24" s="82"/>
    </row>
    <row r="25" spans="2:12" ht="12.75">
      <c r="B25" s="83"/>
      <c r="C25" s="83"/>
      <c r="D25" s="83"/>
      <c r="E25" s="83"/>
      <c r="F25" s="84"/>
      <c r="G25" s="83"/>
      <c r="H25" s="83"/>
      <c r="I25" s="83"/>
      <c r="J25" s="83"/>
      <c r="K25" s="83"/>
      <c r="L25" s="82"/>
    </row>
    <row r="26" spans="2:12" ht="12.75">
      <c r="B26" s="83"/>
      <c r="C26" s="83"/>
      <c r="D26" s="83"/>
      <c r="E26" s="83"/>
      <c r="F26" s="84"/>
      <c r="G26" s="83"/>
      <c r="H26" s="83"/>
      <c r="I26" s="83"/>
      <c r="J26" s="83"/>
      <c r="K26" s="83"/>
      <c r="L26" s="82"/>
    </row>
    <row r="27" spans="2:12" ht="12.75">
      <c r="B27" s="83"/>
      <c r="C27" s="83"/>
      <c r="D27" s="83"/>
      <c r="E27" s="83"/>
      <c r="F27" s="84"/>
      <c r="G27" s="83"/>
      <c r="H27" s="83"/>
      <c r="I27" s="83"/>
      <c r="J27" s="83"/>
      <c r="K27" s="83"/>
      <c r="L27" s="82"/>
    </row>
    <row r="28" spans="2:12" ht="12.75">
      <c r="B28" s="83"/>
      <c r="C28" s="83"/>
      <c r="D28" s="83"/>
      <c r="E28" s="83"/>
      <c r="F28" s="84"/>
      <c r="G28" s="83"/>
      <c r="H28" s="83"/>
      <c r="I28" s="83"/>
      <c r="J28" s="83"/>
      <c r="K28" s="83"/>
      <c r="L28" s="82"/>
    </row>
    <row r="29" spans="2:12" ht="12.75">
      <c r="B29" s="83"/>
      <c r="C29" s="83"/>
      <c r="D29" s="83"/>
      <c r="E29" s="83"/>
      <c r="F29" s="84"/>
      <c r="G29" s="83"/>
      <c r="H29" s="83"/>
      <c r="I29" s="83"/>
      <c r="J29" s="83"/>
      <c r="K29" s="83"/>
      <c r="L29" s="82"/>
    </row>
    <row r="30" spans="2:12" ht="12.75">
      <c r="B30" s="83"/>
      <c r="C30" s="83"/>
      <c r="D30" s="83"/>
      <c r="E30" s="83"/>
      <c r="F30" s="84"/>
      <c r="G30" s="83"/>
      <c r="H30" s="83"/>
      <c r="I30" s="83"/>
      <c r="J30" s="83"/>
      <c r="K30" s="83"/>
      <c r="L30" s="82"/>
    </row>
    <row r="31" spans="2:12" ht="13.5" thickBot="1">
      <c r="B31" s="83"/>
      <c r="C31" s="83"/>
      <c r="D31" s="83"/>
      <c r="E31" s="83"/>
      <c r="F31" s="84"/>
      <c r="G31" s="83"/>
      <c r="H31" s="83"/>
      <c r="I31" s="83"/>
      <c r="J31" s="83"/>
      <c r="K31" s="83"/>
      <c r="L31" s="82"/>
    </row>
    <row r="32" spans="1:12" ht="15">
      <c r="A32" s="72" t="s">
        <v>718</v>
      </c>
      <c r="B32" s="71" t="s">
        <v>31</v>
      </c>
      <c r="C32" s="70"/>
      <c r="D32" s="66"/>
      <c r="E32" s="66"/>
      <c r="F32" s="69"/>
      <c r="G32" s="65"/>
      <c r="H32" s="68"/>
      <c r="I32" s="67"/>
      <c r="J32" s="66"/>
      <c r="K32" s="65"/>
      <c r="L32" s="64"/>
    </row>
    <row r="33" spans="1:12" ht="15" thickBot="1">
      <c r="A33" s="54" t="s">
        <v>717</v>
      </c>
      <c r="B33" s="53" t="s">
        <v>712</v>
      </c>
      <c r="C33" s="52"/>
      <c r="D33" s="48">
        <v>40</v>
      </c>
      <c r="E33" s="48">
        <v>4.3</v>
      </c>
      <c r="F33" s="51">
        <f>+E33*D33</f>
        <v>172</v>
      </c>
      <c r="G33" s="47">
        <v>0.055</v>
      </c>
      <c r="H33" s="50">
        <f>+F33*G33</f>
        <v>9.46</v>
      </c>
      <c r="I33" s="49">
        <v>2200</v>
      </c>
      <c r="J33" s="48"/>
      <c r="K33" s="47"/>
      <c r="L33" s="46">
        <f>+H33*I33/1000</f>
        <v>20.812000000000005</v>
      </c>
    </row>
    <row r="34" spans="1:12" ht="17.25" customHeight="1" thickBot="1">
      <c r="A34" s="45" t="s">
        <v>716</v>
      </c>
      <c r="B34" s="44" t="s">
        <v>710</v>
      </c>
      <c r="C34" s="43"/>
      <c r="D34" s="38"/>
      <c r="E34" s="38"/>
      <c r="F34" s="42"/>
      <c r="G34" s="41"/>
      <c r="H34" s="40"/>
      <c r="I34" s="39"/>
      <c r="J34" s="38"/>
      <c r="K34" s="38"/>
      <c r="L34" s="37">
        <f>SUM(L33)</f>
        <v>20.812000000000005</v>
      </c>
    </row>
    <row r="35" spans="1:12" ht="15" thickBot="1">
      <c r="A35" s="81"/>
      <c r="B35" s="80"/>
      <c r="C35" s="79"/>
      <c r="D35" s="75"/>
      <c r="E35" s="75"/>
      <c r="F35" s="78"/>
      <c r="G35" s="74"/>
      <c r="H35" s="77"/>
      <c r="I35" s="76"/>
      <c r="J35" s="75"/>
      <c r="K35" s="74"/>
      <c r="L35" s="73"/>
    </row>
    <row r="36" spans="1:12" ht="15">
      <c r="A36" s="72" t="s">
        <v>715</v>
      </c>
      <c r="B36" s="71" t="s">
        <v>31</v>
      </c>
      <c r="C36" s="70"/>
      <c r="D36" s="66"/>
      <c r="E36" s="66"/>
      <c r="F36" s="69"/>
      <c r="G36" s="65"/>
      <c r="H36" s="68"/>
      <c r="I36" s="67"/>
      <c r="J36" s="66"/>
      <c r="K36" s="65"/>
      <c r="L36" s="64"/>
    </row>
    <row r="37" spans="1:12" ht="14.25">
      <c r="A37" s="63" t="s">
        <v>714</v>
      </c>
      <c r="B37" s="62" t="s">
        <v>712</v>
      </c>
      <c r="C37" s="61"/>
      <c r="D37" s="57">
        <f>40+5.4</f>
        <v>45.4</v>
      </c>
      <c r="E37" s="57">
        <v>1.35</v>
      </c>
      <c r="F37" s="60">
        <f>+E37*D37</f>
        <v>61.29</v>
      </c>
      <c r="G37" s="56">
        <v>0.05</v>
      </c>
      <c r="H37" s="59">
        <f>+F37*G37</f>
        <v>3.0645000000000002</v>
      </c>
      <c r="I37" s="58">
        <v>500</v>
      </c>
      <c r="J37" s="57"/>
      <c r="K37" s="56"/>
      <c r="L37" s="55">
        <f>+H37*I37/1000</f>
        <v>1.53225</v>
      </c>
    </row>
    <row r="38" spans="1:12" ht="15" thickBot="1">
      <c r="A38" s="54" t="s">
        <v>713</v>
      </c>
      <c r="B38" s="53" t="s">
        <v>712</v>
      </c>
      <c r="C38" s="52"/>
      <c r="D38" s="48">
        <f>40+5.4</f>
        <v>45.4</v>
      </c>
      <c r="E38" s="48">
        <v>0.48</v>
      </c>
      <c r="F38" s="51">
        <f>+E38*D38</f>
        <v>21.791999999999998</v>
      </c>
      <c r="G38" s="47">
        <v>0.16</v>
      </c>
      <c r="H38" s="50">
        <f>+F38*G38</f>
        <v>3.4867199999999996</v>
      </c>
      <c r="I38" s="49">
        <v>500</v>
      </c>
      <c r="J38" s="48"/>
      <c r="K38" s="47"/>
      <c r="L38" s="46">
        <f>+H38*I38/1000</f>
        <v>1.7433599999999998</v>
      </c>
    </row>
    <row r="39" spans="1:12" ht="21" customHeight="1" thickBot="1">
      <c r="A39" s="45" t="s">
        <v>711</v>
      </c>
      <c r="B39" s="44" t="s">
        <v>710</v>
      </c>
      <c r="C39" s="43"/>
      <c r="D39" s="38"/>
      <c r="E39" s="38"/>
      <c r="F39" s="42"/>
      <c r="G39" s="41"/>
      <c r="H39" s="40"/>
      <c r="I39" s="39"/>
      <c r="J39" s="38"/>
      <c r="K39" s="38"/>
      <c r="L39" s="37">
        <f>SUM(L37:L38)</f>
        <v>3.2756099999999995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465"/>
  <sheetViews>
    <sheetView view="pageBreakPreview" zoomScaleSheetLayoutView="100" zoomScalePageLayoutView="0" workbookViewId="0" topLeftCell="A1">
      <pane ySplit="7" topLeftCell="A263" activePane="bottomLeft" state="frozen"/>
      <selection pane="topLeft" activeCell="G9" sqref="G9"/>
      <selection pane="bottomLeft" activeCell="F3" sqref="F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9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0+O8+O17+O98+O191+O228+O281+O302+O311+O348+O381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85" t="s">
        <v>12</v>
      </c>
      <c r="D3" s="781"/>
      <c r="E3" s="11" t="s">
        <v>13</v>
      </c>
      <c r="F3" s="756">
        <v>43558</v>
      </c>
      <c r="G3" s="8"/>
      <c r="H3" s="7" t="s">
        <v>272</v>
      </c>
      <c r="I3" s="33">
        <f>0+I8+I17+I98+I191+I228+I281+I302+I311+I348+I381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86" t="s">
        <v>272</v>
      </c>
      <c r="D4" s="787"/>
      <c r="E4" s="14" t="s">
        <v>273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84" t="s">
        <v>23</v>
      </c>
      <c r="B5" s="784" t="s">
        <v>25</v>
      </c>
      <c r="C5" s="784" t="s">
        <v>27</v>
      </c>
      <c r="D5" s="784" t="s">
        <v>28</v>
      </c>
      <c r="E5" s="784" t="s">
        <v>29</v>
      </c>
      <c r="F5" s="784" t="s">
        <v>31</v>
      </c>
      <c r="G5" s="784" t="s">
        <v>33</v>
      </c>
      <c r="H5" s="784" t="s">
        <v>35</v>
      </c>
      <c r="I5" s="784"/>
      <c r="J5" s="784" t="s">
        <v>40</v>
      </c>
      <c r="O5" t="s">
        <v>18</v>
      </c>
      <c r="P5" t="s">
        <v>20</v>
      </c>
    </row>
    <row r="6" spans="1:10" ht="12.75" customHeight="1">
      <c r="A6" s="784"/>
      <c r="B6" s="784"/>
      <c r="C6" s="784"/>
      <c r="D6" s="784"/>
      <c r="E6" s="784"/>
      <c r="F6" s="784"/>
      <c r="G6" s="784"/>
      <c r="H6" s="12" t="s">
        <v>36</v>
      </c>
      <c r="I6" s="12" t="s">
        <v>38</v>
      </c>
      <c r="J6" s="784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0+I9+I13</f>
        <v>0</v>
      </c>
      <c r="R8">
        <f>0+O9+O13</f>
        <v>0</v>
      </c>
    </row>
    <row r="9" spans="1:16" ht="12.75">
      <c r="A9" s="18" t="s">
        <v>44</v>
      </c>
      <c r="B9" s="22">
        <v>1</v>
      </c>
      <c r="C9" s="22" t="s">
        <v>45</v>
      </c>
      <c r="D9" s="18" t="s">
        <v>46</v>
      </c>
      <c r="E9" s="23" t="s">
        <v>47</v>
      </c>
      <c r="F9" s="24" t="s">
        <v>48</v>
      </c>
      <c r="G9" s="25">
        <v>693.38</v>
      </c>
      <c r="H9" s="26"/>
      <c r="I9" s="26">
        <f>ROUND(ROUND(H9,2)*ROUND(G9,3),2)</f>
        <v>0</v>
      </c>
      <c r="J9" s="24" t="s">
        <v>49</v>
      </c>
      <c r="O9">
        <f>(I9*21)/100</f>
        <v>0</v>
      </c>
      <c r="P9" t="s">
        <v>20</v>
      </c>
    </row>
    <row r="10" spans="1:5" ht="12.75">
      <c r="A10" s="27" t="s">
        <v>50</v>
      </c>
      <c r="E10" s="28" t="s">
        <v>51</v>
      </c>
    </row>
    <row r="11" spans="1:5" ht="12.75">
      <c r="A11" s="29" t="s">
        <v>52</v>
      </c>
      <c r="E11" s="30" t="s">
        <v>274</v>
      </c>
    </row>
    <row r="12" spans="1:5" ht="25.5">
      <c r="A12" t="s">
        <v>54</v>
      </c>
      <c r="E12" s="28" t="s">
        <v>55</v>
      </c>
    </row>
    <row r="13" spans="1:16" ht="12.75">
      <c r="A13" s="18" t="s">
        <v>44</v>
      </c>
      <c r="B13" s="22">
        <f>MAX(B2:B9)+1</f>
        <v>2</v>
      </c>
      <c r="C13" s="22" t="s">
        <v>56</v>
      </c>
      <c r="D13" s="18" t="s">
        <v>19</v>
      </c>
      <c r="E13" s="23" t="s">
        <v>47</v>
      </c>
      <c r="F13" s="24" t="s">
        <v>57</v>
      </c>
      <c r="G13" s="25">
        <v>402.9</v>
      </c>
      <c r="H13" s="26"/>
      <c r="I13" s="26">
        <f>ROUND(ROUND(H13,2)*ROUND(G13,3),2)</f>
        <v>0</v>
      </c>
      <c r="J13" s="24" t="s">
        <v>49</v>
      </c>
      <c r="O13">
        <f>(I13*21)/100</f>
        <v>0</v>
      </c>
      <c r="P13" t="s">
        <v>20</v>
      </c>
    </row>
    <row r="14" spans="1:5" ht="12.75">
      <c r="A14" s="27" t="s">
        <v>50</v>
      </c>
      <c r="E14" s="28" t="s">
        <v>62</v>
      </c>
    </row>
    <row r="15" spans="1:5" ht="12.75">
      <c r="A15" s="29" t="s">
        <v>52</v>
      </c>
      <c r="E15" s="30" t="s">
        <v>275</v>
      </c>
    </row>
    <row r="16" spans="1:5" ht="25.5">
      <c r="A16" t="s">
        <v>54</v>
      </c>
      <c r="E16" s="28" t="s">
        <v>55</v>
      </c>
    </row>
    <row r="17" spans="1:18" ht="12.75" customHeight="1">
      <c r="A17" s="5" t="s">
        <v>42</v>
      </c>
      <c r="B17" s="5"/>
      <c r="C17" s="31" t="s">
        <v>26</v>
      </c>
      <c r="D17" s="5"/>
      <c r="E17" s="20" t="s">
        <v>64</v>
      </c>
      <c r="F17" s="5"/>
      <c r="G17" s="5"/>
      <c r="H17" s="5"/>
      <c r="I17" s="32">
        <f>0+Q17</f>
        <v>0</v>
      </c>
      <c r="J17" s="5"/>
      <c r="O17">
        <f>0+R17</f>
        <v>0</v>
      </c>
      <c r="Q17">
        <f>0+I18+I22+I26+I30+I34+I38+I42+I46+I50+I54+I58+I62+I66+I70+I74+I78+I82+I86+I90+I94</f>
        <v>0</v>
      </c>
      <c r="R17">
        <f>0+O18+O22+O26+O30+O34+O38+O42+O46+O50+O54+O58+O62+O66+O70+O74+O78+O82+O86+O90+O94</f>
        <v>0</v>
      </c>
    </row>
    <row r="18" spans="1:16" ht="12.75">
      <c r="A18" s="18" t="s">
        <v>44</v>
      </c>
      <c r="B18" s="22">
        <f>MAX(B7:B14)+1</f>
        <v>3</v>
      </c>
      <c r="C18" s="22" t="s">
        <v>276</v>
      </c>
      <c r="D18" s="18" t="s">
        <v>46</v>
      </c>
      <c r="E18" s="23" t="s">
        <v>277</v>
      </c>
      <c r="F18" s="24" t="s">
        <v>106</v>
      </c>
      <c r="G18" s="25">
        <v>3239.5</v>
      </c>
      <c r="H18" s="26"/>
      <c r="I18" s="26">
        <f>ROUND(ROUND(H18,2)*ROUND(G18,3),2)</f>
        <v>0</v>
      </c>
      <c r="J18" s="24" t="s">
        <v>49</v>
      </c>
      <c r="O18">
        <f>(I18*21)/100</f>
        <v>0</v>
      </c>
      <c r="P18" t="s">
        <v>20</v>
      </c>
    </row>
    <row r="19" spans="1:5" ht="12.75">
      <c r="A19" s="27" t="s">
        <v>50</v>
      </c>
      <c r="E19" s="28" t="s">
        <v>278</v>
      </c>
    </row>
    <row r="20" spans="1:5" ht="12.75">
      <c r="A20" s="29" t="s">
        <v>52</v>
      </c>
      <c r="E20" s="30" t="s">
        <v>279</v>
      </c>
    </row>
    <row r="21" spans="1:5" ht="38.25">
      <c r="A21" t="s">
        <v>54</v>
      </c>
      <c r="E21" s="28" t="s">
        <v>280</v>
      </c>
    </row>
    <row r="22" spans="1:16" ht="25.5">
      <c r="A22" s="18" t="s">
        <v>44</v>
      </c>
      <c r="B22" s="22">
        <f>MAX(B11:B18)+1</f>
        <v>4</v>
      </c>
      <c r="C22" s="22" t="s">
        <v>281</v>
      </c>
      <c r="D22" s="18" t="s">
        <v>46</v>
      </c>
      <c r="E22" s="23" t="s">
        <v>282</v>
      </c>
      <c r="F22" s="24" t="s">
        <v>210</v>
      </c>
      <c r="G22" s="25">
        <v>36</v>
      </c>
      <c r="H22" s="26"/>
      <c r="I22" s="26">
        <f>ROUND(ROUND(H22,2)*ROUND(G22,3),2)</f>
        <v>0</v>
      </c>
      <c r="J22" s="24" t="s">
        <v>49</v>
      </c>
      <c r="O22">
        <f>(I22*21)/100</f>
        <v>0</v>
      </c>
      <c r="P22" t="s">
        <v>20</v>
      </c>
    </row>
    <row r="23" spans="1:5" ht="12.75">
      <c r="A23" s="27" t="s">
        <v>50</v>
      </c>
      <c r="E23" s="28" t="s">
        <v>278</v>
      </c>
    </row>
    <row r="24" spans="1:5" ht="12.75">
      <c r="A24" s="29" t="s">
        <v>52</v>
      </c>
      <c r="E24" s="30" t="s">
        <v>279</v>
      </c>
    </row>
    <row r="25" spans="1:5" ht="165.75">
      <c r="A25" t="s">
        <v>54</v>
      </c>
      <c r="E25" s="28" t="s">
        <v>283</v>
      </c>
    </row>
    <row r="26" spans="1:16" ht="25.5">
      <c r="A26" s="18" t="s">
        <v>44</v>
      </c>
      <c r="B26" s="22">
        <f>MAX(B15:B22)+1</f>
        <v>5</v>
      </c>
      <c r="C26" s="22" t="s">
        <v>284</v>
      </c>
      <c r="D26" s="18" t="s">
        <v>46</v>
      </c>
      <c r="E26" s="23" t="s">
        <v>285</v>
      </c>
      <c r="F26" s="24" t="s">
        <v>210</v>
      </c>
      <c r="G26" s="25">
        <v>6</v>
      </c>
      <c r="H26" s="26"/>
      <c r="I26" s="26">
        <f>ROUND(ROUND(H26,2)*ROUND(G26,3),2)</f>
        <v>0</v>
      </c>
      <c r="J26" s="24" t="s">
        <v>49</v>
      </c>
      <c r="O26">
        <f>(I26*21)/100</f>
        <v>0</v>
      </c>
      <c r="P26" t="s">
        <v>20</v>
      </c>
    </row>
    <row r="27" spans="1:5" ht="12.75">
      <c r="A27" s="27" t="s">
        <v>50</v>
      </c>
      <c r="E27" s="28" t="s">
        <v>278</v>
      </c>
    </row>
    <row r="28" spans="1:5" ht="12.75">
      <c r="A28" s="29" t="s">
        <v>52</v>
      </c>
      <c r="E28" s="30" t="s">
        <v>279</v>
      </c>
    </row>
    <row r="29" spans="1:5" ht="165.75">
      <c r="A29" t="s">
        <v>54</v>
      </c>
      <c r="E29" s="28" t="s">
        <v>283</v>
      </c>
    </row>
    <row r="30" spans="1:16" ht="12.75">
      <c r="A30" s="18" t="s">
        <v>44</v>
      </c>
      <c r="B30" s="22">
        <f>MAX(B19:B26)+1</f>
        <v>6</v>
      </c>
      <c r="C30" s="22" t="s">
        <v>286</v>
      </c>
      <c r="D30" s="18" t="s">
        <v>46</v>
      </c>
      <c r="E30" s="23" t="s">
        <v>287</v>
      </c>
      <c r="F30" s="24" t="s">
        <v>210</v>
      </c>
      <c r="G30" s="25">
        <v>36</v>
      </c>
      <c r="H30" s="26"/>
      <c r="I30" s="26">
        <f>ROUND(ROUND(H30,2)*ROUND(G30,3),2)</f>
        <v>0</v>
      </c>
      <c r="J30" s="24" t="s">
        <v>49</v>
      </c>
      <c r="O30">
        <f>(I30*21)/100</f>
        <v>0</v>
      </c>
      <c r="P30" t="s">
        <v>20</v>
      </c>
    </row>
    <row r="31" spans="1:5" ht="12.75">
      <c r="A31" s="27" t="s">
        <v>50</v>
      </c>
      <c r="E31" s="28" t="s">
        <v>278</v>
      </c>
    </row>
    <row r="32" spans="1:5" ht="12.75">
      <c r="A32" s="29" t="s">
        <v>52</v>
      </c>
      <c r="E32" s="30" t="s">
        <v>279</v>
      </c>
    </row>
    <row r="33" spans="1:5" ht="51">
      <c r="A33" t="s">
        <v>54</v>
      </c>
      <c r="E33" s="28" t="s">
        <v>288</v>
      </c>
    </row>
    <row r="34" spans="1:16" ht="12.75">
      <c r="A34" s="18" t="s">
        <v>44</v>
      </c>
      <c r="B34" s="22">
        <f>MAX(B23:B30)+1</f>
        <v>7</v>
      </c>
      <c r="C34" s="22" t="s">
        <v>289</v>
      </c>
      <c r="D34" s="18" t="s">
        <v>46</v>
      </c>
      <c r="E34" s="23" t="s">
        <v>290</v>
      </c>
      <c r="F34" s="24" t="s">
        <v>210</v>
      </c>
      <c r="G34" s="25">
        <v>6</v>
      </c>
      <c r="H34" s="26"/>
      <c r="I34" s="26">
        <f>ROUND(ROUND(H34,2)*ROUND(G34,3),2)</f>
        <v>0</v>
      </c>
      <c r="J34" s="24" t="s">
        <v>49</v>
      </c>
      <c r="O34">
        <f>(I34*21)/100</f>
        <v>0</v>
      </c>
      <c r="P34" t="s">
        <v>20</v>
      </c>
    </row>
    <row r="35" spans="1:5" ht="12.75">
      <c r="A35" s="27" t="s">
        <v>50</v>
      </c>
      <c r="E35" s="28" t="s">
        <v>278</v>
      </c>
    </row>
    <row r="36" spans="1:5" ht="12.75">
      <c r="A36" s="29" t="s">
        <v>52</v>
      </c>
      <c r="E36" s="30" t="s">
        <v>279</v>
      </c>
    </row>
    <row r="37" spans="1:5" ht="51">
      <c r="A37" t="s">
        <v>54</v>
      </c>
      <c r="E37" s="28" t="s">
        <v>288</v>
      </c>
    </row>
    <row r="38" spans="1:16" ht="12.75">
      <c r="A38" s="18" t="s">
        <v>44</v>
      </c>
      <c r="B38" s="22">
        <f>MAX(B27:B34)+1</f>
        <v>8</v>
      </c>
      <c r="C38" s="22" t="s">
        <v>78</v>
      </c>
      <c r="D38" s="18" t="s">
        <v>46</v>
      </c>
      <c r="E38" s="23" t="s">
        <v>79</v>
      </c>
      <c r="F38" s="24" t="s">
        <v>80</v>
      </c>
      <c r="G38" s="25">
        <v>95.4</v>
      </c>
      <c r="H38" s="26"/>
      <c r="I38" s="26">
        <f>ROUND(ROUND(H38,2)*ROUND(G38,3),2)</f>
        <v>0</v>
      </c>
      <c r="J38" s="24" t="s">
        <v>49</v>
      </c>
      <c r="O38">
        <f>(I38*21)/100</f>
        <v>0</v>
      </c>
      <c r="P38" t="s">
        <v>20</v>
      </c>
    </row>
    <row r="39" spans="1:5" ht="25.5">
      <c r="A39" s="27" t="s">
        <v>50</v>
      </c>
      <c r="E39" s="28" t="s">
        <v>291</v>
      </c>
    </row>
    <row r="40" spans="1:5" ht="12.75">
      <c r="A40" s="29" t="s">
        <v>52</v>
      </c>
      <c r="E40" s="30" t="s">
        <v>279</v>
      </c>
    </row>
    <row r="41" spans="1:5" ht="63.75">
      <c r="A41" t="s">
        <v>54</v>
      </c>
      <c r="E41" s="28" t="s">
        <v>68</v>
      </c>
    </row>
    <row r="42" spans="1:16" ht="12.75">
      <c r="A42" s="18" t="s">
        <v>44</v>
      </c>
      <c r="B42" s="22">
        <f>MAX(B31:B38)+1</f>
        <v>9</v>
      </c>
      <c r="C42" s="22" t="s">
        <v>82</v>
      </c>
      <c r="D42" s="18" t="s">
        <v>46</v>
      </c>
      <c r="E42" s="23" t="s">
        <v>83</v>
      </c>
      <c r="F42" s="24" t="s">
        <v>84</v>
      </c>
      <c r="G42" s="25">
        <v>112.691</v>
      </c>
      <c r="H42" s="26"/>
      <c r="I42" s="26">
        <f>ROUND(ROUND(H42,2)*ROUND(G42,3),2)</f>
        <v>0</v>
      </c>
      <c r="J42" s="24" t="s">
        <v>49</v>
      </c>
      <c r="O42">
        <f>(I42*21)/100</f>
        <v>0</v>
      </c>
      <c r="P42" t="s">
        <v>20</v>
      </c>
    </row>
    <row r="43" spans="1:5" ht="12.75">
      <c r="A43" s="27" t="s">
        <v>50</v>
      </c>
      <c r="E43" s="28" t="s">
        <v>46</v>
      </c>
    </row>
    <row r="44" spans="1:5" ht="12.75">
      <c r="A44" s="29" t="s">
        <v>52</v>
      </c>
      <c r="E44" s="30" t="s">
        <v>292</v>
      </c>
    </row>
    <row r="45" spans="1:5" ht="25.5">
      <c r="A45" t="s">
        <v>54</v>
      </c>
      <c r="E45" s="28" t="s">
        <v>86</v>
      </c>
    </row>
    <row r="46" spans="1:16" ht="12.75">
      <c r="A46" s="18" t="s">
        <v>44</v>
      </c>
      <c r="B46" s="22">
        <f>MAX(B35:B42)+1</f>
        <v>10</v>
      </c>
      <c r="C46" s="22" t="s">
        <v>293</v>
      </c>
      <c r="D46" s="18" t="s">
        <v>46</v>
      </c>
      <c r="E46" s="23" t="s">
        <v>294</v>
      </c>
      <c r="F46" s="24" t="s">
        <v>48</v>
      </c>
      <c r="G46" s="25">
        <v>31.5</v>
      </c>
      <c r="H46" s="26"/>
      <c r="I46" s="26">
        <f>ROUND(ROUND(H46,2)*ROUND(G46,3),2)</f>
        <v>0</v>
      </c>
      <c r="J46" s="24" t="s">
        <v>49</v>
      </c>
      <c r="O46">
        <f>(I46*21)/100</f>
        <v>0</v>
      </c>
      <c r="P46" t="s">
        <v>20</v>
      </c>
    </row>
    <row r="47" spans="1:5" ht="12.75">
      <c r="A47" s="27" t="s">
        <v>50</v>
      </c>
      <c r="E47" s="28" t="s">
        <v>46</v>
      </c>
    </row>
    <row r="48" spans="1:5" ht="12.75">
      <c r="A48" s="29" t="s">
        <v>52</v>
      </c>
      <c r="E48" s="30" t="s">
        <v>295</v>
      </c>
    </row>
    <row r="49" spans="1:5" ht="38.25">
      <c r="A49" t="s">
        <v>54</v>
      </c>
      <c r="E49" s="28" t="s">
        <v>296</v>
      </c>
    </row>
    <row r="50" spans="1:16" ht="12.75">
      <c r="A50" s="18" t="s">
        <v>44</v>
      </c>
      <c r="B50" s="22">
        <f>MAX(B39:B46)+1</f>
        <v>11</v>
      </c>
      <c r="C50" s="22" t="s">
        <v>297</v>
      </c>
      <c r="D50" s="18" t="s">
        <v>46</v>
      </c>
      <c r="E50" s="23" t="s">
        <v>298</v>
      </c>
      <c r="F50" s="24" t="s">
        <v>299</v>
      </c>
      <c r="G50" s="25">
        <v>1008</v>
      </c>
      <c r="H50" s="26"/>
      <c r="I50" s="26">
        <f>ROUND(ROUND(H50,2)*ROUND(G50,3),2)</f>
        <v>0</v>
      </c>
      <c r="J50" s="24" t="s">
        <v>49</v>
      </c>
      <c r="O50">
        <f>(I50*21)/100</f>
        <v>0</v>
      </c>
      <c r="P50" t="s">
        <v>20</v>
      </c>
    </row>
    <row r="51" spans="1:5" ht="12.75">
      <c r="A51" s="27" t="s">
        <v>50</v>
      </c>
      <c r="E51" s="28" t="s">
        <v>46</v>
      </c>
    </row>
    <row r="52" spans="1:5" ht="12.75">
      <c r="A52" s="29" t="s">
        <v>52</v>
      </c>
      <c r="E52" s="30" t="s">
        <v>279</v>
      </c>
    </row>
    <row r="53" spans="1:5" ht="38.25">
      <c r="A53" t="s">
        <v>54</v>
      </c>
      <c r="E53" s="28" t="s">
        <v>300</v>
      </c>
    </row>
    <row r="54" spans="1:16" ht="12.75">
      <c r="A54" s="18" t="s">
        <v>44</v>
      </c>
      <c r="B54" s="22">
        <f>MAX(B43:B50)+1</f>
        <v>12</v>
      </c>
      <c r="C54" s="22" t="s">
        <v>301</v>
      </c>
      <c r="D54" s="18" t="s">
        <v>46</v>
      </c>
      <c r="E54" s="23" t="s">
        <v>302</v>
      </c>
      <c r="F54" s="24" t="s">
        <v>48</v>
      </c>
      <c r="G54" s="25">
        <v>886.99</v>
      </c>
      <c r="H54" s="26"/>
      <c r="I54" s="26">
        <f>ROUND(ROUND(H54,2)*ROUND(G54,3),2)</f>
        <v>0</v>
      </c>
      <c r="J54" s="24" t="s">
        <v>49</v>
      </c>
      <c r="O54">
        <f>(I54*21)/100</f>
        <v>0</v>
      </c>
      <c r="P54" t="s">
        <v>20</v>
      </c>
    </row>
    <row r="55" spans="1:5" ht="12.75">
      <c r="A55" s="27" t="s">
        <v>50</v>
      </c>
      <c r="E55" s="28" t="s">
        <v>46</v>
      </c>
    </row>
    <row r="56" spans="1:5" ht="12.75">
      <c r="A56" s="29" t="s">
        <v>52</v>
      </c>
      <c r="E56" s="30" t="s">
        <v>279</v>
      </c>
    </row>
    <row r="57" spans="1:5" ht="318.75">
      <c r="A57" t="s">
        <v>54</v>
      </c>
      <c r="E57" s="28" t="s">
        <v>303</v>
      </c>
    </row>
    <row r="58" spans="1:16" ht="12.75">
      <c r="A58" s="18" t="s">
        <v>44</v>
      </c>
      <c r="B58" s="22">
        <f>MAX(B47:B54)+1</f>
        <v>13</v>
      </c>
      <c r="C58" s="22" t="s">
        <v>304</v>
      </c>
      <c r="D58" s="18" t="s">
        <v>46</v>
      </c>
      <c r="E58" s="23" t="s">
        <v>305</v>
      </c>
      <c r="F58" s="24" t="s">
        <v>48</v>
      </c>
      <c r="G58" s="25">
        <v>273.075</v>
      </c>
      <c r="H58" s="26"/>
      <c r="I58" s="26">
        <f>ROUND(ROUND(H58,2)*ROUND(G58,3),2)</f>
        <v>0</v>
      </c>
      <c r="J58" s="24" t="s">
        <v>49</v>
      </c>
      <c r="O58">
        <f>(I58*21)/100</f>
        <v>0</v>
      </c>
      <c r="P58" t="s">
        <v>20</v>
      </c>
    </row>
    <row r="59" spans="1:5" ht="12.75">
      <c r="A59" s="27" t="s">
        <v>50</v>
      </c>
      <c r="E59" s="28" t="s">
        <v>46</v>
      </c>
    </row>
    <row r="60" spans="1:5" ht="12.75">
      <c r="A60" s="29" t="s">
        <v>52</v>
      </c>
      <c r="E60" s="30" t="s">
        <v>279</v>
      </c>
    </row>
    <row r="61" spans="1:5" ht="318.75">
      <c r="A61" t="s">
        <v>54</v>
      </c>
      <c r="E61" s="28" t="s">
        <v>303</v>
      </c>
    </row>
    <row r="62" spans="1:16" ht="12.75">
      <c r="A62" s="18" t="s">
        <v>44</v>
      </c>
      <c r="B62" s="22">
        <f>MAX(B51:B58)+1</f>
        <v>14</v>
      </c>
      <c r="C62" s="22" t="s">
        <v>306</v>
      </c>
      <c r="D62" s="18" t="s">
        <v>46</v>
      </c>
      <c r="E62" s="23" t="s">
        <v>307</v>
      </c>
      <c r="F62" s="24" t="s">
        <v>48</v>
      </c>
      <c r="G62" s="25">
        <v>466.685</v>
      </c>
      <c r="H62" s="26"/>
      <c r="I62" s="26">
        <f>ROUND(ROUND(H62,2)*ROUND(G62,3),2)</f>
        <v>0</v>
      </c>
      <c r="J62" s="24" t="s">
        <v>49</v>
      </c>
      <c r="O62">
        <f>(I62*21)/100</f>
        <v>0</v>
      </c>
      <c r="P62" t="s">
        <v>20</v>
      </c>
    </row>
    <row r="63" spans="1:5" ht="12.75">
      <c r="A63" s="27" t="s">
        <v>50</v>
      </c>
      <c r="E63" s="28" t="s">
        <v>46</v>
      </c>
    </row>
    <row r="64" spans="1:5" ht="12.75">
      <c r="A64" s="29" t="s">
        <v>52</v>
      </c>
      <c r="E64" s="30" t="s">
        <v>279</v>
      </c>
    </row>
    <row r="65" spans="1:5" ht="306">
      <c r="A65" t="s">
        <v>54</v>
      </c>
      <c r="E65" s="28" t="s">
        <v>308</v>
      </c>
    </row>
    <row r="66" spans="1:16" ht="12.75">
      <c r="A66" s="18" t="s">
        <v>44</v>
      </c>
      <c r="B66" s="22">
        <f>MAX(B55:B62)+1</f>
        <v>15</v>
      </c>
      <c r="C66" s="22" t="s">
        <v>309</v>
      </c>
      <c r="D66" s="18" t="s">
        <v>46</v>
      </c>
      <c r="E66" s="23" t="s">
        <v>310</v>
      </c>
      <c r="F66" s="24" t="s">
        <v>48</v>
      </c>
      <c r="G66" s="25">
        <v>265.485</v>
      </c>
      <c r="H66" s="26"/>
      <c r="I66" s="26">
        <f>ROUND(ROUND(H66,2)*ROUND(G66,3),2)</f>
        <v>0</v>
      </c>
      <c r="J66" s="24" t="s">
        <v>49</v>
      </c>
      <c r="O66">
        <f>(I66*21)/100</f>
        <v>0</v>
      </c>
      <c r="P66" t="s">
        <v>20</v>
      </c>
    </row>
    <row r="67" spans="1:5" ht="12.75">
      <c r="A67" s="27" t="s">
        <v>50</v>
      </c>
      <c r="E67" s="28" t="s">
        <v>46</v>
      </c>
    </row>
    <row r="68" spans="1:5" ht="12.75">
      <c r="A68" s="29" t="s">
        <v>52</v>
      </c>
      <c r="E68" s="30" t="s">
        <v>279</v>
      </c>
    </row>
    <row r="69" spans="1:5" ht="267.75">
      <c r="A69" t="s">
        <v>54</v>
      </c>
      <c r="E69" s="28" t="s">
        <v>311</v>
      </c>
    </row>
    <row r="70" spans="1:16" ht="12.75">
      <c r="A70" s="18" t="s">
        <v>44</v>
      </c>
      <c r="B70" s="22">
        <f>MAX(B59:B66)+1</f>
        <v>16</v>
      </c>
      <c r="C70" s="22" t="s">
        <v>312</v>
      </c>
      <c r="D70" s="18" t="s">
        <v>46</v>
      </c>
      <c r="E70" s="23" t="s">
        <v>313</v>
      </c>
      <c r="F70" s="24" t="s">
        <v>48</v>
      </c>
      <c r="G70" s="25">
        <v>201.2</v>
      </c>
      <c r="H70" s="26"/>
      <c r="I70" s="26">
        <f>ROUND(ROUND(H70,2)*ROUND(G70,3),2)</f>
        <v>0</v>
      </c>
      <c r="J70" s="24" t="s">
        <v>49</v>
      </c>
      <c r="O70">
        <f>(I70*21)/100</f>
        <v>0</v>
      </c>
      <c r="P70" t="s">
        <v>20</v>
      </c>
    </row>
    <row r="71" spans="1:5" ht="12.75">
      <c r="A71" s="27" t="s">
        <v>50</v>
      </c>
      <c r="E71" s="28" t="s">
        <v>46</v>
      </c>
    </row>
    <row r="72" spans="1:5" ht="12.75">
      <c r="A72" s="29" t="s">
        <v>52</v>
      </c>
      <c r="E72" s="30" t="s">
        <v>279</v>
      </c>
    </row>
    <row r="73" spans="1:5" ht="267.75">
      <c r="A73" t="s">
        <v>54</v>
      </c>
      <c r="E73" s="28" t="s">
        <v>311</v>
      </c>
    </row>
    <row r="74" spans="1:16" ht="12.75">
      <c r="A74" s="18" t="s">
        <v>44</v>
      </c>
      <c r="B74" s="22">
        <f>MAX(B63:B70)+1</f>
        <v>17</v>
      </c>
      <c r="C74" s="22" t="s">
        <v>314</v>
      </c>
      <c r="D74" s="18" t="s">
        <v>46</v>
      </c>
      <c r="E74" s="23" t="s">
        <v>315</v>
      </c>
      <c r="F74" s="24" t="s">
        <v>106</v>
      </c>
      <c r="G74" s="25">
        <v>108</v>
      </c>
      <c r="H74" s="26"/>
      <c r="I74" s="26">
        <f>ROUND(ROUND(H74,2)*ROUND(G74,3),2)</f>
        <v>0</v>
      </c>
      <c r="J74" s="24" t="s">
        <v>49</v>
      </c>
      <c r="O74">
        <f>(I74*21)/100</f>
        <v>0</v>
      </c>
      <c r="P74" t="s">
        <v>20</v>
      </c>
    </row>
    <row r="75" spans="1:5" ht="12.75">
      <c r="A75" s="27" t="s">
        <v>50</v>
      </c>
      <c r="E75" s="28" t="s">
        <v>46</v>
      </c>
    </row>
    <row r="76" spans="1:5" ht="12.75">
      <c r="A76" s="29" t="s">
        <v>52</v>
      </c>
      <c r="E76" s="30" t="s">
        <v>279</v>
      </c>
    </row>
    <row r="77" spans="1:5" ht="25.5">
      <c r="A77" t="s">
        <v>54</v>
      </c>
      <c r="E77" s="28" t="s">
        <v>108</v>
      </c>
    </row>
    <row r="78" spans="1:16" ht="12.75">
      <c r="A78" s="18" t="s">
        <v>44</v>
      </c>
      <c r="B78" s="22">
        <f>MAX(B67:B74)+1</f>
        <v>18</v>
      </c>
      <c r="C78" s="22" t="s">
        <v>115</v>
      </c>
      <c r="D78" s="18" t="s">
        <v>46</v>
      </c>
      <c r="E78" s="23" t="s">
        <v>116</v>
      </c>
      <c r="F78" s="24" t="s">
        <v>106</v>
      </c>
      <c r="G78" s="25">
        <v>210</v>
      </c>
      <c r="H78" s="26"/>
      <c r="I78" s="26">
        <f>ROUND(ROUND(H78,2)*ROUND(G78,3),2)</f>
        <v>0</v>
      </c>
      <c r="J78" s="24" t="s">
        <v>49</v>
      </c>
      <c r="O78">
        <f>(I78*21)/100</f>
        <v>0</v>
      </c>
      <c r="P78" t="s">
        <v>20</v>
      </c>
    </row>
    <row r="79" spans="1:5" ht="12.75">
      <c r="A79" s="27" t="s">
        <v>50</v>
      </c>
      <c r="E79" s="28" t="s">
        <v>46</v>
      </c>
    </row>
    <row r="80" spans="1:5" ht="12.75">
      <c r="A80" s="29" t="s">
        <v>52</v>
      </c>
      <c r="E80" s="30" t="s">
        <v>279</v>
      </c>
    </row>
    <row r="81" spans="1:5" ht="38.25">
      <c r="A81" t="s">
        <v>54</v>
      </c>
      <c r="E81" s="28" t="s">
        <v>117</v>
      </c>
    </row>
    <row r="82" spans="1:16" ht="12.75">
      <c r="A82" s="18" t="s">
        <v>44</v>
      </c>
      <c r="B82" s="22">
        <f>MAX(B71:B78)+1</f>
        <v>19</v>
      </c>
      <c r="C82" s="22" t="s">
        <v>119</v>
      </c>
      <c r="D82" s="18" t="s">
        <v>46</v>
      </c>
      <c r="E82" s="23" t="s">
        <v>120</v>
      </c>
      <c r="F82" s="24" t="s">
        <v>106</v>
      </c>
      <c r="G82" s="25">
        <v>210</v>
      </c>
      <c r="H82" s="26"/>
      <c r="I82" s="26">
        <f>ROUND(ROUND(H82,2)*ROUND(G82,3),2)</f>
        <v>0</v>
      </c>
      <c r="J82" s="24" t="s">
        <v>49</v>
      </c>
      <c r="O82">
        <f>(I82*21)/100</f>
        <v>0</v>
      </c>
      <c r="P82" t="s">
        <v>20</v>
      </c>
    </row>
    <row r="83" spans="1:5" ht="12.75">
      <c r="A83" s="27" t="s">
        <v>50</v>
      </c>
      <c r="E83" s="28" t="s">
        <v>46</v>
      </c>
    </row>
    <row r="84" spans="1:5" ht="12.75">
      <c r="A84" s="29" t="s">
        <v>52</v>
      </c>
      <c r="E84" s="30" t="s">
        <v>279</v>
      </c>
    </row>
    <row r="85" spans="1:5" ht="25.5">
      <c r="A85" t="s">
        <v>54</v>
      </c>
      <c r="E85" s="28" t="s">
        <v>121</v>
      </c>
    </row>
    <row r="86" spans="1:16" ht="12.75">
      <c r="A86" s="18" t="s">
        <v>44</v>
      </c>
      <c r="B86" s="22">
        <f>MAX(B75:B82)+1</f>
        <v>20</v>
      </c>
      <c r="C86" s="22" t="s">
        <v>123</v>
      </c>
      <c r="D86" s="18" t="s">
        <v>46</v>
      </c>
      <c r="E86" s="23" t="s">
        <v>124</v>
      </c>
      <c r="F86" s="24" t="s">
        <v>106</v>
      </c>
      <c r="G86" s="25">
        <v>210</v>
      </c>
      <c r="H86" s="26"/>
      <c r="I86" s="26">
        <f>ROUND(ROUND(H86,2)*ROUND(G86,3),2)</f>
        <v>0</v>
      </c>
      <c r="J86" s="24" t="s">
        <v>49</v>
      </c>
      <c r="O86">
        <f>(I86*21)/100</f>
        <v>0</v>
      </c>
      <c r="P86" t="s">
        <v>20</v>
      </c>
    </row>
    <row r="87" spans="1:5" ht="12.75">
      <c r="A87" s="27" t="s">
        <v>50</v>
      </c>
      <c r="E87" s="28" t="s">
        <v>46</v>
      </c>
    </row>
    <row r="88" spans="1:5" ht="12.75">
      <c r="A88" s="29" t="s">
        <v>52</v>
      </c>
      <c r="E88" s="30" t="s">
        <v>279</v>
      </c>
    </row>
    <row r="89" spans="1:5" ht="38.25">
      <c r="A89" t="s">
        <v>54</v>
      </c>
      <c r="E89" s="28" t="s">
        <v>125</v>
      </c>
    </row>
    <row r="90" spans="1:16" ht="12.75">
      <c r="A90" s="18" t="s">
        <v>44</v>
      </c>
      <c r="B90" s="22">
        <f>MAX(B79:B86)+1</f>
        <v>21</v>
      </c>
      <c r="C90" s="22" t="s">
        <v>127</v>
      </c>
      <c r="D90" s="18" t="s">
        <v>46</v>
      </c>
      <c r="E90" s="23" t="s">
        <v>128</v>
      </c>
      <c r="F90" s="24" t="s">
        <v>106</v>
      </c>
      <c r="G90" s="25">
        <v>210</v>
      </c>
      <c r="H90" s="26"/>
      <c r="I90" s="26">
        <f>ROUND(ROUND(H90,2)*ROUND(G90,3),2)</f>
        <v>0</v>
      </c>
      <c r="J90" s="24" t="s">
        <v>49</v>
      </c>
      <c r="O90">
        <f>(I90*21)/100</f>
        <v>0</v>
      </c>
      <c r="P90" t="s">
        <v>20</v>
      </c>
    </row>
    <row r="91" spans="1:5" ht="12.75">
      <c r="A91" s="27" t="s">
        <v>50</v>
      </c>
      <c r="E91" s="28" t="s">
        <v>46</v>
      </c>
    </row>
    <row r="92" spans="1:5" ht="12.75">
      <c r="A92" s="29" t="s">
        <v>52</v>
      </c>
      <c r="E92" s="30" t="s">
        <v>279</v>
      </c>
    </row>
    <row r="93" spans="1:5" ht="25.5">
      <c r="A93" t="s">
        <v>54</v>
      </c>
      <c r="E93" s="28" t="s">
        <v>129</v>
      </c>
    </row>
    <row r="94" spans="1:16" ht="12.75">
      <c r="A94" s="18" t="s">
        <v>44</v>
      </c>
      <c r="B94" s="22">
        <f>MAX(B83:B90)+1</f>
        <v>22</v>
      </c>
      <c r="C94" s="22" t="s">
        <v>131</v>
      </c>
      <c r="D94" s="18" t="s">
        <v>46</v>
      </c>
      <c r="E94" s="23" t="s">
        <v>132</v>
      </c>
      <c r="F94" s="24" t="s">
        <v>48</v>
      </c>
      <c r="G94" s="25">
        <v>10.5</v>
      </c>
      <c r="H94" s="26"/>
      <c r="I94" s="26">
        <f>ROUND(ROUND(H94,2)*ROUND(G94,3),2)</f>
        <v>0</v>
      </c>
      <c r="J94" s="24" t="s">
        <v>49</v>
      </c>
      <c r="O94">
        <f>(I94*21)/100</f>
        <v>0</v>
      </c>
      <c r="P94" t="s">
        <v>20</v>
      </c>
    </row>
    <row r="95" spans="1:5" ht="12.75">
      <c r="A95" s="27" t="s">
        <v>50</v>
      </c>
      <c r="E95" s="28" t="s">
        <v>46</v>
      </c>
    </row>
    <row r="96" spans="1:5" ht="12.75">
      <c r="A96" s="29" t="s">
        <v>52</v>
      </c>
      <c r="E96" s="30" t="s">
        <v>316</v>
      </c>
    </row>
    <row r="97" spans="1:5" ht="38.25">
      <c r="A97" t="s">
        <v>54</v>
      </c>
      <c r="E97" s="28" t="s">
        <v>133</v>
      </c>
    </row>
    <row r="98" spans="1:18" ht="12.75" customHeight="1">
      <c r="A98" s="5" t="s">
        <v>42</v>
      </c>
      <c r="B98" s="5"/>
      <c r="C98" s="31" t="s">
        <v>20</v>
      </c>
      <c r="D98" s="5"/>
      <c r="E98" s="20" t="s">
        <v>134</v>
      </c>
      <c r="F98" s="5"/>
      <c r="G98" s="5"/>
      <c r="H98" s="5"/>
      <c r="I98" s="32">
        <f>0+Q98</f>
        <v>0</v>
      </c>
      <c r="J98" s="5"/>
      <c r="O98">
        <f>0+R98</f>
        <v>0</v>
      </c>
      <c r="Q98">
        <f>0+I99+I103+I107+I111+I115+I119+I123+I127+I131+I135+I139+I143+I147+I151+I155+I159+I163+I167+I171+I175+I179+I183+I187</f>
        <v>0</v>
      </c>
      <c r="R98">
        <f>0+O99+O103+O107+O111+O115+O119+O123+O127+O131+O135+O139+O143+O147+O151+O155+O159+O163+O167+O171+O175+O179+O183+O187</f>
        <v>0</v>
      </c>
    </row>
    <row r="99" spans="1:16" ht="12.75">
      <c r="A99" s="18" t="s">
        <v>44</v>
      </c>
      <c r="B99" s="22">
        <f>MAX(B88:B95)+1</f>
        <v>23</v>
      </c>
      <c r="C99" s="22" t="s">
        <v>317</v>
      </c>
      <c r="D99" s="18" t="s">
        <v>46</v>
      </c>
      <c r="E99" s="23" t="s">
        <v>318</v>
      </c>
      <c r="F99" s="24" t="s">
        <v>48</v>
      </c>
      <c r="G99" s="25">
        <v>1.37</v>
      </c>
      <c r="H99" s="26"/>
      <c r="I99" s="26">
        <f>ROUND(ROUND(H99,2)*ROUND(G99,3),2)</f>
        <v>0</v>
      </c>
      <c r="J99" s="24" t="s">
        <v>49</v>
      </c>
      <c r="O99">
        <f>(I99*21)/100</f>
        <v>0</v>
      </c>
      <c r="P99" t="s">
        <v>20</v>
      </c>
    </row>
    <row r="100" spans="1:5" ht="25.5">
      <c r="A100" s="27" t="s">
        <v>50</v>
      </c>
      <c r="E100" s="28" t="s">
        <v>319</v>
      </c>
    </row>
    <row r="101" spans="1:5" ht="12.75">
      <c r="A101" s="29" t="s">
        <v>52</v>
      </c>
      <c r="E101" s="30" t="s">
        <v>279</v>
      </c>
    </row>
    <row r="102" spans="1:5" ht="51">
      <c r="A102" t="s">
        <v>54</v>
      </c>
      <c r="E102" s="28" t="s">
        <v>320</v>
      </c>
    </row>
    <row r="103" spans="1:16" ht="12.75">
      <c r="A103" s="18" t="s">
        <v>44</v>
      </c>
      <c r="B103" s="22">
        <f>MAX(B92:B99)+1</f>
        <v>24</v>
      </c>
      <c r="C103" s="22" t="s">
        <v>321</v>
      </c>
      <c r="D103" s="18" t="s">
        <v>46</v>
      </c>
      <c r="E103" s="23" t="s">
        <v>322</v>
      </c>
      <c r="F103" s="24" t="s">
        <v>48</v>
      </c>
      <c r="G103" s="742">
        <v>291.2</v>
      </c>
      <c r="H103" s="738"/>
      <c r="I103" s="738">
        <f>ROUND(ROUND(H103,2)*ROUND(G103,3),2)</f>
        <v>0</v>
      </c>
      <c r="J103" s="24" t="s">
        <v>49</v>
      </c>
      <c r="O103">
        <f>(I103*21)/100</f>
        <v>0</v>
      </c>
      <c r="P103" t="s">
        <v>20</v>
      </c>
    </row>
    <row r="104" spans="1:9" ht="12.75">
      <c r="A104" s="27" t="s">
        <v>50</v>
      </c>
      <c r="E104" s="28" t="s">
        <v>46</v>
      </c>
      <c r="G104" s="743"/>
      <c r="H104" s="743"/>
      <c r="I104" s="743"/>
    </row>
    <row r="105" spans="1:9" ht="12.75">
      <c r="A105" s="29" t="s">
        <v>52</v>
      </c>
      <c r="E105" s="30" t="s">
        <v>279</v>
      </c>
      <c r="G105" s="743"/>
      <c r="H105" s="743"/>
      <c r="I105" s="743"/>
    </row>
    <row r="106" spans="1:5" ht="51">
      <c r="A106" t="s">
        <v>54</v>
      </c>
      <c r="E106" s="28" t="s">
        <v>320</v>
      </c>
    </row>
    <row r="107" spans="1:16" ht="12.75">
      <c r="A107" s="18" t="s">
        <v>44</v>
      </c>
      <c r="B107" s="22">
        <f>MAX(B96:B103)+1</f>
        <v>25</v>
      </c>
      <c r="C107" s="22" t="s">
        <v>323</v>
      </c>
      <c r="D107" s="18" t="s">
        <v>46</v>
      </c>
      <c r="E107" s="23" t="s">
        <v>324</v>
      </c>
      <c r="F107" s="24" t="s">
        <v>106</v>
      </c>
      <c r="G107" s="742">
        <v>217.1</v>
      </c>
      <c r="H107" s="738"/>
      <c r="I107" s="738">
        <f>ROUND(ROUND(H107,2)*ROUND(G107,3),2)</f>
        <v>0</v>
      </c>
      <c r="J107" s="24" t="s">
        <v>49</v>
      </c>
      <c r="O107">
        <f>(I107*21)/100</f>
        <v>0</v>
      </c>
      <c r="P107" t="s">
        <v>20</v>
      </c>
    </row>
    <row r="108" spans="1:9" ht="12.75">
      <c r="A108" s="27" t="s">
        <v>50</v>
      </c>
      <c r="E108" s="28" t="s">
        <v>325</v>
      </c>
      <c r="G108" s="743"/>
      <c r="H108" s="743"/>
      <c r="I108" s="743"/>
    </row>
    <row r="109" spans="1:9" ht="12.75">
      <c r="A109" s="29" t="s">
        <v>52</v>
      </c>
      <c r="E109" s="30" t="s">
        <v>326</v>
      </c>
      <c r="G109" s="743"/>
      <c r="H109" s="743"/>
      <c r="I109" s="743"/>
    </row>
    <row r="110" spans="1:5" ht="51">
      <c r="A110" t="s">
        <v>54</v>
      </c>
      <c r="E110" s="28" t="s">
        <v>327</v>
      </c>
    </row>
    <row r="111" spans="1:16" ht="12.75">
      <c r="A111" s="18" t="s">
        <v>44</v>
      </c>
      <c r="B111" s="22">
        <f>MAX(B100:B107)+1</f>
        <v>26</v>
      </c>
      <c r="C111" s="22" t="s">
        <v>328</v>
      </c>
      <c r="D111" s="18" t="s">
        <v>46</v>
      </c>
      <c r="E111" s="23" t="s">
        <v>329</v>
      </c>
      <c r="F111" s="24" t="s">
        <v>106</v>
      </c>
      <c r="G111" s="742">
        <v>141.6</v>
      </c>
      <c r="H111" s="738"/>
      <c r="I111" s="738">
        <f>ROUND(ROUND(H111,2)*ROUND(G111,3),2)</f>
        <v>0</v>
      </c>
      <c r="J111" s="24" t="s">
        <v>49</v>
      </c>
      <c r="O111">
        <f>(I111*21)/100</f>
        <v>0</v>
      </c>
      <c r="P111" t="s">
        <v>20</v>
      </c>
    </row>
    <row r="112" spans="1:9" ht="25.5">
      <c r="A112" s="27" t="s">
        <v>50</v>
      </c>
      <c r="E112" s="28" t="s">
        <v>330</v>
      </c>
      <c r="G112" s="743"/>
      <c r="H112" s="743"/>
      <c r="I112" s="743"/>
    </row>
    <row r="113" spans="1:9" ht="12.75">
      <c r="A113" s="29" t="s">
        <v>52</v>
      </c>
      <c r="E113" s="30" t="s">
        <v>331</v>
      </c>
      <c r="G113" s="743"/>
      <c r="H113" s="743"/>
      <c r="I113" s="743"/>
    </row>
    <row r="114" spans="1:5" ht="344.25">
      <c r="A114" t="s">
        <v>54</v>
      </c>
      <c r="E114" s="28" t="s">
        <v>332</v>
      </c>
    </row>
    <row r="115" spans="1:16" ht="12.75">
      <c r="A115" s="18" t="s">
        <v>44</v>
      </c>
      <c r="B115" s="22">
        <f>MAX(B104:B111)+1</f>
        <v>27</v>
      </c>
      <c r="C115" s="22" t="s">
        <v>333</v>
      </c>
      <c r="D115" s="18" t="s">
        <v>46</v>
      </c>
      <c r="E115" s="23" t="s">
        <v>334</v>
      </c>
      <c r="F115" s="24" t="s">
        <v>106</v>
      </c>
      <c r="G115" s="742">
        <v>141.6</v>
      </c>
      <c r="H115" s="738"/>
      <c r="I115" s="738">
        <f>ROUND(ROUND(H115,2)*ROUND(G115,3),2)</f>
        <v>0</v>
      </c>
      <c r="J115" s="24" t="s">
        <v>49</v>
      </c>
      <c r="O115">
        <f>(I115*21)/100</f>
        <v>0</v>
      </c>
      <c r="P115" t="s">
        <v>20</v>
      </c>
    </row>
    <row r="116" spans="1:9" ht="12.75">
      <c r="A116" s="27" t="s">
        <v>50</v>
      </c>
      <c r="E116" s="28" t="s">
        <v>46</v>
      </c>
      <c r="G116" s="743"/>
      <c r="H116" s="743"/>
      <c r="I116" s="743"/>
    </row>
    <row r="117" spans="1:9" ht="12.75">
      <c r="A117" s="29" t="s">
        <v>52</v>
      </c>
      <c r="E117" s="30" t="s">
        <v>331</v>
      </c>
      <c r="G117" s="743"/>
      <c r="H117" s="743"/>
      <c r="I117" s="743"/>
    </row>
    <row r="118" spans="1:5" ht="12.75">
      <c r="A118" t="s">
        <v>54</v>
      </c>
      <c r="E118" s="28" t="s">
        <v>335</v>
      </c>
    </row>
    <row r="119" spans="1:16" ht="12.75">
      <c r="A119" s="18" t="s">
        <v>44</v>
      </c>
      <c r="B119" s="22">
        <f>MAX(B108:B115)+1</f>
        <v>28</v>
      </c>
      <c r="C119" s="22" t="s">
        <v>336</v>
      </c>
      <c r="D119" s="18" t="s">
        <v>46</v>
      </c>
      <c r="E119" s="23" t="s">
        <v>337</v>
      </c>
      <c r="F119" s="24" t="s">
        <v>106</v>
      </c>
      <c r="G119" s="742">
        <v>77.16</v>
      </c>
      <c r="H119" s="738"/>
      <c r="I119" s="738">
        <f>ROUND(ROUND(H119,2)*ROUND(G119,3),2)</f>
        <v>0</v>
      </c>
      <c r="J119" s="24" t="s">
        <v>49</v>
      </c>
      <c r="O119">
        <f>(I119*21)/100</f>
        <v>0</v>
      </c>
      <c r="P119" t="s">
        <v>20</v>
      </c>
    </row>
    <row r="120" spans="1:9" ht="12.75">
      <c r="A120" s="27" t="s">
        <v>50</v>
      </c>
      <c r="E120" s="28" t="s">
        <v>338</v>
      </c>
      <c r="G120" s="743"/>
      <c r="H120" s="743"/>
      <c r="I120" s="743"/>
    </row>
    <row r="121" spans="1:9" ht="12.75">
      <c r="A121" s="29" t="s">
        <v>52</v>
      </c>
      <c r="E121" s="30" t="s">
        <v>279</v>
      </c>
      <c r="G121" s="743"/>
      <c r="H121" s="743"/>
      <c r="I121" s="743"/>
    </row>
    <row r="122" spans="1:5" ht="102">
      <c r="A122" t="s">
        <v>54</v>
      </c>
      <c r="E122" s="28" t="s">
        <v>339</v>
      </c>
    </row>
    <row r="123" spans="1:16" ht="12.75">
      <c r="A123" s="18" t="s">
        <v>44</v>
      </c>
      <c r="B123" s="22">
        <f>MAX(B112:B119)+1</f>
        <v>29</v>
      </c>
      <c r="C123" s="22" t="s">
        <v>340</v>
      </c>
      <c r="D123" s="18" t="s">
        <v>46</v>
      </c>
      <c r="E123" s="23" t="s">
        <v>341</v>
      </c>
      <c r="F123" s="24" t="s">
        <v>210</v>
      </c>
      <c r="G123" s="742">
        <v>17</v>
      </c>
      <c r="H123" s="738"/>
      <c r="I123" s="738">
        <f>ROUND(ROUND(H123,2)*ROUND(G123,3),2)</f>
        <v>0</v>
      </c>
      <c r="J123" s="24" t="s">
        <v>49</v>
      </c>
      <c r="O123">
        <f>(I123*21)/100</f>
        <v>0</v>
      </c>
      <c r="P123" t="s">
        <v>20</v>
      </c>
    </row>
    <row r="124" spans="1:9" ht="12.75">
      <c r="A124" s="27" t="s">
        <v>50</v>
      </c>
      <c r="E124" s="28" t="s">
        <v>342</v>
      </c>
      <c r="G124" s="743"/>
      <c r="H124" s="743"/>
      <c r="I124" s="743"/>
    </row>
    <row r="125" spans="1:9" ht="12.75">
      <c r="A125" s="29" t="s">
        <v>52</v>
      </c>
      <c r="E125" s="30" t="s">
        <v>279</v>
      </c>
      <c r="G125" s="743"/>
      <c r="H125" s="743"/>
      <c r="I125" s="743"/>
    </row>
    <row r="126" spans="1:5" ht="38.25">
      <c r="A126" t="s">
        <v>54</v>
      </c>
      <c r="E126" s="28" t="s">
        <v>343</v>
      </c>
    </row>
    <row r="127" spans="1:16" ht="12.75">
      <c r="A127" s="18" t="s">
        <v>44</v>
      </c>
      <c r="B127" s="22">
        <f>MAX(B116:B123)+1</f>
        <v>30</v>
      </c>
      <c r="C127" s="22" t="s">
        <v>344</v>
      </c>
      <c r="D127" s="18" t="s">
        <v>46</v>
      </c>
      <c r="E127" s="23" t="s">
        <v>345</v>
      </c>
      <c r="F127" s="24" t="s">
        <v>48</v>
      </c>
      <c r="G127" s="742">
        <v>84.767</v>
      </c>
      <c r="H127" s="738"/>
      <c r="I127" s="738">
        <f>ROUND(ROUND(H127,2)*ROUND(G127,3),2)</f>
        <v>0</v>
      </c>
      <c r="J127" s="24" t="s">
        <v>49</v>
      </c>
      <c r="O127">
        <f>(I127*21)/100</f>
        <v>0</v>
      </c>
      <c r="P127" t="s">
        <v>20</v>
      </c>
    </row>
    <row r="128" spans="1:9" ht="12.75">
      <c r="A128" s="27" t="s">
        <v>50</v>
      </c>
      <c r="E128" s="739" t="s">
        <v>1190</v>
      </c>
      <c r="G128" s="743"/>
      <c r="H128" s="743"/>
      <c r="I128" s="743"/>
    </row>
    <row r="129" spans="1:9" ht="12.75">
      <c r="A129" s="29" t="s">
        <v>52</v>
      </c>
      <c r="E129" s="30" t="s">
        <v>279</v>
      </c>
      <c r="G129" s="743"/>
      <c r="H129" s="743"/>
      <c r="I129" s="743"/>
    </row>
    <row r="130" spans="1:5" ht="409.5">
      <c r="A130" t="s">
        <v>54</v>
      </c>
      <c r="E130" s="28" t="s">
        <v>346</v>
      </c>
    </row>
    <row r="131" spans="1:16" ht="12.75">
      <c r="A131" s="18" t="s">
        <v>44</v>
      </c>
      <c r="B131" s="22">
        <f>MAX(B120:B127)+1</f>
        <v>31</v>
      </c>
      <c r="C131" s="22" t="s">
        <v>347</v>
      </c>
      <c r="D131" s="18" t="s">
        <v>46</v>
      </c>
      <c r="E131" s="23" t="s">
        <v>348</v>
      </c>
      <c r="F131" s="24" t="s">
        <v>57</v>
      </c>
      <c r="G131" s="742">
        <v>8.477</v>
      </c>
      <c r="H131" s="738"/>
      <c r="I131" s="738">
        <f>ROUND(ROUND(H131,2)*ROUND(G131,3),2)</f>
        <v>0</v>
      </c>
      <c r="J131" s="24" t="s">
        <v>49</v>
      </c>
      <c r="O131">
        <f>(I131*21)/100</f>
        <v>0</v>
      </c>
      <c r="P131" t="s">
        <v>20</v>
      </c>
    </row>
    <row r="132" spans="1:9" ht="12.75">
      <c r="A132" s="27" t="s">
        <v>50</v>
      </c>
      <c r="E132" s="28" t="s">
        <v>46</v>
      </c>
      <c r="G132" s="743"/>
      <c r="H132" s="743"/>
      <c r="I132" s="743"/>
    </row>
    <row r="133" spans="1:9" ht="12.75">
      <c r="A133" s="29" t="s">
        <v>52</v>
      </c>
      <c r="E133" s="30" t="s">
        <v>279</v>
      </c>
      <c r="G133" s="743"/>
      <c r="H133" s="743"/>
      <c r="I133" s="743"/>
    </row>
    <row r="134" spans="1:5" ht="267.75">
      <c r="A134" t="s">
        <v>54</v>
      </c>
      <c r="E134" s="28" t="s">
        <v>349</v>
      </c>
    </row>
    <row r="135" spans="1:16" ht="12.75">
      <c r="A135" s="18" t="s">
        <v>44</v>
      </c>
      <c r="B135" s="22">
        <f>MAX(B124:B131)+1</f>
        <v>32</v>
      </c>
      <c r="C135" s="22" t="s">
        <v>350</v>
      </c>
      <c r="D135" s="18" t="s">
        <v>46</v>
      </c>
      <c r="E135" s="23" t="s">
        <v>351</v>
      </c>
      <c r="F135" s="24" t="s">
        <v>80</v>
      </c>
      <c r="G135" s="742">
        <v>93.8</v>
      </c>
      <c r="H135" s="738"/>
      <c r="I135" s="738">
        <f>ROUND(ROUND(H135,2)*ROUND(G135,3),2)</f>
        <v>0</v>
      </c>
      <c r="J135" s="24" t="s">
        <v>49</v>
      </c>
      <c r="O135">
        <f>(I135*21)/100</f>
        <v>0</v>
      </c>
      <c r="P135" t="s">
        <v>20</v>
      </c>
    </row>
    <row r="136" spans="1:9" ht="12.75">
      <c r="A136" s="27" t="s">
        <v>50</v>
      </c>
      <c r="E136" s="739" t="s">
        <v>1191</v>
      </c>
      <c r="G136" s="743"/>
      <c r="H136" s="743"/>
      <c r="I136" s="743"/>
    </row>
    <row r="137" spans="1:9" ht="12.75">
      <c r="A137" s="29" t="s">
        <v>52</v>
      </c>
      <c r="E137" s="30" t="s">
        <v>279</v>
      </c>
      <c r="G137" s="743"/>
      <c r="H137" s="743"/>
      <c r="I137" s="743"/>
    </row>
    <row r="138" spans="1:5" ht="191.25">
      <c r="A138" t="s">
        <v>54</v>
      </c>
      <c r="E138" s="28" t="s">
        <v>352</v>
      </c>
    </row>
    <row r="139" spans="1:16" ht="12.75">
      <c r="A139" s="18" t="s">
        <v>44</v>
      </c>
      <c r="B139" s="22">
        <f>MAX(B128:B135)+1</f>
        <v>33</v>
      </c>
      <c r="C139" s="22" t="s">
        <v>353</v>
      </c>
      <c r="D139" s="18" t="s">
        <v>46</v>
      </c>
      <c r="E139" s="23" t="s">
        <v>354</v>
      </c>
      <c r="F139" s="24" t="s">
        <v>80</v>
      </c>
      <c r="G139" s="742">
        <v>49</v>
      </c>
      <c r="H139" s="738"/>
      <c r="I139" s="738">
        <f>ROUND(ROUND(H139,2)*ROUND(G139,3),2)</f>
        <v>0</v>
      </c>
      <c r="J139" s="24" t="s">
        <v>49</v>
      </c>
      <c r="O139">
        <f>(I139*21)/100</f>
        <v>0</v>
      </c>
      <c r="P139" t="s">
        <v>20</v>
      </c>
    </row>
    <row r="140" spans="1:9" ht="12.75">
      <c r="A140" s="27" t="s">
        <v>50</v>
      </c>
      <c r="E140" s="739" t="s">
        <v>1191</v>
      </c>
      <c r="G140" s="743"/>
      <c r="H140" s="743"/>
      <c r="I140" s="743"/>
    </row>
    <row r="141" spans="1:9" ht="12.75">
      <c r="A141" s="29" t="s">
        <v>52</v>
      </c>
      <c r="E141" s="30" t="s">
        <v>279</v>
      </c>
      <c r="G141" s="743"/>
      <c r="H141" s="743"/>
      <c r="I141" s="743"/>
    </row>
    <row r="142" spans="1:5" ht="191.25">
      <c r="A142" t="s">
        <v>54</v>
      </c>
      <c r="E142" s="28" t="s">
        <v>352</v>
      </c>
    </row>
    <row r="143" spans="1:16" ht="12.75">
      <c r="A143" s="18" t="s">
        <v>44</v>
      </c>
      <c r="B143" s="22">
        <f>MAX(B132:B139)+1</f>
        <v>34</v>
      </c>
      <c r="C143" s="22" t="s">
        <v>355</v>
      </c>
      <c r="D143" s="18" t="s">
        <v>46</v>
      </c>
      <c r="E143" s="23" t="s">
        <v>356</v>
      </c>
      <c r="F143" s="24" t="s">
        <v>80</v>
      </c>
      <c r="G143" s="742">
        <v>312</v>
      </c>
      <c r="H143" s="738"/>
      <c r="I143" s="738">
        <f>ROUND(ROUND(H143,2)*ROUND(G143,3),2)</f>
        <v>0</v>
      </c>
      <c r="J143" s="24" t="s">
        <v>49</v>
      </c>
      <c r="O143">
        <f>(I143*21)/100</f>
        <v>0</v>
      </c>
      <c r="P143" t="s">
        <v>20</v>
      </c>
    </row>
    <row r="144" spans="1:9" ht="12.75">
      <c r="A144" s="27" t="s">
        <v>50</v>
      </c>
      <c r="E144" s="28" t="s">
        <v>357</v>
      </c>
      <c r="G144" s="743"/>
      <c r="H144" s="743"/>
      <c r="I144" s="743"/>
    </row>
    <row r="145" spans="1:9" ht="12.75">
      <c r="A145" s="29" t="s">
        <v>52</v>
      </c>
      <c r="E145" s="30" t="s">
        <v>279</v>
      </c>
      <c r="G145" s="743"/>
      <c r="H145" s="743"/>
      <c r="I145" s="743"/>
    </row>
    <row r="146" spans="1:5" ht="51">
      <c r="A146" t="s">
        <v>54</v>
      </c>
      <c r="E146" s="28" t="s">
        <v>358</v>
      </c>
    </row>
    <row r="147" spans="1:16" ht="25.5">
      <c r="A147" s="18" t="s">
        <v>44</v>
      </c>
      <c r="B147" s="22">
        <f>MAX(B136:B143)+1</f>
        <v>35</v>
      </c>
      <c r="C147" s="22" t="s">
        <v>359</v>
      </c>
      <c r="D147" s="18" t="s">
        <v>46</v>
      </c>
      <c r="E147" s="23" t="s">
        <v>360</v>
      </c>
      <c r="F147" s="24" t="s">
        <v>80</v>
      </c>
      <c r="G147" s="742">
        <v>288</v>
      </c>
      <c r="H147" s="738"/>
      <c r="I147" s="738">
        <f>ROUND(ROUND(H147,2)*ROUND(G147,3),2)</f>
        <v>0</v>
      </c>
      <c r="J147" s="24" t="s">
        <v>49</v>
      </c>
      <c r="O147">
        <f>(I147*21)/100</f>
        <v>0</v>
      </c>
      <c r="P147" t="s">
        <v>20</v>
      </c>
    </row>
    <row r="148" spans="1:9" ht="12.75">
      <c r="A148" s="27" t="s">
        <v>50</v>
      </c>
      <c r="E148" s="739" t="s">
        <v>1191</v>
      </c>
      <c r="G148" s="743"/>
      <c r="H148" s="743"/>
      <c r="I148" s="743"/>
    </row>
    <row r="149" spans="1:9" ht="12.75">
      <c r="A149" s="29" t="s">
        <v>52</v>
      </c>
      <c r="E149" s="30" t="s">
        <v>279</v>
      </c>
      <c r="G149" s="743"/>
      <c r="H149" s="743"/>
      <c r="I149" s="743"/>
    </row>
    <row r="150" spans="1:5" ht="63.75">
      <c r="A150" t="s">
        <v>54</v>
      </c>
      <c r="E150" s="28" t="s">
        <v>361</v>
      </c>
    </row>
    <row r="151" spans="1:16" ht="12.75">
      <c r="A151" s="18" t="s">
        <v>44</v>
      </c>
      <c r="B151" s="22">
        <f>MAX(B140:B147)+1</f>
        <v>36</v>
      </c>
      <c r="C151" s="22" t="s">
        <v>362</v>
      </c>
      <c r="D151" s="18" t="s">
        <v>46</v>
      </c>
      <c r="E151" s="23" t="s">
        <v>363</v>
      </c>
      <c r="F151" s="24" t="s">
        <v>80</v>
      </c>
      <c r="G151" s="742">
        <v>40</v>
      </c>
      <c r="H151" s="738"/>
      <c r="I151" s="738">
        <f>ROUND(ROUND(H151,2)*ROUND(G151,3),2)</f>
        <v>0</v>
      </c>
      <c r="J151" s="24"/>
      <c r="O151">
        <f>(I151*21)/100</f>
        <v>0</v>
      </c>
      <c r="P151" t="s">
        <v>20</v>
      </c>
    </row>
    <row r="152" spans="1:9" ht="12.75">
      <c r="A152" s="27" t="s">
        <v>50</v>
      </c>
      <c r="E152" s="28" t="s">
        <v>46</v>
      </c>
      <c r="G152" s="743"/>
      <c r="H152" s="743"/>
      <c r="I152" s="743"/>
    </row>
    <row r="153" spans="1:9" ht="12.75">
      <c r="A153" s="29" t="s">
        <v>52</v>
      </c>
      <c r="E153" s="30" t="s">
        <v>365</v>
      </c>
      <c r="G153" s="743"/>
      <c r="H153" s="743"/>
      <c r="I153" s="743"/>
    </row>
    <row r="154" spans="1:5" ht="25.5">
      <c r="A154" t="s">
        <v>54</v>
      </c>
      <c r="E154" s="28" t="s">
        <v>366</v>
      </c>
    </row>
    <row r="155" spans="1:16" ht="12.75">
      <c r="A155" s="18" t="s">
        <v>44</v>
      </c>
      <c r="B155" s="22">
        <f>MAX(B144:B151)+1</f>
        <v>37</v>
      </c>
      <c r="C155" s="22" t="s">
        <v>367</v>
      </c>
      <c r="D155" s="18" t="s">
        <v>46</v>
      </c>
      <c r="E155" s="23" t="s">
        <v>368</v>
      </c>
      <c r="F155" s="24" t="s">
        <v>48</v>
      </c>
      <c r="G155" s="742">
        <v>114.682</v>
      </c>
      <c r="H155" s="738"/>
      <c r="I155" s="738">
        <f>ROUND(ROUND(H155,2)*ROUND(G155,3),2)</f>
        <v>0</v>
      </c>
      <c r="J155" s="24" t="s">
        <v>49</v>
      </c>
      <c r="O155">
        <f>(I155*21)/100</f>
        <v>0</v>
      </c>
      <c r="P155" t="s">
        <v>20</v>
      </c>
    </row>
    <row r="156" spans="1:9" ht="12.75">
      <c r="A156" s="27" t="s">
        <v>50</v>
      </c>
      <c r="E156" s="28" t="s">
        <v>369</v>
      </c>
      <c r="G156" s="743"/>
      <c r="H156" s="743"/>
      <c r="I156" s="743"/>
    </row>
    <row r="157" spans="1:9" ht="12.75">
      <c r="A157" s="29" t="s">
        <v>52</v>
      </c>
      <c r="E157" s="30" t="s">
        <v>279</v>
      </c>
      <c r="G157" s="743"/>
      <c r="H157" s="743"/>
      <c r="I157" s="743"/>
    </row>
    <row r="158" spans="1:5" ht="369.75">
      <c r="A158" t="s">
        <v>54</v>
      </c>
      <c r="E158" s="28" t="s">
        <v>370</v>
      </c>
    </row>
    <row r="159" spans="1:16" ht="12.75">
      <c r="A159" s="18" t="s">
        <v>44</v>
      </c>
      <c r="B159" s="22">
        <f>MAX(B148:B155)+1</f>
        <v>38</v>
      </c>
      <c r="C159" s="22" t="s">
        <v>371</v>
      </c>
      <c r="D159" s="18" t="s">
        <v>46</v>
      </c>
      <c r="E159" s="23" t="s">
        <v>372</v>
      </c>
      <c r="F159" s="24" t="s">
        <v>57</v>
      </c>
      <c r="G159" s="742">
        <v>20.349</v>
      </c>
      <c r="H159" s="738"/>
      <c r="I159" s="738">
        <f>ROUND(ROUND(H159,2)*ROUND(G159,3),2)</f>
        <v>0</v>
      </c>
      <c r="J159" s="24" t="s">
        <v>49</v>
      </c>
      <c r="O159">
        <f>(I159*21)/100</f>
        <v>0</v>
      </c>
      <c r="P159" t="s">
        <v>20</v>
      </c>
    </row>
    <row r="160" spans="1:9" ht="12.75">
      <c r="A160" s="27" t="s">
        <v>50</v>
      </c>
      <c r="E160" s="28" t="s">
        <v>46</v>
      </c>
      <c r="G160" s="743"/>
      <c r="H160" s="743"/>
      <c r="I160" s="743"/>
    </row>
    <row r="161" spans="1:9" ht="12.75">
      <c r="A161" s="29" t="s">
        <v>52</v>
      </c>
      <c r="E161" s="30" t="s">
        <v>279</v>
      </c>
      <c r="G161" s="743"/>
      <c r="H161" s="743"/>
      <c r="I161" s="743"/>
    </row>
    <row r="162" spans="1:5" ht="267.75">
      <c r="A162" t="s">
        <v>54</v>
      </c>
      <c r="E162" s="28" t="s">
        <v>373</v>
      </c>
    </row>
    <row r="163" spans="1:16" ht="12.75">
      <c r="A163" s="18" t="s">
        <v>44</v>
      </c>
      <c r="B163" s="22">
        <f>MAX(B152:B159)+1</f>
        <v>39</v>
      </c>
      <c r="C163" s="22" t="s">
        <v>374</v>
      </c>
      <c r="D163" s="18" t="s">
        <v>46</v>
      </c>
      <c r="E163" s="23" t="s">
        <v>375</v>
      </c>
      <c r="F163" s="24" t="s">
        <v>80</v>
      </c>
      <c r="G163" s="742">
        <v>14.325</v>
      </c>
      <c r="H163" s="738"/>
      <c r="I163" s="738">
        <f>ROUND(ROUND(H163,2)*ROUND(G163,3),2)</f>
        <v>0</v>
      </c>
      <c r="J163" s="24" t="s">
        <v>49</v>
      </c>
      <c r="O163">
        <f>(I163*21)/100</f>
        <v>0</v>
      </c>
      <c r="P163" t="s">
        <v>20</v>
      </c>
    </row>
    <row r="164" spans="1:9" ht="12.75">
      <c r="A164" s="27" t="s">
        <v>50</v>
      </c>
      <c r="E164" s="28" t="s">
        <v>376</v>
      </c>
      <c r="G164" s="743"/>
      <c r="H164" s="743"/>
      <c r="I164" s="743"/>
    </row>
    <row r="165" spans="1:5" ht="12.75">
      <c r="A165" s="29" t="s">
        <v>52</v>
      </c>
      <c r="E165" s="30" t="s">
        <v>279</v>
      </c>
    </row>
    <row r="166" spans="1:5" ht="63.75">
      <c r="A166" t="s">
        <v>54</v>
      </c>
      <c r="E166" s="28" t="s">
        <v>361</v>
      </c>
    </row>
    <row r="167" spans="1:16" ht="12.75">
      <c r="A167" s="18" t="s">
        <v>44</v>
      </c>
      <c r="B167" s="22">
        <f>MAX(B156:B163)+1</f>
        <v>40</v>
      </c>
      <c r="C167" s="22" t="s">
        <v>377</v>
      </c>
      <c r="D167" s="18" t="s">
        <v>26</v>
      </c>
      <c r="E167" s="23" t="s">
        <v>378</v>
      </c>
      <c r="F167" s="24" t="s">
        <v>80</v>
      </c>
      <c r="G167" s="25">
        <v>59.5</v>
      </c>
      <c r="H167" s="26"/>
      <c r="I167" s="26">
        <f>ROUND(ROUND(H167,2)*ROUND(G167,3),2)</f>
        <v>0</v>
      </c>
      <c r="J167" s="24" t="s">
        <v>49</v>
      </c>
      <c r="O167">
        <f>(I167*21)/100</f>
        <v>0</v>
      </c>
      <c r="P167" t="s">
        <v>20</v>
      </c>
    </row>
    <row r="168" spans="1:5" ht="25.5">
      <c r="A168" s="27" t="s">
        <v>50</v>
      </c>
      <c r="E168" s="28" t="s">
        <v>379</v>
      </c>
    </row>
    <row r="169" spans="1:5" ht="12.75">
      <c r="A169" s="29" t="s">
        <v>52</v>
      </c>
      <c r="E169" s="30" t="s">
        <v>279</v>
      </c>
    </row>
    <row r="170" spans="1:5" ht="63.75">
      <c r="A170" t="s">
        <v>54</v>
      </c>
      <c r="E170" s="28" t="s">
        <v>361</v>
      </c>
    </row>
    <row r="171" spans="1:16" ht="12.75">
      <c r="A171" s="18" t="s">
        <v>44</v>
      </c>
      <c r="B171" s="22">
        <f>MAX(B160:B167)+1</f>
        <v>41</v>
      </c>
      <c r="C171" s="22" t="s">
        <v>377</v>
      </c>
      <c r="D171" s="18" t="s">
        <v>20</v>
      </c>
      <c r="E171" s="23" t="s">
        <v>378</v>
      </c>
      <c r="F171" s="24" t="s">
        <v>80</v>
      </c>
      <c r="G171" s="25">
        <v>80</v>
      </c>
      <c r="H171" s="26"/>
      <c r="I171" s="26">
        <f>ROUND(ROUND(H171,2)*ROUND(G171,3),2)</f>
        <v>0</v>
      </c>
      <c r="J171" s="24" t="s">
        <v>49</v>
      </c>
      <c r="O171">
        <f>(I171*21)/100</f>
        <v>0</v>
      </c>
      <c r="P171" t="s">
        <v>20</v>
      </c>
    </row>
    <row r="172" spans="1:5" ht="12.75">
      <c r="A172" s="27" t="s">
        <v>50</v>
      </c>
      <c r="E172" s="28" t="s">
        <v>380</v>
      </c>
    </row>
    <row r="173" spans="1:5" ht="12.75">
      <c r="A173" s="29" t="s">
        <v>52</v>
      </c>
      <c r="E173" s="30" t="s">
        <v>279</v>
      </c>
    </row>
    <row r="174" spans="1:5" ht="63.75">
      <c r="A174" t="s">
        <v>54</v>
      </c>
      <c r="E174" s="28" t="s">
        <v>361</v>
      </c>
    </row>
    <row r="175" spans="1:16" ht="25.5">
      <c r="A175" s="18" t="s">
        <v>44</v>
      </c>
      <c r="B175" s="22">
        <f>MAX(B164:B171)+1</f>
        <v>42</v>
      </c>
      <c r="C175" s="22" t="s">
        <v>381</v>
      </c>
      <c r="D175" s="18" t="s">
        <v>46</v>
      </c>
      <c r="E175" s="23" t="s">
        <v>382</v>
      </c>
      <c r="F175" s="24" t="s">
        <v>80</v>
      </c>
      <c r="G175" s="25">
        <v>69</v>
      </c>
      <c r="H175" s="26"/>
      <c r="I175" s="26">
        <f>ROUND(ROUND(H175,2)*ROUND(G175,3),2)</f>
        <v>0</v>
      </c>
      <c r="J175" s="24" t="s">
        <v>49</v>
      </c>
      <c r="O175">
        <f>(I175*21)/100</f>
        <v>0</v>
      </c>
      <c r="P175" t="s">
        <v>20</v>
      </c>
    </row>
    <row r="176" spans="1:5" ht="25.5">
      <c r="A176" s="27" t="s">
        <v>50</v>
      </c>
      <c r="E176" s="28" t="s">
        <v>383</v>
      </c>
    </row>
    <row r="177" spans="1:5" ht="12.75">
      <c r="A177" s="29" t="s">
        <v>52</v>
      </c>
      <c r="E177" s="30" t="s">
        <v>279</v>
      </c>
    </row>
    <row r="178" spans="1:5" ht="63.75">
      <c r="A178" t="s">
        <v>54</v>
      </c>
      <c r="E178" s="28" t="s">
        <v>361</v>
      </c>
    </row>
    <row r="179" spans="1:16" ht="12.75">
      <c r="A179" s="18" t="s">
        <v>44</v>
      </c>
      <c r="B179" s="22">
        <f>MAX(B168:B175)+1</f>
        <v>43</v>
      </c>
      <c r="C179" s="22" t="s">
        <v>384</v>
      </c>
      <c r="D179" s="18" t="s">
        <v>46</v>
      </c>
      <c r="E179" s="23" t="s">
        <v>385</v>
      </c>
      <c r="F179" s="24" t="s">
        <v>48</v>
      </c>
      <c r="G179" s="25">
        <v>21</v>
      </c>
      <c r="H179" s="26"/>
      <c r="I179" s="26">
        <f>ROUND(ROUND(H179,2)*ROUND(G179,3),2)</f>
        <v>0</v>
      </c>
      <c r="J179" s="24" t="s">
        <v>49</v>
      </c>
      <c r="O179">
        <f>(I179*21)/100</f>
        <v>0</v>
      </c>
      <c r="P179" t="s">
        <v>20</v>
      </c>
    </row>
    <row r="180" spans="1:5" ht="12.75">
      <c r="A180" s="27" t="s">
        <v>50</v>
      </c>
      <c r="E180" s="28" t="s">
        <v>46</v>
      </c>
    </row>
    <row r="181" spans="1:5" ht="12.75">
      <c r="A181" s="29" t="s">
        <v>52</v>
      </c>
      <c r="E181" s="30" t="s">
        <v>279</v>
      </c>
    </row>
    <row r="182" spans="1:5" ht="369.75">
      <c r="A182" t="s">
        <v>54</v>
      </c>
      <c r="E182" s="28" t="s">
        <v>386</v>
      </c>
    </row>
    <row r="183" spans="1:16" ht="12.75">
      <c r="A183" s="18" t="s">
        <v>44</v>
      </c>
      <c r="B183" s="22">
        <f>MAX(B172:B179)+1</f>
        <v>44</v>
      </c>
      <c r="C183" s="22" t="s">
        <v>387</v>
      </c>
      <c r="D183" s="18" t="s">
        <v>46</v>
      </c>
      <c r="E183" s="23" t="s">
        <v>388</v>
      </c>
      <c r="F183" s="24" t="s">
        <v>57</v>
      </c>
      <c r="G183" s="25">
        <v>2.31</v>
      </c>
      <c r="H183" s="738"/>
      <c r="I183" s="26">
        <f>ROUND(ROUND(H183,2)*ROUND(G183,3),2)</f>
        <v>0</v>
      </c>
      <c r="J183" s="24" t="s">
        <v>49</v>
      </c>
      <c r="O183">
        <f>(I183*21)/100</f>
        <v>0</v>
      </c>
      <c r="P183" t="s">
        <v>20</v>
      </c>
    </row>
    <row r="184" spans="1:5" ht="12.75">
      <c r="A184" s="27" t="s">
        <v>50</v>
      </c>
      <c r="E184" s="28" t="s">
        <v>46</v>
      </c>
    </row>
    <row r="185" spans="1:5" ht="12.75">
      <c r="A185" s="29" t="s">
        <v>52</v>
      </c>
      <c r="E185" s="30" t="s">
        <v>279</v>
      </c>
    </row>
    <row r="186" spans="1:5" ht="280.5">
      <c r="A186" t="s">
        <v>54</v>
      </c>
      <c r="E186" s="28" t="s">
        <v>389</v>
      </c>
    </row>
    <row r="187" spans="1:16" ht="12.75">
      <c r="A187" s="18" t="s">
        <v>44</v>
      </c>
      <c r="B187" s="22">
        <f>MAX(B176:B183)+1</f>
        <v>45</v>
      </c>
      <c r="C187" s="22" t="s">
        <v>390</v>
      </c>
      <c r="D187" s="18" t="s">
        <v>46</v>
      </c>
      <c r="E187" s="23" t="s">
        <v>391</v>
      </c>
      <c r="F187" s="24" t="s">
        <v>48</v>
      </c>
      <c r="G187" s="25">
        <v>3.2</v>
      </c>
      <c r="H187" s="26"/>
      <c r="I187" s="26">
        <f>ROUND(ROUND(H187,2)*ROUND(G187,3),2)</f>
        <v>0</v>
      </c>
      <c r="J187" s="24" t="s">
        <v>49</v>
      </c>
      <c r="O187">
        <f>(I187*21)/100</f>
        <v>0</v>
      </c>
      <c r="P187" t="s">
        <v>20</v>
      </c>
    </row>
    <row r="188" spans="1:5" ht="12.75">
      <c r="A188" s="27" t="s">
        <v>50</v>
      </c>
      <c r="E188" s="28" t="s">
        <v>392</v>
      </c>
    </row>
    <row r="189" spans="1:5" ht="12.75">
      <c r="A189" s="29" t="s">
        <v>52</v>
      </c>
      <c r="E189" s="30" t="s">
        <v>279</v>
      </c>
    </row>
    <row r="190" spans="1:5" ht="89.25">
      <c r="A190" t="s">
        <v>54</v>
      </c>
      <c r="E190" s="28" t="s">
        <v>393</v>
      </c>
    </row>
    <row r="191" spans="1:18" ht="12.75" customHeight="1">
      <c r="A191" s="5" t="s">
        <v>42</v>
      </c>
      <c r="B191" s="5"/>
      <c r="C191" s="31" t="s">
        <v>19</v>
      </c>
      <c r="D191" s="5"/>
      <c r="E191" s="20" t="s">
        <v>394</v>
      </c>
      <c r="F191" s="5"/>
      <c r="G191" s="5"/>
      <c r="H191" s="5"/>
      <c r="I191" s="32">
        <f>0+Q191</f>
        <v>0</v>
      </c>
      <c r="J191" s="5"/>
      <c r="O191">
        <f>0+R191</f>
        <v>0</v>
      </c>
      <c r="Q191">
        <f>0+I192+I196+I200+I204+I208+I212+I216+I220+I224</f>
        <v>0</v>
      </c>
      <c r="R191">
        <f>0+O192+O196+O200+O204+O208+O212+O216+O220+O224</f>
        <v>0</v>
      </c>
    </row>
    <row r="192" spans="1:16" ht="12.75">
      <c r="A192" s="18" t="s">
        <v>44</v>
      </c>
      <c r="B192" s="22">
        <f>MAX(B181:B188)+1</f>
        <v>46</v>
      </c>
      <c r="C192" s="22" t="s">
        <v>395</v>
      </c>
      <c r="D192" s="18" t="s">
        <v>46</v>
      </c>
      <c r="E192" s="23" t="s">
        <v>396</v>
      </c>
      <c r="F192" s="24" t="s">
        <v>48</v>
      </c>
      <c r="G192" s="25">
        <v>33.754</v>
      </c>
      <c r="H192" s="26"/>
      <c r="I192" s="26">
        <f>ROUND(ROUND(H192,2)*ROUND(G192,3),2)</f>
        <v>0</v>
      </c>
      <c r="J192" s="24" t="s">
        <v>49</v>
      </c>
      <c r="O192">
        <f>(I192*21)/100</f>
        <v>0</v>
      </c>
      <c r="P192" t="s">
        <v>20</v>
      </c>
    </row>
    <row r="193" spans="1:5" ht="12.75">
      <c r="A193" s="27" t="s">
        <v>50</v>
      </c>
      <c r="E193" s="28" t="s">
        <v>46</v>
      </c>
    </row>
    <row r="194" spans="1:8" ht="12.75">
      <c r="A194" s="29" t="s">
        <v>52</v>
      </c>
      <c r="E194" s="30" t="s">
        <v>279</v>
      </c>
      <c r="H194" s="743"/>
    </row>
    <row r="195" spans="1:5" ht="382.5">
      <c r="A195" t="s">
        <v>54</v>
      </c>
      <c r="E195" s="28" t="s">
        <v>397</v>
      </c>
    </row>
    <row r="196" spans="1:16" ht="12.75">
      <c r="A196" s="18" t="s">
        <v>44</v>
      </c>
      <c r="B196" s="22">
        <f>MAX(B185:B192)+1</f>
        <v>47</v>
      </c>
      <c r="C196" s="22" t="s">
        <v>398</v>
      </c>
      <c r="D196" s="18" t="s">
        <v>46</v>
      </c>
      <c r="E196" s="23" t="s">
        <v>399</v>
      </c>
      <c r="F196" s="24" t="s">
        <v>57</v>
      </c>
      <c r="G196" s="25">
        <v>5.063</v>
      </c>
      <c r="H196" s="738"/>
      <c r="I196" s="26">
        <f>ROUND(ROUND(H196,2)*ROUND(G196,3),2)</f>
        <v>0</v>
      </c>
      <c r="J196" s="24" t="s">
        <v>49</v>
      </c>
      <c r="O196">
        <f>(I196*21)/100</f>
        <v>0</v>
      </c>
      <c r="P196" t="s">
        <v>20</v>
      </c>
    </row>
    <row r="197" spans="1:8" ht="12.75">
      <c r="A197" s="27" t="s">
        <v>50</v>
      </c>
      <c r="E197" s="28" t="s">
        <v>46</v>
      </c>
      <c r="H197" s="743"/>
    </row>
    <row r="198" spans="1:8" ht="12.75">
      <c r="A198" s="29" t="s">
        <v>52</v>
      </c>
      <c r="E198" s="30" t="s">
        <v>279</v>
      </c>
      <c r="H198" s="743"/>
    </row>
    <row r="199" spans="1:5" ht="242.25">
      <c r="A199" t="s">
        <v>54</v>
      </c>
      <c r="E199" s="28" t="s">
        <v>400</v>
      </c>
    </row>
    <row r="200" spans="1:16" ht="12.75">
      <c r="A200" s="18" t="s">
        <v>44</v>
      </c>
      <c r="B200" s="22">
        <f>MAX(B189:B196)+1</f>
        <v>48</v>
      </c>
      <c r="C200" s="22" t="s">
        <v>401</v>
      </c>
      <c r="D200" s="18" t="s">
        <v>46</v>
      </c>
      <c r="E200" s="23" t="s">
        <v>402</v>
      </c>
      <c r="F200" s="24" t="s">
        <v>403</v>
      </c>
      <c r="G200" s="25">
        <v>552</v>
      </c>
      <c r="H200" s="738"/>
      <c r="I200" s="26">
        <f>ROUND(ROUND(H200,2)*ROUND(G200,3),2)</f>
        <v>0</v>
      </c>
      <c r="J200" s="24" t="s">
        <v>49</v>
      </c>
      <c r="O200">
        <f>(I200*21)/100</f>
        <v>0</v>
      </c>
      <c r="P200" t="s">
        <v>20</v>
      </c>
    </row>
    <row r="201" spans="1:8" ht="12.75">
      <c r="A201" s="27" t="s">
        <v>50</v>
      </c>
      <c r="E201" s="28" t="s">
        <v>46</v>
      </c>
      <c r="H201" s="743"/>
    </row>
    <row r="202" spans="1:8" ht="12.75">
      <c r="A202" s="29" t="s">
        <v>52</v>
      </c>
      <c r="E202" s="30" t="s">
        <v>279</v>
      </c>
      <c r="H202" s="743"/>
    </row>
    <row r="203" spans="1:5" ht="25.5">
      <c r="A203" t="s">
        <v>54</v>
      </c>
      <c r="E203" s="28" t="s">
        <v>404</v>
      </c>
    </row>
    <row r="204" spans="1:16" ht="12.75">
      <c r="A204" s="18" t="s">
        <v>44</v>
      </c>
      <c r="B204" s="22">
        <f>MAX(B193:B200)+1</f>
        <v>49</v>
      </c>
      <c r="C204" s="22" t="s">
        <v>405</v>
      </c>
      <c r="D204" s="18" t="s">
        <v>46</v>
      </c>
      <c r="E204" s="23" t="s">
        <v>406</v>
      </c>
      <c r="F204" s="24" t="s">
        <v>48</v>
      </c>
      <c r="G204" s="25">
        <v>148.377</v>
      </c>
      <c r="H204" s="738"/>
      <c r="I204" s="26">
        <f>ROUND(ROUND(H204,2)*ROUND(G204,3),2)</f>
        <v>0</v>
      </c>
      <c r="J204" s="24" t="s">
        <v>49</v>
      </c>
      <c r="O204">
        <f>(I204*21)/100</f>
        <v>0</v>
      </c>
      <c r="P204" t="s">
        <v>20</v>
      </c>
    </row>
    <row r="205" spans="1:8" ht="12.75">
      <c r="A205" s="27" t="s">
        <v>50</v>
      </c>
      <c r="E205" s="28" t="s">
        <v>46</v>
      </c>
      <c r="H205" s="743"/>
    </row>
    <row r="206" spans="1:8" ht="12.75">
      <c r="A206" s="29" t="s">
        <v>52</v>
      </c>
      <c r="E206" s="30" t="s">
        <v>279</v>
      </c>
      <c r="H206" s="743"/>
    </row>
    <row r="207" spans="1:5" ht="369.75">
      <c r="A207" t="s">
        <v>54</v>
      </c>
      <c r="E207" s="28" t="s">
        <v>407</v>
      </c>
    </row>
    <row r="208" spans="1:16" ht="12.75">
      <c r="A208" s="18" t="s">
        <v>44</v>
      </c>
      <c r="B208" s="22">
        <f>MAX(B197:B204)+1</f>
        <v>50</v>
      </c>
      <c r="C208" s="22" t="s">
        <v>408</v>
      </c>
      <c r="D208" s="18" t="s">
        <v>46</v>
      </c>
      <c r="E208" s="23" t="s">
        <v>409</v>
      </c>
      <c r="F208" s="24" t="s">
        <v>57</v>
      </c>
      <c r="G208" s="25">
        <v>23.74</v>
      </c>
      <c r="H208" s="738"/>
      <c r="I208" s="26">
        <f>ROUND(ROUND(H208,2)*ROUND(G208,3),2)</f>
        <v>0</v>
      </c>
      <c r="J208" s="24" t="s">
        <v>49</v>
      </c>
      <c r="O208">
        <f>(I208*21)/100</f>
        <v>0</v>
      </c>
      <c r="P208" t="s">
        <v>20</v>
      </c>
    </row>
    <row r="209" spans="1:8" ht="12.75">
      <c r="A209" s="27" t="s">
        <v>50</v>
      </c>
      <c r="E209" s="28" t="s">
        <v>46</v>
      </c>
      <c r="H209" s="743"/>
    </row>
    <row r="210" spans="1:8" ht="12.75">
      <c r="A210" s="29" t="s">
        <v>52</v>
      </c>
      <c r="E210" s="30" t="s">
        <v>279</v>
      </c>
      <c r="H210" s="743"/>
    </row>
    <row r="211" spans="1:5" ht="267.75">
      <c r="A211" t="s">
        <v>54</v>
      </c>
      <c r="E211" s="28" t="s">
        <v>373</v>
      </c>
    </row>
    <row r="212" spans="1:16" ht="12.75">
      <c r="A212" s="18" t="s">
        <v>44</v>
      </c>
      <c r="B212" s="22">
        <f>MAX(B201:B208)+1</f>
        <v>51</v>
      </c>
      <c r="C212" s="22" t="s">
        <v>410</v>
      </c>
      <c r="D212" s="18" t="s">
        <v>46</v>
      </c>
      <c r="E212" s="23" t="s">
        <v>411</v>
      </c>
      <c r="F212" s="24" t="s">
        <v>48</v>
      </c>
      <c r="G212" s="25">
        <v>10.307</v>
      </c>
      <c r="H212" s="738"/>
      <c r="I212" s="26">
        <f>ROUND(ROUND(H212,2)*ROUND(G212,3),2)</f>
        <v>0</v>
      </c>
      <c r="J212" s="24" t="s">
        <v>49</v>
      </c>
      <c r="O212">
        <f>(I212*21)/100</f>
        <v>0</v>
      </c>
      <c r="P212" t="s">
        <v>20</v>
      </c>
    </row>
    <row r="213" spans="1:5" ht="12.75">
      <c r="A213" s="27" t="s">
        <v>50</v>
      </c>
      <c r="E213" s="28" t="s">
        <v>46</v>
      </c>
    </row>
    <row r="214" spans="1:5" ht="12.75">
      <c r="A214" s="29" t="s">
        <v>52</v>
      </c>
      <c r="E214" s="30" t="s">
        <v>279</v>
      </c>
    </row>
    <row r="215" spans="1:5" ht="38.25">
      <c r="A215" t="s">
        <v>54</v>
      </c>
      <c r="E215" s="28" t="s">
        <v>412</v>
      </c>
    </row>
    <row r="216" spans="1:16" ht="12.75">
      <c r="A216" s="18" t="s">
        <v>44</v>
      </c>
      <c r="B216" s="22">
        <f>MAX(B205:B212)+1</f>
        <v>52</v>
      </c>
      <c r="C216" s="22" t="s">
        <v>413</v>
      </c>
      <c r="D216" s="18" t="s">
        <v>46</v>
      </c>
      <c r="E216" s="23" t="s">
        <v>414</v>
      </c>
      <c r="F216" s="24" t="s">
        <v>48</v>
      </c>
      <c r="G216" s="25">
        <v>2.325</v>
      </c>
      <c r="H216" s="26"/>
      <c r="I216" s="26">
        <f>ROUND(ROUND(H216,2)*ROUND(G216,3),2)</f>
        <v>0</v>
      </c>
      <c r="J216" s="24" t="s">
        <v>49</v>
      </c>
      <c r="O216">
        <f>(I216*21)/100</f>
        <v>0</v>
      </c>
      <c r="P216" t="s">
        <v>20</v>
      </c>
    </row>
    <row r="217" spans="1:5" ht="51">
      <c r="A217" s="27" t="s">
        <v>50</v>
      </c>
      <c r="E217" s="28" t="s">
        <v>415</v>
      </c>
    </row>
    <row r="218" spans="1:5" ht="12.75">
      <c r="A218" s="29" t="s">
        <v>52</v>
      </c>
      <c r="E218" s="30" t="s">
        <v>279</v>
      </c>
    </row>
    <row r="219" spans="1:5" ht="229.5">
      <c r="A219" t="s">
        <v>54</v>
      </c>
      <c r="E219" s="28" t="s">
        <v>416</v>
      </c>
    </row>
    <row r="220" spans="1:16" ht="12.75">
      <c r="A220" s="18" t="s">
        <v>44</v>
      </c>
      <c r="B220" s="22">
        <f>MAX(B209:B216)+1</f>
        <v>53</v>
      </c>
      <c r="C220" s="22" t="s">
        <v>417</v>
      </c>
      <c r="D220" s="18" t="s">
        <v>46</v>
      </c>
      <c r="E220" s="23" t="s">
        <v>418</v>
      </c>
      <c r="F220" s="24" t="s">
        <v>48</v>
      </c>
      <c r="G220" s="25">
        <v>1.088</v>
      </c>
      <c r="H220" s="26"/>
      <c r="I220" s="26">
        <f>ROUND(ROUND(H220,2)*ROUND(G220,3),2)</f>
        <v>0</v>
      </c>
      <c r="J220" s="24" t="s">
        <v>49</v>
      </c>
      <c r="O220">
        <f>(I220*21)/100</f>
        <v>0</v>
      </c>
      <c r="P220" t="s">
        <v>20</v>
      </c>
    </row>
    <row r="221" spans="1:5" ht="12.75">
      <c r="A221" s="27" t="s">
        <v>50</v>
      </c>
      <c r="E221" s="28" t="s">
        <v>419</v>
      </c>
    </row>
    <row r="222" spans="1:5" ht="12.75">
      <c r="A222" s="29" t="s">
        <v>52</v>
      </c>
      <c r="E222" s="30" t="s">
        <v>279</v>
      </c>
    </row>
    <row r="223" spans="1:5" ht="229.5">
      <c r="A223" t="s">
        <v>54</v>
      </c>
      <c r="E223" s="28" t="s">
        <v>416</v>
      </c>
    </row>
    <row r="224" spans="1:16" ht="12.75">
      <c r="A224" s="18" t="s">
        <v>44</v>
      </c>
      <c r="B224" s="22">
        <f>MAX(B213:B220)+1</f>
        <v>54</v>
      </c>
      <c r="C224" s="22" t="s">
        <v>420</v>
      </c>
      <c r="D224" s="18" t="s">
        <v>46</v>
      </c>
      <c r="E224" s="23" t="s">
        <v>421</v>
      </c>
      <c r="F224" s="24" t="s">
        <v>48</v>
      </c>
      <c r="G224" s="25">
        <v>36.36</v>
      </c>
      <c r="H224" s="26"/>
      <c r="I224" s="26">
        <f>ROUND(ROUND(H224,2)*ROUND(G224,3),2)</f>
        <v>0</v>
      </c>
      <c r="J224" s="24" t="s">
        <v>49</v>
      </c>
      <c r="O224">
        <f>(I224*21)/100</f>
        <v>0</v>
      </c>
      <c r="P224" t="s">
        <v>20</v>
      </c>
    </row>
    <row r="225" spans="1:5" ht="12.75">
      <c r="A225" s="27" t="s">
        <v>50</v>
      </c>
      <c r="E225" s="28" t="s">
        <v>46</v>
      </c>
    </row>
    <row r="226" spans="1:5" ht="12.75">
      <c r="A226" s="29" t="s">
        <v>52</v>
      </c>
      <c r="E226" s="30" t="s">
        <v>279</v>
      </c>
    </row>
    <row r="227" spans="1:5" ht="25.5">
      <c r="A227" t="s">
        <v>54</v>
      </c>
      <c r="E227" s="28" t="s">
        <v>422</v>
      </c>
    </row>
    <row r="228" spans="1:18" ht="12.75" customHeight="1">
      <c r="A228" s="5" t="s">
        <v>42</v>
      </c>
      <c r="B228" s="5"/>
      <c r="C228" s="31" t="s">
        <v>30</v>
      </c>
      <c r="D228" s="5"/>
      <c r="E228" s="20" t="s">
        <v>140</v>
      </c>
      <c r="F228" s="5"/>
      <c r="G228" s="5"/>
      <c r="H228" s="5"/>
      <c r="I228" s="32">
        <f>0+Q228</f>
        <v>0</v>
      </c>
      <c r="J228" s="5"/>
      <c r="O228">
        <f>0+R228</f>
        <v>0</v>
      </c>
      <c r="Q228" s="737">
        <f>0+I229+I233+I237+I241+I249+I253+I257+I261+I265+I269+I273+I277+I245</f>
        <v>0</v>
      </c>
      <c r="R228">
        <f>0+O229+O233+O237+O241+O249+O253+O257+O261+O265+O269+O273+O277+O245</f>
        <v>0</v>
      </c>
    </row>
    <row r="229" spans="1:16" ht="12.75">
      <c r="A229" s="18" t="s">
        <v>44</v>
      </c>
      <c r="B229" s="22">
        <f>MAX(B218:B225)+1</f>
        <v>55</v>
      </c>
      <c r="C229" s="22" t="s">
        <v>423</v>
      </c>
      <c r="D229" s="18" t="s">
        <v>46</v>
      </c>
      <c r="E229" s="23" t="s">
        <v>424</v>
      </c>
      <c r="F229" s="24" t="s">
        <v>48</v>
      </c>
      <c r="G229" s="25">
        <v>41.91</v>
      </c>
      <c r="H229" s="26"/>
      <c r="I229" s="26">
        <f>ROUND(ROUND(H229,2)*ROUND(G229,3),2)</f>
        <v>0</v>
      </c>
      <c r="J229" s="24" t="s">
        <v>49</v>
      </c>
      <c r="O229">
        <f>(I229*21)/100</f>
        <v>0</v>
      </c>
      <c r="P229" t="s">
        <v>20</v>
      </c>
    </row>
    <row r="230" spans="1:5" ht="12.75">
      <c r="A230" s="27" t="s">
        <v>50</v>
      </c>
      <c r="E230" s="28" t="s">
        <v>425</v>
      </c>
    </row>
    <row r="231" spans="1:5" ht="12.75">
      <c r="A231" s="29" t="s">
        <v>52</v>
      </c>
      <c r="E231" s="30" t="s">
        <v>279</v>
      </c>
    </row>
    <row r="232" spans="1:5" ht="369.75">
      <c r="A232" t="s">
        <v>54</v>
      </c>
      <c r="E232" s="28" t="s">
        <v>150</v>
      </c>
    </row>
    <row r="233" spans="1:16" ht="12.75">
      <c r="A233" s="18" t="s">
        <v>44</v>
      </c>
      <c r="B233" s="22">
        <f>MAX(B222:B229)+1</f>
        <v>56</v>
      </c>
      <c r="C233" s="22" t="s">
        <v>426</v>
      </c>
      <c r="D233" s="18" t="s">
        <v>26</v>
      </c>
      <c r="E233" s="23" t="s">
        <v>427</v>
      </c>
      <c r="F233" s="24" t="s">
        <v>48</v>
      </c>
      <c r="G233" s="25">
        <v>127.98</v>
      </c>
      <c r="H233" s="26"/>
      <c r="I233" s="26">
        <f>ROUND(ROUND(H233,2)*ROUND(G233,3),2)</f>
        <v>0</v>
      </c>
      <c r="J233" s="24" t="s">
        <v>49</v>
      </c>
      <c r="O233">
        <f>(I233*21)/100</f>
        <v>0</v>
      </c>
      <c r="P233" t="s">
        <v>20</v>
      </c>
    </row>
    <row r="234" spans="1:5" ht="12.75">
      <c r="A234" s="27" t="s">
        <v>50</v>
      </c>
      <c r="E234" s="28" t="s">
        <v>428</v>
      </c>
    </row>
    <row r="235" spans="1:5" ht="12.75">
      <c r="A235" s="29" t="s">
        <v>52</v>
      </c>
      <c r="E235" s="30" t="s">
        <v>279</v>
      </c>
    </row>
    <row r="236" spans="1:5" ht="369.75">
      <c r="A236" t="s">
        <v>54</v>
      </c>
      <c r="E236" s="28" t="s">
        <v>150</v>
      </c>
    </row>
    <row r="237" spans="1:16" ht="12.75">
      <c r="A237" s="18" t="s">
        <v>44</v>
      </c>
      <c r="B237" s="22">
        <f>MAX(B226:B233)+1</f>
        <v>57</v>
      </c>
      <c r="C237" s="22" t="s">
        <v>426</v>
      </c>
      <c r="D237" s="18" t="s">
        <v>20</v>
      </c>
      <c r="E237" s="23" t="s">
        <v>427</v>
      </c>
      <c r="F237" s="24" t="s">
        <v>48</v>
      </c>
      <c r="G237" s="25">
        <v>36.71</v>
      </c>
      <c r="H237" s="26"/>
      <c r="I237" s="26">
        <f>ROUND(ROUND(H237,2)*ROUND(G237,3),2)</f>
        <v>0</v>
      </c>
      <c r="J237" s="24" t="s">
        <v>49</v>
      </c>
      <c r="O237">
        <f>(I237*21)/100</f>
        <v>0</v>
      </c>
      <c r="P237" t="s">
        <v>20</v>
      </c>
    </row>
    <row r="238" spans="1:5" ht="12.75">
      <c r="A238" s="27" t="s">
        <v>50</v>
      </c>
      <c r="E238" s="28" t="s">
        <v>429</v>
      </c>
    </row>
    <row r="239" spans="1:5" ht="12.75">
      <c r="A239" s="29" t="s">
        <v>52</v>
      </c>
      <c r="E239" s="30" t="s">
        <v>279</v>
      </c>
    </row>
    <row r="240" spans="1:5" ht="369.75">
      <c r="A240" t="s">
        <v>54</v>
      </c>
      <c r="E240" s="28" t="s">
        <v>150</v>
      </c>
    </row>
    <row r="241" spans="1:16" ht="12.75">
      <c r="A241" s="18" t="s">
        <v>44</v>
      </c>
      <c r="B241" s="22">
        <f>MAX(B230:B237)+1</f>
        <v>58</v>
      </c>
      <c r="C241" s="22" t="s">
        <v>430</v>
      </c>
      <c r="D241" s="18" t="s">
        <v>46</v>
      </c>
      <c r="E241" s="23" t="s">
        <v>431</v>
      </c>
      <c r="F241" s="24" t="s">
        <v>48</v>
      </c>
      <c r="G241" s="25">
        <v>94.08</v>
      </c>
      <c r="H241" s="26"/>
      <c r="I241" s="26">
        <f>ROUND(ROUND(H241,2)*ROUND(G241,3),2)</f>
        <v>0</v>
      </c>
      <c r="J241" s="24" t="s">
        <v>49</v>
      </c>
      <c r="O241">
        <f>(I241*21)/100</f>
        <v>0</v>
      </c>
      <c r="P241" t="s">
        <v>20</v>
      </c>
    </row>
    <row r="242" spans="1:8" ht="12.75">
      <c r="A242" s="27" t="s">
        <v>50</v>
      </c>
      <c r="E242" s="28" t="s">
        <v>432</v>
      </c>
      <c r="H242" s="743"/>
    </row>
    <row r="243" spans="1:8" ht="12.75">
      <c r="A243" s="29" t="s">
        <v>52</v>
      </c>
      <c r="E243" s="30" t="s">
        <v>279</v>
      </c>
      <c r="H243" s="743"/>
    </row>
    <row r="244" spans="1:5" ht="38.25">
      <c r="A244" t="s">
        <v>54</v>
      </c>
      <c r="E244" s="28" t="s">
        <v>433</v>
      </c>
    </row>
    <row r="245" spans="1:16" ht="12.75">
      <c r="A245" s="18" t="s">
        <v>44</v>
      </c>
      <c r="B245" s="22">
        <f>MAX(B234:B241)+1</f>
        <v>59</v>
      </c>
      <c r="C245" s="22" t="s">
        <v>434</v>
      </c>
      <c r="D245" s="18" t="s">
        <v>46</v>
      </c>
      <c r="E245" s="23" t="s">
        <v>1196</v>
      </c>
      <c r="F245" s="24" t="s">
        <v>57</v>
      </c>
      <c r="G245" s="25">
        <v>153</v>
      </c>
      <c r="H245" s="738"/>
      <c r="I245" s="26">
        <f>ROUND(ROUND(H245,2)*ROUND(G245,3),2)</f>
        <v>0</v>
      </c>
      <c r="J245" s="24"/>
      <c r="O245">
        <f>(I245*21)/100</f>
        <v>0</v>
      </c>
      <c r="P245" t="s">
        <v>20</v>
      </c>
    </row>
    <row r="246" spans="1:8" ht="25.5">
      <c r="A246" s="27" t="s">
        <v>50</v>
      </c>
      <c r="E246" s="754" t="s">
        <v>1201</v>
      </c>
      <c r="H246" s="743"/>
    </row>
    <row r="247" spans="1:8" ht="12.75">
      <c r="A247" s="29" t="s">
        <v>52</v>
      </c>
      <c r="E247" s="30" t="s">
        <v>279</v>
      </c>
      <c r="H247" s="743"/>
    </row>
    <row r="248" spans="1:5" ht="242.25">
      <c r="A248" t="s">
        <v>54</v>
      </c>
      <c r="E248" s="755" t="s">
        <v>1205</v>
      </c>
    </row>
    <row r="249" spans="1:16" ht="12.75">
      <c r="A249" s="18" t="s">
        <v>44</v>
      </c>
      <c r="B249" s="22">
        <f>MAX(B238:B245)+1</f>
        <v>60</v>
      </c>
      <c r="C249" s="22" t="s">
        <v>1195</v>
      </c>
      <c r="D249" s="18" t="s">
        <v>46</v>
      </c>
      <c r="E249" s="748" t="s">
        <v>1203</v>
      </c>
      <c r="F249" s="24" t="s">
        <v>57</v>
      </c>
      <c r="G249" s="25">
        <v>153</v>
      </c>
      <c r="H249" s="738"/>
      <c r="I249" s="26">
        <f>ROUND(ROUND(H249,2)*ROUND(G249,3),2)</f>
        <v>0</v>
      </c>
      <c r="J249" s="24"/>
      <c r="O249">
        <f>(I249*21)/100</f>
        <v>0</v>
      </c>
      <c r="P249" t="s">
        <v>20</v>
      </c>
    </row>
    <row r="250" spans="1:8" ht="25.5">
      <c r="A250" s="27" t="s">
        <v>50</v>
      </c>
      <c r="E250" s="745" t="s">
        <v>1204</v>
      </c>
      <c r="H250" s="743"/>
    </row>
    <row r="251" spans="1:8" ht="12.75">
      <c r="A251" s="29" t="s">
        <v>52</v>
      </c>
      <c r="E251" s="30" t="s">
        <v>279</v>
      </c>
      <c r="H251" s="743"/>
    </row>
    <row r="252" spans="1:5" ht="216.75">
      <c r="A252" t="s">
        <v>54</v>
      </c>
      <c r="E252" s="755" t="s">
        <v>1206</v>
      </c>
    </row>
    <row r="253" spans="1:16" ht="12.75">
      <c r="A253" s="18" t="s">
        <v>44</v>
      </c>
      <c r="B253" s="22">
        <f>MAX(B242:B249)+1</f>
        <v>61</v>
      </c>
      <c r="C253" s="22" t="s">
        <v>435</v>
      </c>
      <c r="D253" s="18" t="s">
        <v>46</v>
      </c>
      <c r="E253" s="23" t="s">
        <v>436</v>
      </c>
      <c r="F253" s="24" t="s">
        <v>48</v>
      </c>
      <c r="G253" s="25">
        <v>113.336</v>
      </c>
      <c r="H253" s="738"/>
      <c r="I253" s="26">
        <f>ROUND(ROUND(H253,2)*ROUND(G253,3),2)</f>
        <v>0</v>
      </c>
      <c r="J253" s="24" t="s">
        <v>49</v>
      </c>
      <c r="O253">
        <f>(I253*21)/100</f>
        <v>0</v>
      </c>
      <c r="P253" t="s">
        <v>20</v>
      </c>
    </row>
    <row r="254" spans="1:8" ht="12.75">
      <c r="A254" s="27" t="s">
        <v>50</v>
      </c>
      <c r="E254" s="28" t="s">
        <v>46</v>
      </c>
      <c r="H254" s="743"/>
    </row>
    <row r="255" spans="1:8" ht="12.75">
      <c r="A255" s="29" t="s">
        <v>52</v>
      </c>
      <c r="E255" s="30" t="s">
        <v>279</v>
      </c>
      <c r="H255" s="743"/>
    </row>
    <row r="256" spans="1:5" ht="369.75">
      <c r="A256" t="s">
        <v>54</v>
      </c>
      <c r="E256" s="28" t="s">
        <v>407</v>
      </c>
    </row>
    <row r="257" spans="1:16" ht="12.75">
      <c r="A257" s="18" t="s">
        <v>44</v>
      </c>
      <c r="B257" s="22">
        <f>MAX(B246:B253)+1</f>
        <v>62</v>
      </c>
      <c r="C257" s="22" t="s">
        <v>437</v>
      </c>
      <c r="D257" s="18" t="s">
        <v>46</v>
      </c>
      <c r="E257" s="23" t="s">
        <v>438</v>
      </c>
      <c r="F257" s="24" t="s">
        <v>57</v>
      </c>
      <c r="G257" s="25">
        <v>43.068</v>
      </c>
      <c r="H257" s="738"/>
      <c r="I257" s="26">
        <f>ROUND(ROUND(H257,2)*ROUND(G257,3),2)</f>
        <v>0</v>
      </c>
      <c r="J257" s="24" t="s">
        <v>49</v>
      </c>
      <c r="O257">
        <f>(I257*21)/100</f>
        <v>0</v>
      </c>
      <c r="P257" t="s">
        <v>20</v>
      </c>
    </row>
    <row r="258" spans="1:8" ht="12.75">
      <c r="A258" s="27" t="s">
        <v>50</v>
      </c>
      <c r="E258" s="28" t="s">
        <v>46</v>
      </c>
      <c r="H258" s="743"/>
    </row>
    <row r="259" spans="1:8" ht="12.75">
      <c r="A259" s="29" t="s">
        <v>52</v>
      </c>
      <c r="E259" s="30" t="s">
        <v>279</v>
      </c>
      <c r="H259" s="743"/>
    </row>
    <row r="260" spans="1:5" ht="267.75">
      <c r="A260" t="s">
        <v>54</v>
      </c>
      <c r="E260" s="28" t="s">
        <v>439</v>
      </c>
    </row>
    <row r="261" spans="1:16" ht="12.75">
      <c r="A261" s="18" t="s">
        <v>44</v>
      </c>
      <c r="B261" s="22">
        <f>MAX(B250:B257)+1</f>
        <v>63</v>
      </c>
      <c r="C261" s="22" t="s">
        <v>440</v>
      </c>
      <c r="D261" s="18" t="s">
        <v>26</v>
      </c>
      <c r="E261" s="23" t="s">
        <v>441</v>
      </c>
      <c r="F261" s="24" t="s">
        <v>210</v>
      </c>
      <c r="G261" s="25">
        <v>1</v>
      </c>
      <c r="H261" s="738"/>
      <c r="I261" s="26">
        <f>ROUND(ROUND(H261,2)*ROUND(G261,3),2)</f>
        <v>0</v>
      </c>
      <c r="J261" s="24" t="s">
        <v>49</v>
      </c>
      <c r="O261">
        <f>(I261*21)/100</f>
        <v>0</v>
      </c>
      <c r="P261" t="s">
        <v>20</v>
      </c>
    </row>
    <row r="262" spans="1:8" ht="12.75">
      <c r="A262" s="27" t="s">
        <v>50</v>
      </c>
      <c r="E262" s="28" t="s">
        <v>442</v>
      </c>
      <c r="H262" s="743"/>
    </row>
    <row r="263" spans="1:8" ht="12.75">
      <c r="A263" s="29" t="s">
        <v>52</v>
      </c>
      <c r="E263" s="30" t="s">
        <v>279</v>
      </c>
      <c r="H263" s="743"/>
    </row>
    <row r="264" spans="1:5" ht="229.5">
      <c r="A264" t="s">
        <v>54</v>
      </c>
      <c r="E264" s="28" t="s">
        <v>443</v>
      </c>
    </row>
    <row r="265" spans="1:16" ht="12.75">
      <c r="A265" s="18" t="s">
        <v>44</v>
      </c>
      <c r="B265" s="22">
        <f>MAX(B254:B261)+1</f>
        <v>64</v>
      </c>
      <c r="C265" s="22" t="s">
        <v>440</v>
      </c>
      <c r="D265" s="18" t="s">
        <v>20</v>
      </c>
      <c r="E265" s="23" t="s">
        <v>441</v>
      </c>
      <c r="F265" s="24" t="s">
        <v>210</v>
      </c>
      <c r="G265" s="25">
        <v>1</v>
      </c>
      <c r="H265" s="738"/>
      <c r="I265" s="26">
        <f>ROUND(ROUND(H265,2)*ROUND(G265,3),2)</f>
        <v>0</v>
      </c>
      <c r="J265" s="24" t="s">
        <v>49</v>
      </c>
      <c r="O265">
        <f>(I265*21)/100</f>
        <v>0</v>
      </c>
      <c r="P265" t="s">
        <v>20</v>
      </c>
    </row>
    <row r="266" spans="1:8" ht="12.75">
      <c r="A266" s="27" t="s">
        <v>50</v>
      </c>
      <c r="E266" s="28" t="s">
        <v>444</v>
      </c>
      <c r="H266" s="743"/>
    </row>
    <row r="267" spans="1:8" ht="12.75">
      <c r="A267" s="29" t="s">
        <v>52</v>
      </c>
      <c r="E267" s="30" t="s">
        <v>279</v>
      </c>
      <c r="H267" s="743"/>
    </row>
    <row r="268" spans="1:5" ht="229.5">
      <c r="A268" t="s">
        <v>54</v>
      </c>
      <c r="E268" s="28" t="s">
        <v>443</v>
      </c>
    </row>
    <row r="269" spans="1:16" ht="12.75">
      <c r="A269" s="18" t="s">
        <v>44</v>
      </c>
      <c r="B269" s="22">
        <f>MAX(B258:B265)+1</f>
        <v>65</v>
      </c>
      <c r="C269" s="22" t="s">
        <v>440</v>
      </c>
      <c r="D269" s="18" t="s">
        <v>19</v>
      </c>
      <c r="E269" s="23" t="s">
        <v>441</v>
      </c>
      <c r="F269" s="24" t="s">
        <v>210</v>
      </c>
      <c r="G269" s="25">
        <v>2</v>
      </c>
      <c r="H269" s="738"/>
      <c r="I269" s="26">
        <f>ROUND(ROUND(H269,2)*ROUND(G269,3),2)</f>
        <v>0</v>
      </c>
      <c r="J269" s="24" t="s">
        <v>49</v>
      </c>
      <c r="O269">
        <f>(I269*21)/100</f>
        <v>0</v>
      </c>
      <c r="P269" t="s">
        <v>20</v>
      </c>
    </row>
    <row r="270" spans="1:8" ht="12.75">
      <c r="A270" s="27" t="s">
        <v>50</v>
      </c>
      <c r="E270" s="28" t="s">
        <v>445</v>
      </c>
      <c r="H270" s="743"/>
    </row>
    <row r="271" spans="1:5" ht="12.75">
      <c r="A271" s="29" t="s">
        <v>52</v>
      </c>
      <c r="E271" s="30" t="s">
        <v>279</v>
      </c>
    </row>
    <row r="272" spans="1:5" ht="229.5">
      <c r="A272" t="s">
        <v>54</v>
      </c>
      <c r="E272" s="28" t="s">
        <v>443</v>
      </c>
    </row>
    <row r="273" spans="1:16" ht="12.75">
      <c r="A273" s="18" t="s">
        <v>44</v>
      </c>
      <c r="B273" s="22">
        <f>MAX(B262:B269)+1</f>
        <v>66</v>
      </c>
      <c r="C273" s="22" t="s">
        <v>446</v>
      </c>
      <c r="D273" s="18" t="s">
        <v>46</v>
      </c>
      <c r="E273" s="23" t="s">
        <v>447</v>
      </c>
      <c r="F273" s="24" t="s">
        <v>48</v>
      </c>
      <c r="G273" s="25">
        <v>1.6</v>
      </c>
      <c r="H273" s="26"/>
      <c r="I273" s="26">
        <f>ROUND(ROUND(H273,2)*ROUND(G273,3),2)</f>
        <v>0</v>
      </c>
      <c r="J273" s="24" t="s">
        <v>49</v>
      </c>
      <c r="O273">
        <f>(I273*21)/100</f>
        <v>0</v>
      </c>
      <c r="P273" t="s">
        <v>20</v>
      </c>
    </row>
    <row r="274" spans="1:5" ht="12.75">
      <c r="A274" s="27" t="s">
        <v>50</v>
      </c>
      <c r="E274" s="28" t="s">
        <v>46</v>
      </c>
    </row>
    <row r="275" spans="1:5" ht="12.75">
      <c r="A275" s="29" t="s">
        <v>52</v>
      </c>
      <c r="E275" s="30" t="s">
        <v>279</v>
      </c>
    </row>
    <row r="276" spans="1:5" ht="38.25">
      <c r="A276" t="s">
        <v>54</v>
      </c>
      <c r="E276" s="28" t="s">
        <v>448</v>
      </c>
    </row>
    <row r="277" spans="1:16" ht="12.75">
      <c r="A277" s="18" t="s">
        <v>44</v>
      </c>
      <c r="B277" s="22">
        <f>MAX(B266:B273)+1</f>
        <v>67</v>
      </c>
      <c r="C277" s="22" t="s">
        <v>142</v>
      </c>
      <c r="D277" s="18" t="s">
        <v>46</v>
      </c>
      <c r="E277" s="23" t="s">
        <v>143</v>
      </c>
      <c r="F277" s="24" t="s">
        <v>48</v>
      </c>
      <c r="G277" s="25">
        <v>114.1</v>
      </c>
      <c r="H277" s="26"/>
      <c r="I277" s="26">
        <f>ROUND(ROUND(H277,2)*ROUND(G277,3),2)</f>
        <v>0</v>
      </c>
      <c r="J277" s="24" t="s">
        <v>49</v>
      </c>
      <c r="O277">
        <f>(I277*21)/100</f>
        <v>0</v>
      </c>
      <c r="P277" t="s">
        <v>20</v>
      </c>
    </row>
    <row r="278" spans="1:5" ht="12.75">
      <c r="A278" s="27" t="s">
        <v>50</v>
      </c>
      <c r="E278" s="28" t="s">
        <v>46</v>
      </c>
    </row>
    <row r="279" spans="1:5" ht="12.75">
      <c r="A279" s="29" t="s">
        <v>52</v>
      </c>
      <c r="E279" s="30" t="s">
        <v>279</v>
      </c>
    </row>
    <row r="280" spans="1:5" ht="102">
      <c r="A280" t="s">
        <v>54</v>
      </c>
      <c r="E280" s="28" t="s">
        <v>145</v>
      </c>
    </row>
    <row r="281" spans="1:18" ht="12.75" customHeight="1">
      <c r="A281" s="5" t="s">
        <v>42</v>
      </c>
      <c r="B281" s="5"/>
      <c r="C281" s="31" t="s">
        <v>32</v>
      </c>
      <c r="D281" s="5"/>
      <c r="E281" s="20" t="s">
        <v>151</v>
      </c>
      <c r="F281" s="5"/>
      <c r="G281" s="5"/>
      <c r="H281" s="5"/>
      <c r="I281" s="32">
        <f>0+Q281</f>
        <v>0</v>
      </c>
      <c r="J281" s="5"/>
      <c r="O281">
        <f>0+R281</f>
        <v>0</v>
      </c>
      <c r="Q281">
        <f>0+I282+I286+I290+I294+I298</f>
        <v>0</v>
      </c>
      <c r="R281">
        <f>0+O282+O286+O290+O294+O298</f>
        <v>0</v>
      </c>
    </row>
    <row r="282" spans="1:16" ht="12.75">
      <c r="A282" s="18" t="s">
        <v>44</v>
      </c>
      <c r="B282" s="22">
        <f>MAX(B271:B278)+1</f>
        <v>68</v>
      </c>
      <c r="C282" s="22" t="s">
        <v>153</v>
      </c>
      <c r="D282" s="18" t="s">
        <v>46</v>
      </c>
      <c r="E282" s="23" t="s">
        <v>154</v>
      </c>
      <c r="F282" s="24" t="s">
        <v>106</v>
      </c>
      <c r="G282" s="25">
        <v>524.7</v>
      </c>
      <c r="H282" s="26"/>
      <c r="I282" s="26">
        <f>ROUND(ROUND(H282,2)*ROUND(G282,3),2)</f>
        <v>0</v>
      </c>
      <c r="J282" s="24" t="s">
        <v>49</v>
      </c>
      <c r="O282">
        <f>(I282*21)/100</f>
        <v>0</v>
      </c>
      <c r="P282" t="s">
        <v>20</v>
      </c>
    </row>
    <row r="283" spans="1:5" ht="12.75">
      <c r="A283" s="27" t="s">
        <v>50</v>
      </c>
      <c r="E283" s="28" t="s">
        <v>46</v>
      </c>
    </row>
    <row r="284" spans="1:5" ht="12.75">
      <c r="A284" s="29" t="s">
        <v>52</v>
      </c>
      <c r="E284" s="30" t="s">
        <v>46</v>
      </c>
    </row>
    <row r="285" spans="1:5" ht="140.25">
      <c r="A285" t="s">
        <v>54</v>
      </c>
      <c r="E285" s="28" t="s">
        <v>156</v>
      </c>
    </row>
    <row r="286" spans="1:16" ht="12.75">
      <c r="A286" s="18" t="s">
        <v>44</v>
      </c>
      <c r="B286" s="22">
        <f>MAX(B275:B282)+1</f>
        <v>69</v>
      </c>
      <c r="C286" s="22" t="s">
        <v>449</v>
      </c>
      <c r="D286" s="18" t="s">
        <v>46</v>
      </c>
      <c r="E286" s="23" t="s">
        <v>450</v>
      </c>
      <c r="F286" s="24" t="s">
        <v>106</v>
      </c>
      <c r="G286" s="25">
        <v>310.05</v>
      </c>
      <c r="H286" s="26"/>
      <c r="I286" s="26">
        <f>ROUND(ROUND(H286,2)*ROUND(G286,3),2)</f>
        <v>0</v>
      </c>
      <c r="J286" s="24" t="s">
        <v>49</v>
      </c>
      <c r="O286">
        <f>(I286*21)/100</f>
        <v>0</v>
      </c>
      <c r="P286" t="s">
        <v>20</v>
      </c>
    </row>
    <row r="287" spans="1:5" ht="12.75">
      <c r="A287" s="27" t="s">
        <v>50</v>
      </c>
      <c r="E287" s="28" t="s">
        <v>46</v>
      </c>
    </row>
    <row r="288" spans="1:5" ht="12.75">
      <c r="A288" s="29" t="s">
        <v>52</v>
      </c>
      <c r="E288" s="30" t="s">
        <v>279</v>
      </c>
    </row>
    <row r="289" spans="1:5" ht="140.25">
      <c r="A289" t="s">
        <v>54</v>
      </c>
      <c r="E289" s="28" t="s">
        <v>156</v>
      </c>
    </row>
    <row r="290" spans="1:16" ht="12.75">
      <c r="A290" s="18" t="s">
        <v>44</v>
      </c>
      <c r="B290" s="22">
        <f>MAX(B279:B286)+1</f>
        <v>70</v>
      </c>
      <c r="C290" s="22" t="s">
        <v>451</v>
      </c>
      <c r="D290" s="18" t="s">
        <v>46</v>
      </c>
      <c r="E290" s="23" t="s">
        <v>452</v>
      </c>
      <c r="F290" s="24" t="s">
        <v>48</v>
      </c>
      <c r="G290" s="25">
        <v>3.816</v>
      </c>
      <c r="H290" s="26"/>
      <c r="I290" s="26">
        <f>ROUND(ROUND(H290,2)*ROUND(G290,3),2)</f>
        <v>0</v>
      </c>
      <c r="J290" s="24" t="s">
        <v>49</v>
      </c>
      <c r="O290">
        <f>(I290*21)/100</f>
        <v>0</v>
      </c>
      <c r="P290" t="s">
        <v>20</v>
      </c>
    </row>
    <row r="291" spans="1:5" ht="12.75">
      <c r="A291" s="27" t="s">
        <v>50</v>
      </c>
      <c r="E291" s="28" t="s">
        <v>453</v>
      </c>
    </row>
    <row r="292" spans="1:5" ht="12.75">
      <c r="A292" s="29" t="s">
        <v>52</v>
      </c>
      <c r="E292" s="30" t="s">
        <v>454</v>
      </c>
    </row>
    <row r="293" spans="1:5" ht="140.25">
      <c r="A293" t="s">
        <v>54</v>
      </c>
      <c r="E293" s="28" t="s">
        <v>156</v>
      </c>
    </row>
    <row r="294" spans="1:16" ht="12.75">
      <c r="A294" s="18" t="s">
        <v>44</v>
      </c>
      <c r="B294" s="22">
        <f>MAX(B283:B290)+1</f>
        <v>71</v>
      </c>
      <c r="C294" s="22" t="s">
        <v>158</v>
      </c>
      <c r="D294" s="18" t="s">
        <v>46</v>
      </c>
      <c r="E294" s="23" t="s">
        <v>159</v>
      </c>
      <c r="F294" s="24" t="s">
        <v>106</v>
      </c>
      <c r="G294" s="25">
        <v>262.35</v>
      </c>
      <c r="H294" s="26"/>
      <c r="I294" s="26">
        <f>ROUND(ROUND(H294,2)*ROUND(G294,3),2)</f>
        <v>0</v>
      </c>
      <c r="J294" s="24" t="s">
        <v>49</v>
      </c>
      <c r="O294">
        <f>(I294*21)/100</f>
        <v>0</v>
      </c>
      <c r="P294" t="s">
        <v>20</v>
      </c>
    </row>
    <row r="295" spans="1:5" ht="12.75">
      <c r="A295" s="27" t="s">
        <v>50</v>
      </c>
      <c r="E295" s="28" t="s">
        <v>46</v>
      </c>
    </row>
    <row r="296" spans="1:5" ht="12.75">
      <c r="A296" s="29" t="s">
        <v>52</v>
      </c>
      <c r="E296" s="30" t="s">
        <v>279</v>
      </c>
    </row>
    <row r="297" spans="1:5" ht="51">
      <c r="A297" t="s">
        <v>54</v>
      </c>
      <c r="E297" s="28" t="s">
        <v>160</v>
      </c>
    </row>
    <row r="298" spans="1:16" ht="12.75">
      <c r="A298" s="18" t="s">
        <v>44</v>
      </c>
      <c r="B298" s="22">
        <f>MAX(B287:B294)+1</f>
        <v>72</v>
      </c>
      <c r="C298" s="22" t="s">
        <v>455</v>
      </c>
      <c r="D298" s="18" t="s">
        <v>46</v>
      </c>
      <c r="E298" s="23" t="s">
        <v>456</v>
      </c>
      <c r="F298" s="24" t="s">
        <v>106</v>
      </c>
      <c r="G298" s="25">
        <v>108.426</v>
      </c>
      <c r="H298" s="26"/>
      <c r="I298" s="26">
        <f>ROUND(ROUND(H298,2)*ROUND(G298,3),2)</f>
        <v>0</v>
      </c>
      <c r="J298" s="24" t="s">
        <v>49</v>
      </c>
      <c r="O298">
        <f>(I298*21)/100</f>
        <v>0</v>
      </c>
      <c r="P298" t="s">
        <v>20</v>
      </c>
    </row>
    <row r="299" spans="1:5" ht="12.75">
      <c r="A299" s="27" t="s">
        <v>50</v>
      </c>
      <c r="E299" s="28" t="s">
        <v>46</v>
      </c>
    </row>
    <row r="300" spans="1:5" ht="12.75">
      <c r="A300" s="29" t="s">
        <v>52</v>
      </c>
      <c r="E300" s="30" t="s">
        <v>279</v>
      </c>
    </row>
    <row r="301" spans="1:5" ht="153">
      <c r="A301" t="s">
        <v>54</v>
      </c>
      <c r="E301" s="28" t="s">
        <v>457</v>
      </c>
    </row>
    <row r="302" spans="1:18" ht="12.75" customHeight="1">
      <c r="A302" s="5" t="s">
        <v>42</v>
      </c>
      <c r="B302" s="5"/>
      <c r="C302" s="31" t="s">
        <v>34</v>
      </c>
      <c r="D302" s="5"/>
      <c r="E302" s="20" t="s">
        <v>458</v>
      </c>
      <c r="F302" s="5"/>
      <c r="G302" s="5"/>
      <c r="H302" s="5"/>
      <c r="I302" s="32">
        <f>0+Q302</f>
        <v>0</v>
      </c>
      <c r="J302" s="5"/>
      <c r="O302">
        <f>0+R302</f>
        <v>0</v>
      </c>
      <c r="Q302">
        <f>0+I303+I307</f>
        <v>0</v>
      </c>
      <c r="R302">
        <f>0+O303+O307</f>
        <v>0</v>
      </c>
    </row>
    <row r="303" spans="1:16" ht="25.5">
      <c r="A303" s="18" t="s">
        <v>44</v>
      </c>
      <c r="B303" s="22">
        <f>MAX(B292:B299)+1</f>
        <v>73</v>
      </c>
      <c r="C303" s="22" t="s">
        <v>459</v>
      </c>
      <c r="D303" s="18" t="s">
        <v>46</v>
      </c>
      <c r="E303" s="23" t="s">
        <v>460</v>
      </c>
      <c r="F303" s="24" t="s">
        <v>106</v>
      </c>
      <c r="G303" s="25">
        <v>99.216</v>
      </c>
      <c r="H303" s="26"/>
      <c r="I303" s="26">
        <f>ROUND(ROUND(H303,2)*ROUND(G303,3),2)</f>
        <v>0</v>
      </c>
      <c r="J303" s="24" t="s">
        <v>49</v>
      </c>
      <c r="O303">
        <f>(I303*21)/100</f>
        <v>0</v>
      </c>
      <c r="P303" t="s">
        <v>20</v>
      </c>
    </row>
    <row r="304" spans="1:5" ht="12.75">
      <c r="A304" s="27" t="s">
        <v>50</v>
      </c>
      <c r="E304" s="28" t="s">
        <v>461</v>
      </c>
    </row>
    <row r="305" spans="1:5" ht="12.75">
      <c r="A305" s="29" t="s">
        <v>52</v>
      </c>
      <c r="E305" s="30" t="s">
        <v>279</v>
      </c>
    </row>
    <row r="306" spans="1:5" ht="76.5">
      <c r="A306" t="s">
        <v>54</v>
      </c>
      <c r="E306" s="28" t="s">
        <v>462</v>
      </c>
    </row>
    <row r="307" spans="1:16" ht="25.5">
      <c r="A307" s="18" t="s">
        <v>44</v>
      </c>
      <c r="B307" s="22">
        <f>MAX(B296:B303)+1</f>
        <v>74</v>
      </c>
      <c r="C307" s="22" t="s">
        <v>463</v>
      </c>
      <c r="D307" s="18" t="s">
        <v>46</v>
      </c>
      <c r="E307" s="23" t="s">
        <v>464</v>
      </c>
      <c r="F307" s="24" t="s">
        <v>106</v>
      </c>
      <c r="G307" s="25">
        <v>63.21</v>
      </c>
      <c r="H307" s="26"/>
      <c r="I307" s="26">
        <f>ROUND(ROUND(H307,2)*ROUND(G307,3),2)</f>
        <v>0</v>
      </c>
      <c r="J307" s="24" t="s">
        <v>49</v>
      </c>
      <c r="O307">
        <f>(I307*21)/100</f>
        <v>0</v>
      </c>
      <c r="P307" t="s">
        <v>20</v>
      </c>
    </row>
    <row r="308" spans="1:5" ht="12.75">
      <c r="A308" s="27" t="s">
        <v>50</v>
      </c>
      <c r="E308" s="28" t="s">
        <v>465</v>
      </c>
    </row>
    <row r="309" spans="1:5" ht="12.75">
      <c r="A309" s="29" t="s">
        <v>52</v>
      </c>
      <c r="E309" s="30" t="s">
        <v>279</v>
      </c>
    </row>
    <row r="310" spans="1:5" ht="76.5">
      <c r="A310" t="s">
        <v>54</v>
      </c>
      <c r="E310" s="28" t="s">
        <v>462</v>
      </c>
    </row>
    <row r="311" spans="1:18" ht="12.75" customHeight="1">
      <c r="A311" s="5" t="s">
        <v>42</v>
      </c>
      <c r="B311" s="5"/>
      <c r="C311" s="31" t="s">
        <v>73</v>
      </c>
      <c r="D311" s="5"/>
      <c r="E311" s="20" t="s">
        <v>466</v>
      </c>
      <c r="F311" s="5"/>
      <c r="G311" s="5"/>
      <c r="H311" s="5"/>
      <c r="I311" s="32">
        <f>0+Q311</f>
        <v>0</v>
      </c>
      <c r="J311" s="5"/>
      <c r="O311">
        <f>0+R311</f>
        <v>0</v>
      </c>
      <c r="Q311">
        <f>0+I312+I316+I320+I324+I328+I332+I336+I340+I344</f>
        <v>0</v>
      </c>
      <c r="R311">
        <f>0+O312+O316+O320+O324+O328+O332+O336+O340+O344</f>
        <v>0</v>
      </c>
    </row>
    <row r="312" spans="1:16" ht="25.5">
      <c r="A312" s="18" t="s">
        <v>44</v>
      </c>
      <c r="B312" s="22">
        <f>MAX(B301:B308)+1</f>
        <v>75</v>
      </c>
      <c r="C312" s="22" t="s">
        <v>467</v>
      </c>
      <c r="D312" s="18" t="s">
        <v>46</v>
      </c>
      <c r="E312" s="23" t="s">
        <v>468</v>
      </c>
      <c r="F312" s="24" t="s">
        <v>106</v>
      </c>
      <c r="G312" s="25">
        <v>318.1</v>
      </c>
      <c r="H312" s="26"/>
      <c r="I312" s="26">
        <f>ROUND(ROUND(H312,2)*ROUND(G312,3),2)</f>
        <v>0</v>
      </c>
      <c r="J312" s="24" t="s">
        <v>49</v>
      </c>
      <c r="O312">
        <f>(I312*21)/100</f>
        <v>0</v>
      </c>
      <c r="P312" t="s">
        <v>20</v>
      </c>
    </row>
    <row r="313" spans="1:5" ht="12.75">
      <c r="A313" s="27" t="s">
        <v>50</v>
      </c>
      <c r="E313" s="28" t="s">
        <v>46</v>
      </c>
    </row>
    <row r="314" spans="1:5" ht="12.75">
      <c r="A314" s="29" t="s">
        <v>52</v>
      </c>
      <c r="E314" s="30" t="s">
        <v>279</v>
      </c>
    </row>
    <row r="315" spans="1:5" ht="191.25">
      <c r="A315" t="s">
        <v>54</v>
      </c>
      <c r="E315" s="28" t="s">
        <v>469</v>
      </c>
    </row>
    <row r="316" spans="1:16" ht="12.75">
      <c r="A316" s="18" t="s">
        <v>44</v>
      </c>
      <c r="B316" s="22">
        <f>MAX(B305:B312)+1</f>
        <v>76</v>
      </c>
      <c r="C316" s="22" t="s">
        <v>470</v>
      </c>
      <c r="D316" s="18" t="s">
        <v>46</v>
      </c>
      <c r="E316" s="23" t="s">
        <v>471</v>
      </c>
      <c r="F316" s="24" t="s">
        <v>106</v>
      </c>
      <c r="G316" s="25">
        <v>477</v>
      </c>
      <c r="H316" s="26"/>
      <c r="I316" s="26">
        <f>ROUND(ROUND(H316,2)*ROUND(G316,3),2)</f>
        <v>0</v>
      </c>
      <c r="J316" s="24" t="s">
        <v>49</v>
      </c>
      <c r="O316">
        <f>(I316*21)/100</f>
        <v>0</v>
      </c>
      <c r="P316" t="s">
        <v>20</v>
      </c>
    </row>
    <row r="317" spans="1:5" ht="12.75">
      <c r="A317" s="27" t="s">
        <v>50</v>
      </c>
      <c r="E317" s="28" t="s">
        <v>472</v>
      </c>
    </row>
    <row r="318" spans="1:5" ht="12.75">
      <c r="A318" s="29" t="s">
        <v>52</v>
      </c>
      <c r="E318" s="30" t="s">
        <v>279</v>
      </c>
    </row>
    <row r="319" spans="1:5" ht="216.75">
      <c r="A319" t="s">
        <v>54</v>
      </c>
      <c r="E319" s="28" t="s">
        <v>473</v>
      </c>
    </row>
    <row r="320" spans="1:16" ht="12.75">
      <c r="A320" s="18" t="s">
        <v>44</v>
      </c>
      <c r="B320" s="22">
        <f>MAX(B309:B316)+1</f>
        <v>77</v>
      </c>
      <c r="C320" s="22" t="s">
        <v>474</v>
      </c>
      <c r="D320" s="18" t="s">
        <v>46</v>
      </c>
      <c r="E320" s="23" t="s">
        <v>475</v>
      </c>
      <c r="F320" s="24" t="s">
        <v>106</v>
      </c>
      <c r="G320" s="25">
        <v>166.95</v>
      </c>
      <c r="H320" s="26"/>
      <c r="I320" s="26">
        <f>ROUND(ROUND(H320,2)*ROUND(G320,3),2)</f>
        <v>0</v>
      </c>
      <c r="J320" s="24" t="s">
        <v>49</v>
      </c>
      <c r="O320">
        <f>(I320*21)/100</f>
        <v>0</v>
      </c>
      <c r="P320" t="s">
        <v>20</v>
      </c>
    </row>
    <row r="321" spans="1:5" ht="12.75">
      <c r="A321" s="27" t="s">
        <v>50</v>
      </c>
      <c r="E321" s="28" t="s">
        <v>476</v>
      </c>
    </row>
    <row r="322" spans="1:5" ht="12.75">
      <c r="A322" s="29" t="s">
        <v>52</v>
      </c>
      <c r="E322" s="30" t="s">
        <v>279</v>
      </c>
    </row>
    <row r="323" spans="1:5" ht="38.25">
      <c r="A323" t="s">
        <v>54</v>
      </c>
      <c r="E323" s="28" t="s">
        <v>477</v>
      </c>
    </row>
    <row r="324" spans="1:16" ht="12.75">
      <c r="A324" s="18" t="s">
        <v>44</v>
      </c>
      <c r="B324" s="22">
        <f>MAX(B313:B320)+1</f>
        <v>78</v>
      </c>
      <c r="C324" s="22" t="s">
        <v>478</v>
      </c>
      <c r="D324" s="18" t="s">
        <v>46</v>
      </c>
      <c r="E324" s="23" t="s">
        <v>479</v>
      </c>
      <c r="F324" s="24" t="s">
        <v>106</v>
      </c>
      <c r="G324" s="25">
        <v>80.1</v>
      </c>
      <c r="H324" s="26"/>
      <c r="I324" s="26">
        <f>ROUND(ROUND(H324,2)*ROUND(G324,3),2)</f>
        <v>0</v>
      </c>
      <c r="J324" s="24" t="s">
        <v>49</v>
      </c>
      <c r="O324">
        <f>(I324*21)/100</f>
        <v>0</v>
      </c>
      <c r="P324" t="s">
        <v>20</v>
      </c>
    </row>
    <row r="325" spans="1:5" ht="12.75">
      <c r="A325" s="27" t="s">
        <v>50</v>
      </c>
      <c r="E325" s="28" t="s">
        <v>480</v>
      </c>
    </row>
    <row r="326" spans="1:5" ht="12.75">
      <c r="A326" s="29" t="s">
        <v>52</v>
      </c>
      <c r="E326" s="30" t="s">
        <v>279</v>
      </c>
    </row>
    <row r="327" spans="1:5" ht="51">
      <c r="A327" t="s">
        <v>54</v>
      </c>
      <c r="E327" s="28" t="s">
        <v>481</v>
      </c>
    </row>
    <row r="328" spans="1:16" ht="12.75">
      <c r="A328" s="18" t="s">
        <v>44</v>
      </c>
      <c r="B328" s="22">
        <f>MAX(B317:B324)+1</f>
        <v>79</v>
      </c>
      <c r="C328" s="22" t="s">
        <v>482</v>
      </c>
      <c r="D328" s="18" t="s">
        <v>46</v>
      </c>
      <c r="E328" s="23" t="s">
        <v>483</v>
      </c>
      <c r="F328" s="24" t="s">
        <v>106</v>
      </c>
      <c r="G328" s="25">
        <v>30.528</v>
      </c>
      <c r="H328" s="26"/>
      <c r="I328" s="26">
        <f>ROUND(ROUND(H328,2)*ROUND(G328,3),2)</f>
        <v>0</v>
      </c>
      <c r="J328" s="24" t="s">
        <v>49</v>
      </c>
      <c r="O328">
        <f>(I328*21)/100</f>
        <v>0</v>
      </c>
      <c r="P328" t="s">
        <v>20</v>
      </c>
    </row>
    <row r="329" spans="1:5" ht="12.75">
      <c r="A329" s="27" t="s">
        <v>50</v>
      </c>
      <c r="E329" s="28" t="s">
        <v>484</v>
      </c>
    </row>
    <row r="330" spans="1:5" ht="12.75">
      <c r="A330" s="29" t="s">
        <v>52</v>
      </c>
      <c r="E330" s="30" t="s">
        <v>279</v>
      </c>
    </row>
    <row r="331" spans="1:5" ht="51">
      <c r="A331" t="s">
        <v>54</v>
      </c>
      <c r="E331" s="28" t="s">
        <v>481</v>
      </c>
    </row>
    <row r="332" spans="1:16" ht="12.75">
      <c r="A332" s="18" t="s">
        <v>44</v>
      </c>
      <c r="B332" s="22">
        <f>MAX(B321:B328)+1</f>
        <v>80</v>
      </c>
      <c r="C332" s="22" t="s">
        <v>485</v>
      </c>
      <c r="D332" s="18" t="s">
        <v>26</v>
      </c>
      <c r="E332" s="23" t="s">
        <v>486</v>
      </c>
      <c r="F332" s="24" t="s">
        <v>106</v>
      </c>
      <c r="G332" s="25">
        <v>1300</v>
      </c>
      <c r="H332" s="26"/>
      <c r="I332" s="26">
        <f>ROUND(ROUND(H332,2)*ROUND(G332,3),2)</f>
        <v>0</v>
      </c>
      <c r="J332" s="24" t="s">
        <v>49</v>
      </c>
      <c r="O332">
        <f>(I332*21)/100</f>
        <v>0</v>
      </c>
      <c r="P332" t="s">
        <v>20</v>
      </c>
    </row>
    <row r="333" spans="1:5" ht="12.75">
      <c r="A333" s="27" t="s">
        <v>50</v>
      </c>
      <c r="E333" s="28" t="s">
        <v>487</v>
      </c>
    </row>
    <row r="334" spans="1:5" ht="12.75">
      <c r="A334" s="29" t="s">
        <v>52</v>
      </c>
      <c r="E334" s="30" t="s">
        <v>279</v>
      </c>
    </row>
    <row r="335" spans="1:5" ht="51">
      <c r="A335" t="s">
        <v>54</v>
      </c>
      <c r="E335" s="28" t="s">
        <v>488</v>
      </c>
    </row>
    <row r="336" spans="1:16" ht="12.75">
      <c r="A336" s="18" t="s">
        <v>44</v>
      </c>
      <c r="B336" s="22">
        <f>MAX(B325:B332)+1</f>
        <v>81</v>
      </c>
      <c r="C336" s="22" t="s">
        <v>485</v>
      </c>
      <c r="D336" s="18" t="s">
        <v>20</v>
      </c>
      <c r="E336" s="23" t="s">
        <v>486</v>
      </c>
      <c r="F336" s="24" t="s">
        <v>106</v>
      </c>
      <c r="G336" s="25">
        <v>410</v>
      </c>
      <c r="H336" s="26"/>
      <c r="I336" s="26">
        <f>ROUND(ROUND(H336,2)*ROUND(G336,3),2)</f>
        <v>0</v>
      </c>
      <c r="J336" s="24" t="s">
        <v>49</v>
      </c>
      <c r="O336">
        <f>(I336*21)/100</f>
        <v>0</v>
      </c>
      <c r="P336" t="s">
        <v>20</v>
      </c>
    </row>
    <row r="337" spans="1:5" ht="12.75">
      <c r="A337" s="27" t="s">
        <v>50</v>
      </c>
      <c r="E337" s="28" t="s">
        <v>489</v>
      </c>
    </row>
    <row r="338" spans="1:5" ht="12.75">
      <c r="A338" s="29" t="s">
        <v>52</v>
      </c>
      <c r="E338" s="30" t="s">
        <v>279</v>
      </c>
    </row>
    <row r="339" spans="1:5" ht="51">
      <c r="A339" t="s">
        <v>54</v>
      </c>
      <c r="E339" s="28" t="s">
        <v>488</v>
      </c>
    </row>
    <row r="340" spans="1:16" ht="12.75">
      <c r="A340" s="18" t="s">
        <v>44</v>
      </c>
      <c r="B340" s="22">
        <f>MAX(B329:B336)+1</f>
        <v>82</v>
      </c>
      <c r="C340" s="22" t="s">
        <v>490</v>
      </c>
      <c r="D340" s="18" t="s">
        <v>46</v>
      </c>
      <c r="E340" s="23" t="s">
        <v>491</v>
      </c>
      <c r="F340" s="24" t="s">
        <v>106</v>
      </c>
      <c r="G340" s="25">
        <v>1710</v>
      </c>
      <c r="H340" s="26"/>
      <c r="I340" s="26">
        <f>ROUND(ROUND(H340,2)*ROUND(G340,3),2)</f>
        <v>0</v>
      </c>
      <c r="J340" s="24" t="s">
        <v>49</v>
      </c>
      <c r="O340">
        <f>(I340*21)/100</f>
        <v>0</v>
      </c>
      <c r="P340" t="s">
        <v>20</v>
      </c>
    </row>
    <row r="341" spans="1:5" ht="12.75">
      <c r="A341" s="27" t="s">
        <v>50</v>
      </c>
      <c r="E341" s="28" t="s">
        <v>46</v>
      </c>
    </row>
    <row r="342" spans="1:5" ht="12.75">
      <c r="A342" s="29" t="s">
        <v>52</v>
      </c>
      <c r="E342" s="30" t="s">
        <v>279</v>
      </c>
    </row>
    <row r="343" spans="1:5" ht="51">
      <c r="A343" t="s">
        <v>54</v>
      </c>
      <c r="E343" s="28" t="s">
        <v>488</v>
      </c>
    </row>
    <row r="344" spans="1:16" ht="12.75">
      <c r="A344" s="18" t="s">
        <v>44</v>
      </c>
      <c r="B344" s="22">
        <f>MAX(B333:B340)+1</f>
        <v>83</v>
      </c>
      <c r="C344" s="22" t="s">
        <v>492</v>
      </c>
      <c r="D344" s="18" t="s">
        <v>46</v>
      </c>
      <c r="E344" s="23" t="s">
        <v>493</v>
      </c>
      <c r="F344" s="24" t="s">
        <v>106</v>
      </c>
      <c r="G344" s="25">
        <v>16.96</v>
      </c>
      <c r="H344" s="26"/>
      <c r="I344" s="26">
        <f>ROUND(ROUND(H344,2)*ROUND(G344,3),2)</f>
        <v>0</v>
      </c>
      <c r="J344" s="24" t="s">
        <v>49</v>
      </c>
      <c r="O344">
        <f>(I344*21)/100</f>
        <v>0</v>
      </c>
      <c r="P344" t="s">
        <v>20</v>
      </c>
    </row>
    <row r="345" spans="1:5" ht="12.75">
      <c r="A345" s="27" t="s">
        <v>50</v>
      </c>
      <c r="E345" s="28" t="s">
        <v>494</v>
      </c>
    </row>
    <row r="346" spans="1:5" ht="12.75">
      <c r="A346" s="29" t="s">
        <v>52</v>
      </c>
      <c r="E346" s="30" t="s">
        <v>279</v>
      </c>
    </row>
    <row r="347" spans="1:5" ht="102">
      <c r="A347" t="s">
        <v>54</v>
      </c>
      <c r="E347" s="28" t="s">
        <v>495</v>
      </c>
    </row>
    <row r="348" spans="1:18" ht="12.75" customHeight="1">
      <c r="A348" s="5" t="s">
        <v>42</v>
      </c>
      <c r="B348" s="5"/>
      <c r="C348" s="31" t="s">
        <v>77</v>
      </c>
      <c r="D348" s="5"/>
      <c r="E348" s="20" t="s">
        <v>206</v>
      </c>
      <c r="F348" s="5"/>
      <c r="G348" s="5"/>
      <c r="H348" s="5"/>
      <c r="I348" s="32">
        <f>0+Q348</f>
        <v>0</v>
      </c>
      <c r="J348" s="5"/>
      <c r="O348">
        <f>0+R348</f>
        <v>0</v>
      </c>
      <c r="Q348">
        <f>0+I349+I353+I357+I361+I365+I369+I373+I377</f>
        <v>0</v>
      </c>
      <c r="R348">
        <f>0+O349+O353+O357+O361+O365+O369+O373+O377</f>
        <v>0</v>
      </c>
    </row>
    <row r="349" spans="1:16" ht="12.75">
      <c r="A349" s="18" t="s">
        <v>44</v>
      </c>
      <c r="B349" s="22">
        <f>MAX(B338:B345)+1</f>
        <v>84</v>
      </c>
      <c r="C349" s="22" t="s">
        <v>496</v>
      </c>
      <c r="D349" s="18" t="s">
        <v>46</v>
      </c>
      <c r="E349" s="23" t="s">
        <v>497</v>
      </c>
      <c r="F349" s="24" t="s">
        <v>80</v>
      </c>
      <c r="G349" s="25">
        <v>167.1</v>
      </c>
      <c r="H349" s="26"/>
      <c r="I349" s="26">
        <f>ROUND(ROUND(H349,2)*ROUND(G349,3),2)</f>
        <v>0</v>
      </c>
      <c r="J349" s="24" t="s">
        <v>49</v>
      </c>
      <c r="O349">
        <f>(I349*21)/100</f>
        <v>0</v>
      </c>
      <c r="P349" t="s">
        <v>20</v>
      </c>
    </row>
    <row r="350" spans="1:5" ht="25.5">
      <c r="A350" s="27" t="s">
        <v>50</v>
      </c>
      <c r="E350" s="28" t="s">
        <v>498</v>
      </c>
    </row>
    <row r="351" spans="1:5" ht="12.75">
      <c r="A351" s="29" t="s">
        <v>52</v>
      </c>
      <c r="E351" s="30" t="s">
        <v>279</v>
      </c>
    </row>
    <row r="352" spans="1:5" ht="242.25">
      <c r="A352" t="s">
        <v>54</v>
      </c>
      <c r="E352" s="28" t="s">
        <v>499</v>
      </c>
    </row>
    <row r="353" spans="1:16" ht="12.75">
      <c r="A353" s="18" t="s">
        <v>44</v>
      </c>
      <c r="B353" s="22">
        <f>MAX(B342:B349)+1</f>
        <v>85</v>
      </c>
      <c r="C353" s="22" t="s">
        <v>500</v>
      </c>
      <c r="D353" s="18" t="s">
        <v>46</v>
      </c>
      <c r="E353" s="23" t="s">
        <v>501</v>
      </c>
      <c r="F353" s="24" t="s">
        <v>80</v>
      </c>
      <c r="G353" s="25">
        <v>2.4</v>
      </c>
      <c r="H353" s="26"/>
      <c r="I353" s="26">
        <f>ROUND(ROUND(H353,2)*ROUND(G353,3),2)</f>
        <v>0</v>
      </c>
      <c r="J353" s="24" t="s">
        <v>49</v>
      </c>
      <c r="O353">
        <f>(I353*21)/100</f>
        <v>0</v>
      </c>
      <c r="P353" t="s">
        <v>20</v>
      </c>
    </row>
    <row r="354" spans="1:5" ht="12.75">
      <c r="A354" s="27" t="s">
        <v>50</v>
      </c>
      <c r="E354" s="28" t="s">
        <v>502</v>
      </c>
    </row>
    <row r="355" spans="1:5" ht="12.75">
      <c r="A355" s="29" t="s">
        <v>52</v>
      </c>
      <c r="E355" s="30" t="s">
        <v>279</v>
      </c>
    </row>
    <row r="356" spans="1:5" ht="242.25">
      <c r="A356" t="s">
        <v>54</v>
      </c>
      <c r="E356" s="28" t="s">
        <v>216</v>
      </c>
    </row>
    <row r="357" spans="1:16" ht="12.75">
      <c r="A357" s="18" t="s">
        <v>44</v>
      </c>
      <c r="B357" s="22">
        <f>MAX(B346:B353)+1</f>
        <v>86</v>
      </c>
      <c r="C357" s="22" t="s">
        <v>503</v>
      </c>
      <c r="D357" s="18" t="s">
        <v>46</v>
      </c>
      <c r="E357" s="23" t="s">
        <v>504</v>
      </c>
      <c r="F357" s="24" t="s">
        <v>80</v>
      </c>
      <c r="G357" s="25">
        <v>68</v>
      </c>
      <c r="H357" s="26"/>
      <c r="I357" s="26">
        <f>ROUND(ROUND(H357,2)*ROUND(G357,3),2)</f>
        <v>0</v>
      </c>
      <c r="J357" s="24" t="s">
        <v>49</v>
      </c>
      <c r="O357">
        <f>(I357*21)/100</f>
        <v>0</v>
      </c>
      <c r="P357" t="s">
        <v>20</v>
      </c>
    </row>
    <row r="358" spans="1:5" ht="12.75">
      <c r="A358" s="27" t="s">
        <v>50</v>
      </c>
      <c r="E358" s="28" t="s">
        <v>505</v>
      </c>
    </row>
    <row r="359" spans="1:5" ht="12.75">
      <c r="A359" s="29" t="s">
        <v>52</v>
      </c>
      <c r="E359" s="30" t="s">
        <v>279</v>
      </c>
    </row>
    <row r="360" spans="1:5" ht="242.25">
      <c r="A360" t="s">
        <v>54</v>
      </c>
      <c r="E360" s="28" t="s">
        <v>216</v>
      </c>
    </row>
    <row r="361" spans="1:16" ht="12.75">
      <c r="A361" s="18" t="s">
        <v>44</v>
      </c>
      <c r="B361" s="22">
        <f>MAX(B350:B357)+1</f>
        <v>87</v>
      </c>
      <c r="C361" s="22" t="s">
        <v>506</v>
      </c>
      <c r="D361" s="18" t="s">
        <v>46</v>
      </c>
      <c r="E361" s="23" t="s">
        <v>507</v>
      </c>
      <c r="F361" s="24" t="s">
        <v>80</v>
      </c>
      <c r="G361" s="25">
        <v>20</v>
      </c>
      <c r="H361" s="26"/>
      <c r="I361" s="26">
        <f>ROUND(ROUND(H361,2)*ROUND(G361,3),2)</f>
        <v>0</v>
      </c>
      <c r="J361" s="24" t="s">
        <v>49</v>
      </c>
      <c r="O361">
        <f>(I361*21)/100</f>
        <v>0</v>
      </c>
      <c r="P361" t="s">
        <v>20</v>
      </c>
    </row>
    <row r="362" spans="1:5" ht="12.75">
      <c r="A362" s="27" t="s">
        <v>50</v>
      </c>
      <c r="E362" s="28" t="s">
        <v>508</v>
      </c>
    </row>
    <row r="363" spans="1:5" ht="12.75">
      <c r="A363" s="29" t="s">
        <v>52</v>
      </c>
      <c r="E363" s="30" t="s">
        <v>279</v>
      </c>
    </row>
    <row r="364" spans="1:5" ht="242.25">
      <c r="A364" t="s">
        <v>54</v>
      </c>
      <c r="E364" s="28" t="s">
        <v>216</v>
      </c>
    </row>
    <row r="365" spans="1:16" ht="12.75">
      <c r="A365" s="18" t="s">
        <v>44</v>
      </c>
      <c r="B365" s="22">
        <f>MAX(B354:B361)+1</f>
        <v>88</v>
      </c>
      <c r="C365" s="22" t="s">
        <v>213</v>
      </c>
      <c r="D365" s="18" t="s">
        <v>46</v>
      </c>
      <c r="E365" s="23" t="s">
        <v>214</v>
      </c>
      <c r="F365" s="24" t="s">
        <v>80</v>
      </c>
      <c r="G365" s="25">
        <v>23.1</v>
      </c>
      <c r="H365" s="26"/>
      <c r="I365" s="26">
        <f>ROUND(ROUND(H365,2)*ROUND(G365,3),2)</f>
        <v>0</v>
      </c>
      <c r="J365" s="24" t="s">
        <v>49</v>
      </c>
      <c r="O365">
        <f>(I365*21)/100</f>
        <v>0</v>
      </c>
      <c r="P365" t="s">
        <v>20</v>
      </c>
    </row>
    <row r="366" spans="1:5" ht="12.75">
      <c r="A366" s="27" t="s">
        <v>50</v>
      </c>
      <c r="E366" s="28" t="s">
        <v>509</v>
      </c>
    </row>
    <row r="367" spans="1:5" ht="12.75">
      <c r="A367" s="29" t="s">
        <v>52</v>
      </c>
      <c r="E367" s="30" t="s">
        <v>279</v>
      </c>
    </row>
    <row r="368" spans="1:5" ht="242.25">
      <c r="A368" t="s">
        <v>54</v>
      </c>
      <c r="E368" s="28" t="s">
        <v>216</v>
      </c>
    </row>
    <row r="369" spans="1:16" ht="12.75">
      <c r="A369" s="18" t="s">
        <v>44</v>
      </c>
      <c r="B369" s="22">
        <f>MAX(B358:B365)+1</f>
        <v>89</v>
      </c>
      <c r="C369" s="22" t="s">
        <v>510</v>
      </c>
      <c r="D369" s="18" t="s">
        <v>46</v>
      </c>
      <c r="E369" s="23" t="s">
        <v>511</v>
      </c>
      <c r="F369" s="24" t="s">
        <v>80</v>
      </c>
      <c r="G369" s="25">
        <v>8</v>
      </c>
      <c r="H369" s="26"/>
      <c r="I369" s="26">
        <f>ROUND(ROUND(H369,2)*ROUND(G369,3),2)</f>
        <v>0</v>
      </c>
      <c r="J369" s="24" t="s">
        <v>49</v>
      </c>
      <c r="O369">
        <f>(I369*21)/100</f>
        <v>0</v>
      </c>
      <c r="P369" t="s">
        <v>20</v>
      </c>
    </row>
    <row r="370" spans="1:5" ht="12.75">
      <c r="A370" s="27" t="s">
        <v>50</v>
      </c>
      <c r="E370" s="28" t="s">
        <v>46</v>
      </c>
    </row>
    <row r="371" spans="1:5" ht="12.75">
      <c r="A371" s="29" t="s">
        <v>52</v>
      </c>
      <c r="E371" s="30" t="s">
        <v>279</v>
      </c>
    </row>
    <row r="372" spans="1:5" ht="178.5">
      <c r="A372" t="s">
        <v>54</v>
      </c>
      <c r="E372" s="28" t="s">
        <v>512</v>
      </c>
    </row>
    <row r="373" spans="1:16" ht="12.75">
      <c r="A373" s="18" t="s">
        <v>44</v>
      </c>
      <c r="B373" s="22">
        <f>MAX(B362:B369)+1</f>
        <v>90</v>
      </c>
      <c r="C373" s="22" t="s">
        <v>513</v>
      </c>
      <c r="D373" s="18" t="s">
        <v>46</v>
      </c>
      <c r="E373" s="23" t="s">
        <v>514</v>
      </c>
      <c r="F373" s="24" t="s">
        <v>210</v>
      </c>
      <c r="G373" s="25">
        <v>2</v>
      </c>
      <c r="H373" s="26"/>
      <c r="I373" s="26">
        <f>ROUND(ROUND(H373,2)*ROUND(G373,3),2)</f>
        <v>0</v>
      </c>
      <c r="J373" s="24" t="s">
        <v>49</v>
      </c>
      <c r="O373">
        <f>(I373*21)/100</f>
        <v>0</v>
      </c>
      <c r="P373" t="s">
        <v>20</v>
      </c>
    </row>
    <row r="374" spans="1:5" ht="12.75">
      <c r="A374" s="27" t="s">
        <v>50</v>
      </c>
      <c r="E374" s="28" t="s">
        <v>515</v>
      </c>
    </row>
    <row r="375" spans="1:5" ht="12.75">
      <c r="A375" s="29" t="s">
        <v>52</v>
      </c>
      <c r="E375" s="30" t="s">
        <v>279</v>
      </c>
    </row>
    <row r="376" spans="1:5" ht="76.5">
      <c r="A376" t="s">
        <v>54</v>
      </c>
      <c r="E376" s="28" t="s">
        <v>516</v>
      </c>
    </row>
    <row r="377" spans="1:16" ht="12.75">
      <c r="A377" s="18" t="s">
        <v>44</v>
      </c>
      <c r="B377" s="22">
        <f>MAX(B366:B373)+1</f>
        <v>91</v>
      </c>
      <c r="C377" s="22" t="s">
        <v>517</v>
      </c>
      <c r="D377" s="18" t="s">
        <v>46</v>
      </c>
      <c r="E377" s="23" t="s">
        <v>518</v>
      </c>
      <c r="F377" s="24" t="s">
        <v>80</v>
      </c>
      <c r="G377" s="25">
        <v>19</v>
      </c>
      <c r="H377" s="26"/>
      <c r="I377" s="26">
        <f>ROUND(ROUND(H377,2)*ROUND(G377,3),2)</f>
        <v>0</v>
      </c>
      <c r="J377" s="24"/>
      <c r="O377">
        <f>(I377*21)/100</f>
        <v>0</v>
      </c>
      <c r="P377" t="s">
        <v>20</v>
      </c>
    </row>
    <row r="378" spans="1:5" ht="12.75">
      <c r="A378" s="27" t="s">
        <v>50</v>
      </c>
      <c r="E378" s="28" t="s">
        <v>46</v>
      </c>
    </row>
    <row r="379" spans="1:5" ht="12.75">
      <c r="A379" s="29" t="s">
        <v>52</v>
      </c>
      <c r="E379" s="30" t="s">
        <v>279</v>
      </c>
    </row>
    <row r="380" spans="1:5" ht="12.75">
      <c r="A380" t="s">
        <v>54</v>
      </c>
      <c r="E380" s="28" t="s">
        <v>519</v>
      </c>
    </row>
    <row r="381" spans="1:18" ht="12.75" customHeight="1">
      <c r="A381" s="5" t="s">
        <v>42</v>
      </c>
      <c r="B381" s="5"/>
      <c r="C381" s="31" t="s">
        <v>37</v>
      </c>
      <c r="D381" s="5"/>
      <c r="E381" s="20" t="s">
        <v>217</v>
      </c>
      <c r="F381" s="5"/>
      <c r="G381" s="5"/>
      <c r="H381" s="5"/>
      <c r="I381" s="32">
        <f>0+Q381</f>
        <v>0</v>
      </c>
      <c r="J381" s="5"/>
      <c r="O381">
        <f>0+R381</f>
        <v>0</v>
      </c>
      <c r="Q381">
        <f>0+I382+I386+I390+I394+I398+I402+I406+I410+I414+I418+I422+I426+I430+I434+I438+I442+I446+I450+I454+I458+I462</f>
        <v>0</v>
      </c>
      <c r="R381">
        <f>0+O382+O386+O390+O394+O398+O402+O406+O410+O414+O418+O422+O426+O430+O434+O438+O442+O446+O450+O454+O458+O462</f>
        <v>0</v>
      </c>
    </row>
    <row r="382" spans="1:16" ht="12.75">
      <c r="A382" s="18" t="s">
        <v>44</v>
      </c>
      <c r="B382" s="22">
        <f>MAX(B371:B378)+1</f>
        <v>92</v>
      </c>
      <c r="C382" s="22" t="s">
        <v>520</v>
      </c>
      <c r="D382" s="18" t="s">
        <v>46</v>
      </c>
      <c r="E382" s="23" t="s">
        <v>521</v>
      </c>
      <c r="F382" s="24" t="s">
        <v>48</v>
      </c>
      <c r="G382" s="25">
        <v>135.96</v>
      </c>
      <c r="H382" s="26"/>
      <c r="I382" s="26">
        <f>ROUND(ROUND(H382,2)*ROUND(G382,3),2)</f>
        <v>0</v>
      </c>
      <c r="J382" s="24" t="s">
        <v>49</v>
      </c>
      <c r="O382">
        <f>(I382*21)/100</f>
        <v>0</v>
      </c>
      <c r="P382" t="s">
        <v>20</v>
      </c>
    </row>
    <row r="383" spans="1:5" ht="12.75">
      <c r="A383" s="27" t="s">
        <v>50</v>
      </c>
      <c r="E383" s="28" t="s">
        <v>46</v>
      </c>
    </row>
    <row r="384" spans="1:5" ht="12.75">
      <c r="A384" s="29" t="s">
        <v>52</v>
      </c>
      <c r="E384" s="30" t="s">
        <v>279</v>
      </c>
    </row>
    <row r="385" spans="1:5" ht="114.75">
      <c r="A385" t="s">
        <v>54</v>
      </c>
      <c r="E385" s="28" t="s">
        <v>255</v>
      </c>
    </row>
    <row r="386" spans="1:16" ht="12.75">
      <c r="A386" s="18" t="s">
        <v>44</v>
      </c>
      <c r="B386" s="22">
        <f>MAX(B375:B382)+1</f>
        <v>93</v>
      </c>
      <c r="C386" s="22" t="s">
        <v>263</v>
      </c>
      <c r="D386" s="18" t="s">
        <v>46</v>
      </c>
      <c r="E386" s="23" t="s">
        <v>264</v>
      </c>
      <c r="F386" s="24" t="s">
        <v>48</v>
      </c>
      <c r="G386" s="25">
        <v>25.2</v>
      </c>
      <c r="H386" s="26"/>
      <c r="I386" s="26">
        <f>ROUND(ROUND(H386,2)*ROUND(G386,3),2)</f>
        <v>0</v>
      </c>
      <c r="J386" s="24" t="s">
        <v>49</v>
      </c>
      <c r="O386">
        <f>(I386*21)/100</f>
        <v>0</v>
      </c>
      <c r="P386" t="s">
        <v>20</v>
      </c>
    </row>
    <row r="387" spans="1:5" ht="12.75">
      <c r="A387" s="27" t="s">
        <v>50</v>
      </c>
      <c r="E387" s="28" t="s">
        <v>46</v>
      </c>
    </row>
    <row r="388" spans="1:5" ht="12.75">
      <c r="A388" s="29" t="s">
        <v>52</v>
      </c>
      <c r="E388" s="30" t="s">
        <v>279</v>
      </c>
    </row>
    <row r="389" spans="1:5" ht="114.75">
      <c r="A389" t="s">
        <v>54</v>
      </c>
      <c r="E389" s="28" t="s">
        <v>255</v>
      </c>
    </row>
    <row r="390" spans="1:16" ht="12.75">
      <c r="A390" s="18" t="s">
        <v>44</v>
      </c>
      <c r="B390" s="22">
        <f>MAX(B379:B386)+1</f>
        <v>94</v>
      </c>
      <c r="C390" s="22" t="s">
        <v>522</v>
      </c>
      <c r="D390" s="18" t="s">
        <v>46</v>
      </c>
      <c r="E390" s="23" t="s">
        <v>523</v>
      </c>
      <c r="F390" s="24" t="s">
        <v>210</v>
      </c>
      <c r="G390" s="25">
        <v>2</v>
      </c>
      <c r="H390" s="26"/>
      <c r="I390" s="26">
        <f>ROUND(ROUND(H390,2)*ROUND(G390,3),2)</f>
        <v>0</v>
      </c>
      <c r="J390" s="24" t="s">
        <v>49</v>
      </c>
      <c r="O390">
        <f>(I390*21)/100</f>
        <v>0</v>
      </c>
      <c r="P390" t="s">
        <v>20</v>
      </c>
    </row>
    <row r="391" spans="1:5" ht="12.75">
      <c r="A391" s="27" t="s">
        <v>50</v>
      </c>
      <c r="E391" s="28" t="s">
        <v>46</v>
      </c>
    </row>
    <row r="392" spans="1:5" ht="12.75">
      <c r="A392" s="29" t="s">
        <v>52</v>
      </c>
      <c r="E392" s="30" t="s">
        <v>279</v>
      </c>
    </row>
    <row r="393" spans="1:5" ht="25.5">
      <c r="A393" t="s">
        <v>54</v>
      </c>
      <c r="E393" s="28" t="s">
        <v>524</v>
      </c>
    </row>
    <row r="394" spans="1:16" ht="25.5">
      <c r="A394" s="18" t="s">
        <v>44</v>
      </c>
      <c r="B394" s="22">
        <f>MAX(B383:B390)+1</f>
        <v>95</v>
      </c>
      <c r="C394" s="22" t="s">
        <v>525</v>
      </c>
      <c r="D394" s="18" t="s">
        <v>46</v>
      </c>
      <c r="E394" s="23" t="s">
        <v>526</v>
      </c>
      <c r="F394" s="24" t="s">
        <v>210</v>
      </c>
      <c r="G394" s="25">
        <v>2</v>
      </c>
      <c r="H394" s="26"/>
      <c r="I394" s="26">
        <f>ROUND(ROUND(H394,2)*ROUND(G394,3),2)</f>
        <v>0</v>
      </c>
      <c r="J394" s="24" t="s">
        <v>49</v>
      </c>
      <c r="O394">
        <f>(I394*21)/100</f>
        <v>0</v>
      </c>
      <c r="P394" t="s">
        <v>20</v>
      </c>
    </row>
    <row r="395" spans="1:5" ht="12.75">
      <c r="A395" s="27" t="s">
        <v>50</v>
      </c>
      <c r="E395" s="28" t="s">
        <v>527</v>
      </c>
    </row>
    <row r="396" spans="1:5" ht="12.75">
      <c r="A396" s="29" t="s">
        <v>52</v>
      </c>
      <c r="E396" s="30" t="s">
        <v>279</v>
      </c>
    </row>
    <row r="397" spans="1:5" ht="25.5">
      <c r="A397" t="s">
        <v>54</v>
      </c>
      <c r="E397" s="28" t="s">
        <v>528</v>
      </c>
    </row>
    <row r="398" spans="1:16" ht="12.75">
      <c r="A398" s="18" t="s">
        <v>44</v>
      </c>
      <c r="B398" s="22">
        <f>MAX(B387:B394)+1</f>
        <v>96</v>
      </c>
      <c r="C398" s="22" t="s">
        <v>529</v>
      </c>
      <c r="D398" s="18" t="s">
        <v>46</v>
      </c>
      <c r="E398" s="23" t="s">
        <v>530</v>
      </c>
      <c r="F398" s="24" t="s">
        <v>80</v>
      </c>
      <c r="G398" s="25">
        <v>20.6</v>
      </c>
      <c r="H398" s="26"/>
      <c r="I398" s="26">
        <f>ROUND(ROUND(H398,2)*ROUND(G398,3),2)</f>
        <v>0</v>
      </c>
      <c r="J398" s="24" t="s">
        <v>49</v>
      </c>
      <c r="O398">
        <f>(I398*21)/100</f>
        <v>0</v>
      </c>
      <c r="P398" t="s">
        <v>20</v>
      </c>
    </row>
    <row r="399" spans="1:5" ht="12.75">
      <c r="A399" s="27" t="s">
        <v>50</v>
      </c>
      <c r="E399" s="28" t="s">
        <v>531</v>
      </c>
    </row>
    <row r="400" spans="1:5" ht="12.75">
      <c r="A400" s="29" t="s">
        <v>52</v>
      </c>
      <c r="E400" s="30" t="s">
        <v>279</v>
      </c>
    </row>
    <row r="401" spans="1:5" ht="293.25">
      <c r="A401" t="s">
        <v>54</v>
      </c>
      <c r="E401" s="28" t="s">
        <v>532</v>
      </c>
    </row>
    <row r="402" spans="1:16" ht="12.75">
      <c r="A402" s="18" t="s">
        <v>44</v>
      </c>
      <c r="B402" s="22">
        <f>MAX(B391:B398)+1</f>
        <v>97</v>
      </c>
      <c r="C402" s="22" t="s">
        <v>533</v>
      </c>
      <c r="D402" s="18" t="s">
        <v>46</v>
      </c>
      <c r="E402" s="23" t="s">
        <v>534</v>
      </c>
      <c r="F402" s="24" t="s">
        <v>210</v>
      </c>
      <c r="G402" s="25">
        <v>6</v>
      </c>
      <c r="H402" s="26"/>
      <c r="I402" s="26">
        <f>ROUND(ROUND(H402,2)*ROUND(G402,3),2)</f>
        <v>0</v>
      </c>
      <c r="J402" s="24" t="s">
        <v>49</v>
      </c>
      <c r="O402">
        <f>(I402*21)/100</f>
        <v>0</v>
      </c>
      <c r="P402" t="s">
        <v>20</v>
      </c>
    </row>
    <row r="403" spans="1:5" ht="12.75">
      <c r="A403" s="27" t="s">
        <v>50</v>
      </c>
      <c r="E403" s="28" t="s">
        <v>46</v>
      </c>
    </row>
    <row r="404" spans="1:5" ht="12.75">
      <c r="A404" s="29" t="s">
        <v>52</v>
      </c>
      <c r="E404" s="30" t="s">
        <v>279</v>
      </c>
    </row>
    <row r="405" spans="1:5" ht="267.75">
      <c r="A405" t="s">
        <v>54</v>
      </c>
      <c r="E405" s="28" t="s">
        <v>535</v>
      </c>
    </row>
    <row r="406" spans="1:16" ht="12.75">
      <c r="A406" s="18" t="s">
        <v>44</v>
      </c>
      <c r="B406" s="22">
        <f>MAX(B395:B402)+1</f>
        <v>98</v>
      </c>
      <c r="C406" s="22" t="s">
        <v>536</v>
      </c>
      <c r="D406" s="18" t="s">
        <v>46</v>
      </c>
      <c r="E406" s="23" t="s">
        <v>537</v>
      </c>
      <c r="F406" s="24" t="s">
        <v>210</v>
      </c>
      <c r="G406" s="25">
        <v>12</v>
      </c>
      <c r="H406" s="26"/>
      <c r="I406" s="26">
        <f>ROUND(ROUND(H406,2)*ROUND(G406,3),2)</f>
        <v>0</v>
      </c>
      <c r="J406" s="24" t="s">
        <v>49</v>
      </c>
      <c r="O406">
        <f>(I406*21)/100</f>
        <v>0</v>
      </c>
      <c r="P406" t="s">
        <v>20</v>
      </c>
    </row>
    <row r="407" spans="1:5" ht="12.75">
      <c r="A407" s="27" t="s">
        <v>50</v>
      </c>
      <c r="E407" s="28" t="s">
        <v>46</v>
      </c>
    </row>
    <row r="408" spans="1:5" ht="12.75">
      <c r="A408" s="29" t="s">
        <v>52</v>
      </c>
      <c r="E408" s="30" t="s">
        <v>279</v>
      </c>
    </row>
    <row r="409" spans="1:5" ht="267.75">
      <c r="A409" t="s">
        <v>54</v>
      </c>
      <c r="E409" s="28" t="s">
        <v>538</v>
      </c>
    </row>
    <row r="410" spans="1:16" ht="25.5">
      <c r="A410" s="18" t="s">
        <v>44</v>
      </c>
      <c r="B410" s="22">
        <f>MAX(B399:B406)+1</f>
        <v>99</v>
      </c>
      <c r="C410" s="22" t="s">
        <v>539</v>
      </c>
      <c r="D410" s="18" t="s">
        <v>46</v>
      </c>
      <c r="E410" s="23" t="s">
        <v>540</v>
      </c>
      <c r="F410" s="24" t="s">
        <v>106</v>
      </c>
      <c r="G410" s="25">
        <v>13.68</v>
      </c>
      <c r="H410" s="26"/>
      <c r="I410" s="26">
        <f>ROUND(ROUND(H410,2)*ROUND(G410,3),2)</f>
        <v>0</v>
      </c>
      <c r="J410" s="24" t="s">
        <v>49</v>
      </c>
      <c r="O410">
        <f>(I410*21)/100</f>
        <v>0</v>
      </c>
      <c r="P410" t="s">
        <v>20</v>
      </c>
    </row>
    <row r="411" spans="1:5" ht="12.75">
      <c r="A411" s="27" t="s">
        <v>50</v>
      </c>
      <c r="E411" s="28" t="s">
        <v>541</v>
      </c>
    </row>
    <row r="412" spans="1:5" ht="12.75">
      <c r="A412" s="29" t="s">
        <v>52</v>
      </c>
      <c r="E412" s="30" t="s">
        <v>279</v>
      </c>
    </row>
    <row r="413" spans="1:5" ht="102">
      <c r="A413" t="s">
        <v>54</v>
      </c>
      <c r="E413" s="28" t="s">
        <v>542</v>
      </c>
    </row>
    <row r="414" spans="1:16" ht="12.75">
      <c r="A414" s="18" t="s">
        <v>44</v>
      </c>
      <c r="B414" s="22">
        <f>MAX(B403:B410)+1</f>
        <v>100</v>
      </c>
      <c r="C414" s="22" t="s">
        <v>543</v>
      </c>
      <c r="D414" s="18" t="s">
        <v>46</v>
      </c>
      <c r="E414" s="23" t="s">
        <v>544</v>
      </c>
      <c r="F414" s="24" t="s">
        <v>210</v>
      </c>
      <c r="G414" s="25">
        <v>2</v>
      </c>
      <c r="H414" s="26"/>
      <c r="I414" s="26">
        <f>ROUND(ROUND(H414,2)*ROUND(G414,3),2)</f>
        <v>0</v>
      </c>
      <c r="J414" s="24" t="s">
        <v>49</v>
      </c>
      <c r="O414">
        <f>(I414*21)/100</f>
        <v>0</v>
      </c>
      <c r="P414" t="s">
        <v>20</v>
      </c>
    </row>
    <row r="415" spans="1:5" ht="12.75">
      <c r="A415" s="27" t="s">
        <v>50</v>
      </c>
      <c r="E415" s="28" t="s">
        <v>545</v>
      </c>
    </row>
    <row r="416" spans="1:5" ht="12.75">
      <c r="A416" s="29" t="s">
        <v>52</v>
      </c>
      <c r="E416" s="30" t="s">
        <v>279</v>
      </c>
    </row>
    <row r="417" spans="1:5" ht="38.25">
      <c r="A417" t="s">
        <v>54</v>
      </c>
      <c r="E417" s="28" t="s">
        <v>546</v>
      </c>
    </row>
    <row r="418" spans="1:16" ht="12.75">
      <c r="A418" s="18" t="s">
        <v>44</v>
      </c>
      <c r="B418" s="22">
        <f>MAX(B407:B414)+1</f>
        <v>101</v>
      </c>
      <c r="C418" s="22" t="s">
        <v>547</v>
      </c>
      <c r="D418" s="18" t="s">
        <v>46</v>
      </c>
      <c r="E418" s="23" t="s">
        <v>548</v>
      </c>
      <c r="F418" s="24" t="s">
        <v>80</v>
      </c>
      <c r="G418" s="25">
        <v>46.5</v>
      </c>
      <c r="H418" s="26"/>
      <c r="I418" s="26">
        <f>ROUND(ROUND(H418,2)*ROUND(G418,3),2)</f>
        <v>0</v>
      </c>
      <c r="J418" s="24" t="s">
        <v>49</v>
      </c>
      <c r="O418">
        <f>(I418*21)/100</f>
        <v>0</v>
      </c>
      <c r="P418" t="s">
        <v>20</v>
      </c>
    </row>
    <row r="419" spans="1:5" ht="12.75">
      <c r="A419" s="27" t="s">
        <v>50</v>
      </c>
      <c r="E419" s="28" t="s">
        <v>549</v>
      </c>
    </row>
    <row r="420" spans="1:5" ht="12.75">
      <c r="A420" s="29" t="s">
        <v>52</v>
      </c>
      <c r="E420" s="30" t="s">
        <v>279</v>
      </c>
    </row>
    <row r="421" spans="1:5" ht="63.75">
      <c r="A421" t="s">
        <v>54</v>
      </c>
      <c r="E421" s="28" t="s">
        <v>550</v>
      </c>
    </row>
    <row r="422" spans="1:16" ht="12.75">
      <c r="A422" s="18" t="s">
        <v>44</v>
      </c>
      <c r="B422" s="22">
        <f>MAX(B411:B418)+1</f>
        <v>102</v>
      </c>
      <c r="C422" s="22" t="s">
        <v>551</v>
      </c>
      <c r="D422" s="18" t="s">
        <v>46</v>
      </c>
      <c r="E422" s="23" t="s">
        <v>552</v>
      </c>
      <c r="F422" s="24" t="s">
        <v>403</v>
      </c>
      <c r="G422" s="25">
        <v>377.8</v>
      </c>
      <c r="H422" s="26"/>
      <c r="I422" s="26">
        <f>ROUND(ROUND(H422,2)*ROUND(G422,3),2)</f>
        <v>0</v>
      </c>
      <c r="J422" s="24" t="s">
        <v>49</v>
      </c>
      <c r="O422">
        <f>(I422*21)/100</f>
        <v>0</v>
      </c>
      <c r="P422" t="s">
        <v>20</v>
      </c>
    </row>
    <row r="423" spans="1:5" ht="12.75">
      <c r="A423" s="27" t="s">
        <v>50</v>
      </c>
      <c r="E423" s="28" t="s">
        <v>46</v>
      </c>
    </row>
    <row r="424" spans="1:5" ht="12.75">
      <c r="A424" s="29" t="s">
        <v>52</v>
      </c>
      <c r="E424" s="30" t="s">
        <v>279</v>
      </c>
    </row>
    <row r="425" spans="1:5" ht="357">
      <c r="A425" t="s">
        <v>54</v>
      </c>
      <c r="E425" s="28" t="s">
        <v>553</v>
      </c>
    </row>
    <row r="426" spans="1:16" ht="12.75">
      <c r="A426" s="18" t="s">
        <v>44</v>
      </c>
      <c r="B426" s="22">
        <f>MAX(B415:B422)+1</f>
        <v>103</v>
      </c>
      <c r="C426" s="22" t="s">
        <v>554</v>
      </c>
      <c r="D426" s="18" t="s">
        <v>46</v>
      </c>
      <c r="E426" s="23" t="s">
        <v>555</v>
      </c>
      <c r="F426" s="24" t="s">
        <v>403</v>
      </c>
      <c r="G426" s="25">
        <v>270</v>
      </c>
      <c r="H426" s="26"/>
      <c r="I426" s="26">
        <f>ROUND(ROUND(H426,2)*ROUND(G426,3),2)</f>
        <v>0</v>
      </c>
      <c r="J426" s="24" t="s">
        <v>49</v>
      </c>
      <c r="O426">
        <f>(I426*21)/100</f>
        <v>0</v>
      </c>
      <c r="P426" t="s">
        <v>20</v>
      </c>
    </row>
    <row r="427" spans="1:5" ht="12.75">
      <c r="A427" s="27" t="s">
        <v>50</v>
      </c>
      <c r="E427" s="28" t="s">
        <v>556</v>
      </c>
    </row>
    <row r="428" spans="1:5" ht="12.75">
      <c r="A428" s="29" t="s">
        <v>52</v>
      </c>
      <c r="E428" s="30" t="s">
        <v>279</v>
      </c>
    </row>
    <row r="429" spans="1:5" ht="409.5">
      <c r="A429" t="s">
        <v>54</v>
      </c>
      <c r="E429" s="28" t="s">
        <v>557</v>
      </c>
    </row>
    <row r="430" spans="1:16" ht="12.75">
      <c r="A430" s="18" t="s">
        <v>44</v>
      </c>
      <c r="B430" s="22">
        <f>MAX(B419:B426)+1</f>
        <v>104</v>
      </c>
      <c r="C430" s="22" t="s">
        <v>558</v>
      </c>
      <c r="D430" s="18" t="s">
        <v>46</v>
      </c>
      <c r="E430" s="23" t="s">
        <v>559</v>
      </c>
      <c r="F430" s="24" t="s">
        <v>210</v>
      </c>
      <c r="G430" s="25">
        <v>1</v>
      </c>
      <c r="H430" s="738"/>
      <c r="I430" s="26">
        <f>ROUND(ROUND(H430,2)*ROUND(G430,3),2)</f>
        <v>0</v>
      </c>
      <c r="J430" s="24" t="s">
        <v>49</v>
      </c>
      <c r="O430">
        <f>(I430*21)/100</f>
        <v>0</v>
      </c>
      <c r="P430" t="s">
        <v>20</v>
      </c>
    </row>
    <row r="431" spans="1:5" ht="12.75">
      <c r="A431" s="27" t="s">
        <v>50</v>
      </c>
      <c r="E431" s="28" t="s">
        <v>46</v>
      </c>
    </row>
    <row r="432" spans="1:5" ht="12.75">
      <c r="A432" s="29" t="s">
        <v>52</v>
      </c>
      <c r="E432" s="30" t="s">
        <v>279</v>
      </c>
    </row>
    <row r="433" spans="1:5" ht="140.25">
      <c r="A433" t="s">
        <v>54</v>
      </c>
      <c r="E433" s="28" t="s">
        <v>560</v>
      </c>
    </row>
    <row r="434" spans="1:16" ht="12.75">
      <c r="A434" s="18" t="s">
        <v>44</v>
      </c>
      <c r="B434" s="22">
        <f>MAX(B423:B430)+1</f>
        <v>105</v>
      </c>
      <c r="C434" s="22" t="s">
        <v>561</v>
      </c>
      <c r="D434" s="18" t="s">
        <v>46</v>
      </c>
      <c r="E434" s="23" t="s">
        <v>562</v>
      </c>
      <c r="F434" s="24" t="s">
        <v>210</v>
      </c>
      <c r="G434" s="25">
        <v>2</v>
      </c>
      <c r="H434" s="26"/>
      <c r="I434" s="26">
        <f>ROUND(ROUND(H434,2)*ROUND(G434,3),2)</f>
        <v>0</v>
      </c>
      <c r="J434" s="24" t="s">
        <v>49</v>
      </c>
      <c r="O434">
        <f>(I434*21)/100</f>
        <v>0</v>
      </c>
      <c r="P434" t="s">
        <v>20</v>
      </c>
    </row>
    <row r="435" spans="1:5" ht="12.75">
      <c r="A435" s="27" t="s">
        <v>50</v>
      </c>
      <c r="E435" s="28" t="s">
        <v>563</v>
      </c>
    </row>
    <row r="436" spans="1:5" ht="12.75">
      <c r="A436" s="29" t="s">
        <v>52</v>
      </c>
      <c r="E436" s="30" t="s">
        <v>279</v>
      </c>
    </row>
    <row r="437" spans="1:5" ht="127.5">
      <c r="A437" t="s">
        <v>54</v>
      </c>
      <c r="E437" s="28" t="s">
        <v>564</v>
      </c>
    </row>
    <row r="438" spans="1:16" ht="25.5">
      <c r="A438" s="18" t="s">
        <v>44</v>
      </c>
      <c r="B438" s="22">
        <f>MAX(B427:B434)+1</f>
        <v>106</v>
      </c>
      <c r="C438" s="22" t="s">
        <v>565</v>
      </c>
      <c r="D438" s="18" t="s">
        <v>46</v>
      </c>
      <c r="E438" s="23" t="s">
        <v>566</v>
      </c>
      <c r="F438" s="24" t="s">
        <v>210</v>
      </c>
      <c r="G438" s="25">
        <v>14</v>
      </c>
      <c r="H438" s="26"/>
      <c r="I438" s="26">
        <f>ROUND(ROUND(H438,2)*ROUND(G438,3),2)</f>
        <v>0</v>
      </c>
      <c r="J438" s="24" t="s">
        <v>49</v>
      </c>
      <c r="O438">
        <f>(I438*21)/100</f>
        <v>0</v>
      </c>
      <c r="P438" t="s">
        <v>20</v>
      </c>
    </row>
    <row r="439" spans="1:5" ht="12.75">
      <c r="A439" s="27" t="s">
        <v>50</v>
      </c>
      <c r="E439" s="28" t="s">
        <v>567</v>
      </c>
    </row>
    <row r="440" spans="1:5" ht="12.75">
      <c r="A440" s="29" t="s">
        <v>52</v>
      </c>
      <c r="E440" s="30" t="s">
        <v>279</v>
      </c>
    </row>
    <row r="441" spans="1:5" ht="63.75">
      <c r="A441" t="s">
        <v>54</v>
      </c>
      <c r="E441" s="28" t="s">
        <v>568</v>
      </c>
    </row>
    <row r="442" spans="1:16" ht="12.75">
      <c r="A442" s="18" t="s">
        <v>44</v>
      </c>
      <c r="B442" s="22">
        <f>MAX(B431:B438)+1</f>
        <v>107</v>
      </c>
      <c r="C442" s="22" t="s">
        <v>569</v>
      </c>
      <c r="D442" s="18" t="s">
        <v>46</v>
      </c>
      <c r="E442" s="23" t="s">
        <v>570</v>
      </c>
      <c r="F442" s="24" t="s">
        <v>210</v>
      </c>
      <c r="G442" s="25">
        <v>8</v>
      </c>
      <c r="H442" s="26"/>
      <c r="I442" s="26">
        <f>ROUND(ROUND(H442,2)*ROUND(G442,3),2)</f>
        <v>0</v>
      </c>
      <c r="J442" s="24" t="s">
        <v>49</v>
      </c>
      <c r="O442">
        <f>(I442*21)/100</f>
        <v>0</v>
      </c>
      <c r="P442" t="s">
        <v>20</v>
      </c>
    </row>
    <row r="443" spans="1:5" ht="12.75">
      <c r="A443" s="27" t="s">
        <v>50</v>
      </c>
      <c r="E443" s="28" t="s">
        <v>46</v>
      </c>
    </row>
    <row r="444" spans="1:5" ht="12.75">
      <c r="A444" s="29" t="s">
        <v>52</v>
      </c>
      <c r="E444" s="30" t="s">
        <v>279</v>
      </c>
    </row>
    <row r="445" spans="1:5" ht="38.25">
      <c r="A445" t="s">
        <v>54</v>
      </c>
      <c r="E445" s="28" t="s">
        <v>571</v>
      </c>
    </row>
    <row r="446" spans="1:16" ht="12.75">
      <c r="A446" s="18" t="s">
        <v>44</v>
      </c>
      <c r="B446" s="22">
        <f>MAX(B435:B442)+1</f>
        <v>108</v>
      </c>
      <c r="C446" s="22" t="s">
        <v>572</v>
      </c>
      <c r="D446" s="18" t="s">
        <v>46</v>
      </c>
      <c r="E446" s="23" t="s">
        <v>573</v>
      </c>
      <c r="F446" s="24" t="s">
        <v>80</v>
      </c>
      <c r="G446" s="25">
        <v>190.8</v>
      </c>
      <c r="H446" s="26"/>
      <c r="I446" s="26">
        <f>ROUND(ROUND(H446,2)*ROUND(G446,3),2)</f>
        <v>0</v>
      </c>
      <c r="J446" s="24" t="s">
        <v>49</v>
      </c>
      <c r="O446">
        <f>(I446*21)/100</f>
        <v>0</v>
      </c>
      <c r="P446" t="s">
        <v>20</v>
      </c>
    </row>
    <row r="447" spans="1:5" ht="12.75">
      <c r="A447" s="27" t="s">
        <v>50</v>
      </c>
      <c r="E447" s="28" t="s">
        <v>574</v>
      </c>
    </row>
    <row r="448" spans="1:5" ht="12.75">
      <c r="A448" s="29" t="s">
        <v>52</v>
      </c>
      <c r="E448" s="30" t="s">
        <v>279</v>
      </c>
    </row>
    <row r="449" spans="1:5" ht="25.5">
      <c r="A449" t="s">
        <v>54</v>
      </c>
      <c r="E449" s="28" t="s">
        <v>235</v>
      </c>
    </row>
    <row r="450" spans="1:16" ht="12.75">
      <c r="A450" s="18" t="s">
        <v>44</v>
      </c>
      <c r="B450" s="22">
        <f>MAX(B439:B446)+1</f>
        <v>109</v>
      </c>
      <c r="C450" s="22" t="s">
        <v>575</v>
      </c>
      <c r="D450" s="18" t="s">
        <v>46</v>
      </c>
      <c r="E450" s="23" t="s">
        <v>576</v>
      </c>
      <c r="F450" s="24" t="s">
        <v>80</v>
      </c>
      <c r="G450" s="25">
        <v>95.4</v>
      </c>
      <c r="H450" s="26"/>
      <c r="I450" s="26">
        <f>ROUND(ROUND(H450,2)*ROUND(G450,3),2)</f>
        <v>0</v>
      </c>
      <c r="J450" s="24" t="s">
        <v>49</v>
      </c>
      <c r="O450">
        <f>(I450*21)/100</f>
        <v>0</v>
      </c>
      <c r="P450" t="s">
        <v>20</v>
      </c>
    </row>
    <row r="451" spans="1:5" ht="25.5">
      <c r="A451" s="27" t="s">
        <v>50</v>
      </c>
      <c r="E451" s="28" t="s">
        <v>577</v>
      </c>
    </row>
    <row r="452" spans="1:5" ht="12.75">
      <c r="A452" s="29" t="s">
        <v>52</v>
      </c>
      <c r="E452" s="30" t="s">
        <v>279</v>
      </c>
    </row>
    <row r="453" spans="1:5" ht="38.25">
      <c r="A453" t="s">
        <v>54</v>
      </c>
      <c r="E453" s="28" t="s">
        <v>578</v>
      </c>
    </row>
    <row r="454" spans="1:16" ht="12.75">
      <c r="A454" s="18" t="s">
        <v>44</v>
      </c>
      <c r="B454" s="22">
        <f>MAX(B443:B450)+1</f>
        <v>110</v>
      </c>
      <c r="C454" s="22" t="s">
        <v>579</v>
      </c>
      <c r="D454" s="18" t="s">
        <v>46</v>
      </c>
      <c r="E454" s="23" t="s">
        <v>580</v>
      </c>
      <c r="F454" s="24" t="s">
        <v>80</v>
      </c>
      <c r="G454" s="25">
        <v>135</v>
      </c>
      <c r="H454" s="26"/>
      <c r="I454" s="26">
        <f>ROUND(ROUND(H454,2)*ROUND(G454,3),2)</f>
        <v>0</v>
      </c>
      <c r="J454" s="24" t="s">
        <v>49</v>
      </c>
      <c r="O454">
        <f>(I454*21)/100</f>
        <v>0</v>
      </c>
      <c r="P454" t="s">
        <v>20</v>
      </c>
    </row>
    <row r="455" spans="1:5" ht="25.5">
      <c r="A455" s="27" t="s">
        <v>50</v>
      </c>
      <c r="E455" s="28" t="s">
        <v>581</v>
      </c>
    </row>
    <row r="456" spans="1:5" ht="12.75">
      <c r="A456" s="29" t="s">
        <v>52</v>
      </c>
      <c r="E456" s="30" t="s">
        <v>279</v>
      </c>
    </row>
    <row r="457" spans="1:5" ht="38.25">
      <c r="A457" t="s">
        <v>54</v>
      </c>
      <c r="E457" s="28" t="s">
        <v>578</v>
      </c>
    </row>
    <row r="458" spans="1:16" ht="12.75">
      <c r="A458" s="18" t="s">
        <v>44</v>
      </c>
      <c r="B458" s="22">
        <f>MAX(B447:B454)+1</f>
        <v>111</v>
      </c>
      <c r="C458" s="22" t="s">
        <v>582</v>
      </c>
      <c r="D458" s="18" t="s">
        <v>46</v>
      </c>
      <c r="E458" s="23" t="s">
        <v>583</v>
      </c>
      <c r="F458" s="24" t="s">
        <v>80</v>
      </c>
      <c r="G458" s="25">
        <v>190.8</v>
      </c>
      <c r="H458" s="26"/>
      <c r="I458" s="26">
        <f>ROUND(ROUND(H458,2)*ROUND(G458,3),2)</f>
        <v>0</v>
      </c>
      <c r="J458" s="24" t="s">
        <v>49</v>
      </c>
      <c r="O458">
        <f>(I458*21)/100</f>
        <v>0</v>
      </c>
      <c r="P458" t="s">
        <v>20</v>
      </c>
    </row>
    <row r="459" spans="1:5" ht="12.75">
      <c r="A459" s="27" t="s">
        <v>50</v>
      </c>
      <c r="E459" s="28" t="s">
        <v>584</v>
      </c>
    </row>
    <row r="460" spans="1:5" ht="12.75">
      <c r="A460" s="29" t="s">
        <v>52</v>
      </c>
      <c r="E460" s="30" t="s">
        <v>279</v>
      </c>
    </row>
    <row r="461" spans="1:5" ht="25.5">
      <c r="A461" t="s">
        <v>54</v>
      </c>
      <c r="E461" s="28" t="s">
        <v>585</v>
      </c>
    </row>
    <row r="462" spans="1:16" ht="25.5">
      <c r="A462" s="18" t="s">
        <v>44</v>
      </c>
      <c r="B462" s="22">
        <f>MAX(B451:B458)+1</f>
        <v>112</v>
      </c>
      <c r="C462" s="22" t="s">
        <v>586</v>
      </c>
      <c r="D462" s="18" t="s">
        <v>46</v>
      </c>
      <c r="E462" s="23" t="s">
        <v>587</v>
      </c>
      <c r="F462" s="24" t="s">
        <v>80</v>
      </c>
      <c r="G462" s="25">
        <v>21.6</v>
      </c>
      <c r="H462" s="26"/>
      <c r="I462" s="26">
        <f>ROUND(ROUND(H462,2)*ROUND(G462,3),2)</f>
        <v>0</v>
      </c>
      <c r="J462" s="24" t="s">
        <v>49</v>
      </c>
      <c r="O462">
        <f>(I462*21)/100</f>
        <v>0</v>
      </c>
      <c r="P462" t="s">
        <v>20</v>
      </c>
    </row>
    <row r="463" spans="1:5" ht="12.75">
      <c r="A463" s="27" t="s">
        <v>50</v>
      </c>
      <c r="E463" s="28" t="s">
        <v>588</v>
      </c>
    </row>
    <row r="464" spans="1:5" ht="12.75">
      <c r="A464" s="29" t="s">
        <v>52</v>
      </c>
      <c r="E464" s="30" t="s">
        <v>279</v>
      </c>
    </row>
    <row r="465" spans="1:5" ht="38.25">
      <c r="A465" t="s">
        <v>54</v>
      </c>
      <c r="E465" s="28" t="s">
        <v>578</v>
      </c>
    </row>
  </sheetData>
  <sheetProtection/>
  <mergeCells count="11"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4"/>
  <sheetViews>
    <sheetView view="pageBreakPreview" zoomScale="85" zoomScaleNormal="85" zoomScaleSheetLayoutView="85" zoomScalePageLayoutView="0" workbookViewId="0" topLeftCell="A202">
      <selection activeCell="F225" sqref="F225"/>
    </sheetView>
  </sheetViews>
  <sheetFormatPr defaultColWidth="9.140625" defaultRowHeight="12.75"/>
  <cols>
    <col min="1" max="1" width="96.8515625" style="159" customWidth="1"/>
    <col min="2" max="2" width="9.140625" style="34" customWidth="1"/>
    <col min="3" max="3" width="13.28125" style="34" customWidth="1"/>
    <col min="4" max="5" width="9.140625" style="34" customWidth="1"/>
    <col min="6" max="6" width="10.28125" style="34" customWidth="1"/>
    <col min="7" max="7" width="9.140625" style="34" customWidth="1"/>
    <col min="8" max="8" width="10.7109375" style="34" customWidth="1"/>
    <col min="9" max="9" width="39.28125" style="34" customWidth="1"/>
    <col min="10" max="16384" width="9.140625" style="34" customWidth="1"/>
  </cols>
  <sheetData>
    <row r="1" spans="1:9" ht="27.75">
      <c r="A1" s="158" t="s">
        <v>747</v>
      </c>
      <c r="B1" s="157" t="s">
        <v>1131</v>
      </c>
      <c r="C1" s="156"/>
      <c r="D1" s="155"/>
      <c r="E1" s="155"/>
      <c r="F1" s="154"/>
      <c r="G1" s="155"/>
      <c r="I1" s="154"/>
    </row>
    <row r="2" spans="1:9" ht="24.75" customHeight="1">
      <c r="A2" s="736"/>
      <c r="B2" s="152"/>
      <c r="C2" s="152"/>
      <c r="D2" s="151"/>
      <c r="E2" s="151" t="s">
        <v>1132</v>
      </c>
      <c r="F2" s="150"/>
      <c r="G2" s="151"/>
      <c r="H2" s="150"/>
      <c r="I2" s="154"/>
    </row>
    <row r="3" spans="1:9" ht="12.75">
      <c r="A3" s="736"/>
      <c r="B3" s="152"/>
      <c r="C3" s="152"/>
      <c r="D3" s="151"/>
      <c r="E3" s="151"/>
      <c r="F3" s="150"/>
      <c r="G3" s="151"/>
      <c r="H3" s="150"/>
      <c r="I3" s="150"/>
    </row>
    <row r="4" spans="1:9" ht="12.75">
      <c r="A4" s="736"/>
      <c r="B4" s="152"/>
      <c r="C4" s="152"/>
      <c r="D4" s="151"/>
      <c r="E4" s="151"/>
      <c r="F4" s="150"/>
      <c r="G4" s="151"/>
      <c r="H4" s="150"/>
      <c r="I4" s="150"/>
    </row>
    <row r="5" spans="1:9" ht="13.5" thickBot="1">
      <c r="A5" s="736"/>
      <c r="B5" s="152"/>
      <c r="C5" s="152"/>
      <c r="D5" s="151"/>
      <c r="E5" s="151"/>
      <c r="F5" s="150"/>
      <c r="G5" s="151"/>
      <c r="H5" s="150"/>
      <c r="I5" s="150"/>
    </row>
    <row r="6" spans="1:9" ht="31.5" customHeight="1" thickBot="1">
      <c r="A6" s="673" t="s">
        <v>1130</v>
      </c>
      <c r="B6" s="290"/>
      <c r="C6" s="290"/>
      <c r="D6" s="290"/>
      <c r="E6" s="290"/>
      <c r="F6" s="290"/>
      <c r="G6" s="290"/>
      <c r="H6" s="290"/>
      <c r="I6" s="289"/>
    </row>
    <row r="7" spans="1:9" ht="14.25">
      <c r="A7" s="122"/>
      <c r="B7" s="117"/>
      <c r="C7" s="117"/>
      <c r="D7" s="116"/>
      <c r="E7" s="116"/>
      <c r="F7" s="115"/>
      <c r="G7" s="116"/>
      <c r="H7" s="115"/>
      <c r="I7" s="116"/>
    </row>
    <row r="8" spans="1:9" ht="15" thickBot="1">
      <c r="A8" s="122"/>
      <c r="B8" s="117"/>
      <c r="C8" s="117"/>
      <c r="D8" s="116"/>
      <c r="E8" s="116"/>
      <c r="F8" s="115"/>
      <c r="G8" s="116"/>
      <c r="H8" s="115"/>
      <c r="I8" s="116"/>
    </row>
    <row r="9" spans="1:9" ht="12.75">
      <c r="A9" s="202" t="s">
        <v>773</v>
      </c>
      <c r="B9" s="110" t="s">
        <v>31</v>
      </c>
      <c r="C9" s="110"/>
      <c r="D9" s="107" t="s">
        <v>743</v>
      </c>
      <c r="E9" s="107" t="s">
        <v>742</v>
      </c>
      <c r="F9" s="109" t="s">
        <v>741</v>
      </c>
      <c r="G9" s="107" t="s">
        <v>740</v>
      </c>
      <c r="H9" s="109" t="s">
        <v>739</v>
      </c>
      <c r="I9" s="201" t="s">
        <v>771</v>
      </c>
    </row>
    <row r="10" spans="1:9" ht="13.5" thickBot="1">
      <c r="A10" s="200"/>
      <c r="B10" s="199"/>
      <c r="C10" s="199"/>
      <c r="D10" s="198" t="s">
        <v>733</v>
      </c>
      <c r="E10" s="198" t="s">
        <v>733</v>
      </c>
      <c r="F10" s="197" t="s">
        <v>734</v>
      </c>
      <c r="G10" s="198" t="s">
        <v>733</v>
      </c>
      <c r="H10" s="197" t="s">
        <v>728</v>
      </c>
      <c r="I10" s="196"/>
    </row>
    <row r="11" spans="1:9" ht="13.5" thickBot="1">
      <c r="A11" s="348"/>
      <c r="B11" s="146"/>
      <c r="C11" s="146"/>
      <c r="D11" s="83"/>
      <c r="E11" s="83"/>
      <c r="F11" s="84"/>
      <c r="G11" s="83"/>
      <c r="H11" s="84"/>
      <c r="I11" s="84"/>
    </row>
    <row r="12" spans="1:9" ht="15.75" thickBot="1">
      <c r="A12" s="111" t="s">
        <v>1129</v>
      </c>
      <c r="B12" s="257"/>
      <c r="C12" s="514" t="s">
        <v>302</v>
      </c>
      <c r="D12" s="730"/>
      <c r="E12" s="730"/>
      <c r="F12" s="730"/>
      <c r="G12" s="730"/>
      <c r="H12" s="729"/>
      <c r="I12" s="735"/>
    </row>
    <row r="13" spans="1:9" ht="14.25">
      <c r="A13" s="103" t="s">
        <v>1128</v>
      </c>
      <c r="B13" s="733" t="s">
        <v>712</v>
      </c>
      <c r="C13" s="360"/>
      <c r="D13" s="511"/>
      <c r="E13" s="511"/>
      <c r="F13" s="511">
        <v>124</v>
      </c>
      <c r="G13" s="554">
        <v>4.39</v>
      </c>
      <c r="H13" s="509">
        <f>+F13*G13</f>
        <v>544.36</v>
      </c>
      <c r="I13" s="692"/>
    </row>
    <row r="14" spans="1:9" ht="14.25">
      <c r="A14" s="250" t="s">
        <v>1127</v>
      </c>
      <c r="B14" s="535" t="s">
        <v>712</v>
      </c>
      <c r="C14" s="61"/>
      <c r="D14" s="57"/>
      <c r="E14" s="57"/>
      <c r="F14" s="57">
        <v>115</v>
      </c>
      <c r="G14" s="95">
        <v>1.462</v>
      </c>
      <c r="H14" s="55">
        <f>+F14*G14</f>
        <v>168.13</v>
      </c>
      <c r="I14" s="692"/>
    </row>
    <row r="15" spans="1:9" ht="15" thickBot="1">
      <c r="A15" s="250" t="s">
        <v>1126</v>
      </c>
      <c r="B15" s="266" t="s">
        <v>712</v>
      </c>
      <c r="C15" s="52"/>
      <c r="D15" s="48"/>
      <c r="E15" s="48"/>
      <c r="F15" s="48">
        <v>125</v>
      </c>
      <c r="G15" s="543">
        <v>1.18</v>
      </c>
      <c r="H15" s="46">
        <f>+F15*G15</f>
        <v>147.5</v>
      </c>
      <c r="I15" s="692"/>
    </row>
    <row r="16" spans="1:9" ht="15" thickBot="1">
      <c r="A16" s="679" t="s">
        <v>1125</v>
      </c>
      <c r="B16" s="727" t="s">
        <v>712</v>
      </c>
      <c r="C16" s="194"/>
      <c r="D16" s="458">
        <v>22.5</v>
      </c>
      <c r="E16" s="458">
        <v>0.6</v>
      </c>
      <c r="F16" s="632">
        <f>+E16*D16</f>
        <v>13.5</v>
      </c>
      <c r="G16" s="38">
        <v>0.4</v>
      </c>
      <c r="H16" s="674">
        <f>+F16*G16</f>
        <v>5.4</v>
      </c>
      <c r="I16" s="692"/>
    </row>
    <row r="17" spans="1:9" ht="15" thickBot="1">
      <c r="A17" s="734" t="s">
        <v>1124</v>
      </c>
      <c r="B17" s="733" t="s">
        <v>712</v>
      </c>
      <c r="C17" s="360"/>
      <c r="D17" s="511"/>
      <c r="E17" s="511"/>
      <c r="F17" s="510">
        <v>108</v>
      </c>
      <c r="G17" s="554">
        <v>0.2</v>
      </c>
      <c r="H17" s="509">
        <f>+F17*G17</f>
        <v>21.6</v>
      </c>
      <c r="I17" s="692" t="s">
        <v>1123</v>
      </c>
    </row>
    <row r="18" spans="1:9" ht="15" thickBot="1">
      <c r="A18" s="310" t="s">
        <v>1122</v>
      </c>
      <c r="B18" s="309" t="s">
        <v>712</v>
      </c>
      <c r="C18" s="309"/>
      <c r="D18" s="308"/>
      <c r="E18" s="308"/>
      <c r="F18" s="307"/>
      <c r="G18" s="308"/>
      <c r="H18" s="572">
        <f>SUM(H13:H17)</f>
        <v>886.99</v>
      </c>
      <c r="I18" s="571" t="s">
        <v>1121</v>
      </c>
    </row>
    <row r="19" spans="1:9" ht="15" thickBot="1">
      <c r="A19" s="679"/>
      <c r="B19" s="732"/>
      <c r="C19" s="727"/>
      <c r="D19" s="676"/>
      <c r="E19" s="676"/>
      <c r="F19" s="677"/>
      <c r="G19" s="676"/>
      <c r="H19" s="731"/>
      <c r="I19" s="692"/>
    </row>
    <row r="20" spans="1:9" ht="15.75" thickBot="1">
      <c r="A20" s="111" t="s">
        <v>1120</v>
      </c>
      <c r="B20" s="257"/>
      <c r="C20" s="514" t="s">
        <v>305</v>
      </c>
      <c r="D20" s="730"/>
      <c r="E20" s="730"/>
      <c r="F20" s="730"/>
      <c r="G20" s="730"/>
      <c r="H20" s="729"/>
      <c r="I20" s="692"/>
    </row>
    <row r="21" spans="1:9" ht="15" thickBot="1">
      <c r="A21" s="728" t="s">
        <v>1119</v>
      </c>
      <c r="B21" s="727" t="s">
        <v>712</v>
      </c>
      <c r="C21" s="194"/>
      <c r="D21" s="458"/>
      <c r="E21" s="458"/>
      <c r="F21" s="458">
        <v>82.5</v>
      </c>
      <c r="G21" s="38">
        <v>3.31</v>
      </c>
      <c r="H21" s="726">
        <f>+F21*G21</f>
        <v>273.075</v>
      </c>
      <c r="I21" s="690"/>
    </row>
    <row r="22" spans="1:9" ht="15" thickBot="1">
      <c r="A22" s="118"/>
      <c r="B22" s="117"/>
      <c r="C22" s="117"/>
      <c r="D22" s="116"/>
      <c r="E22" s="116"/>
      <c r="F22" s="116"/>
      <c r="G22" s="114"/>
      <c r="H22" s="725"/>
      <c r="I22" s="115"/>
    </row>
    <row r="23" spans="1:9" ht="12.75">
      <c r="A23" s="202" t="s">
        <v>773</v>
      </c>
      <c r="B23" s="110" t="s">
        <v>31</v>
      </c>
      <c r="C23" s="110"/>
      <c r="D23" s="107" t="s">
        <v>743</v>
      </c>
      <c r="E23" s="107" t="s">
        <v>742</v>
      </c>
      <c r="F23" s="686"/>
      <c r="G23" s="686"/>
      <c r="H23" s="685" t="s">
        <v>741</v>
      </c>
      <c r="I23" s="684"/>
    </row>
    <row r="24" spans="1:9" ht="13.5" thickBot="1">
      <c r="A24" s="200"/>
      <c r="B24" s="199"/>
      <c r="C24" s="199"/>
      <c r="D24" s="198" t="s">
        <v>733</v>
      </c>
      <c r="E24" s="198" t="s">
        <v>733</v>
      </c>
      <c r="F24" s="683"/>
      <c r="G24" s="682"/>
      <c r="H24" s="724" t="s">
        <v>734</v>
      </c>
      <c r="I24" s="680"/>
    </row>
    <row r="25" spans="1:9" ht="15" thickBot="1">
      <c r="A25" s="679" t="s">
        <v>338</v>
      </c>
      <c r="B25" s="585"/>
      <c r="C25" s="678" t="s">
        <v>1118</v>
      </c>
      <c r="D25" s="676"/>
      <c r="E25" s="676"/>
      <c r="F25" s="677"/>
      <c r="G25" s="676"/>
      <c r="I25" s="675"/>
    </row>
    <row r="26" spans="1:9" ht="14.25">
      <c r="A26" s="445" t="s">
        <v>1117</v>
      </c>
      <c r="B26" s="269" t="s">
        <v>829</v>
      </c>
      <c r="C26" s="287"/>
      <c r="D26" s="252">
        <v>7.7</v>
      </c>
      <c r="E26" s="252">
        <v>7.8</v>
      </c>
      <c r="F26" s="252"/>
      <c r="G26" s="252"/>
      <c r="H26" s="723">
        <f>+D26*E26</f>
        <v>60.06</v>
      </c>
      <c r="I26" s="623"/>
    </row>
    <row r="27" spans="1:9" ht="15" thickBot="1">
      <c r="A27" s="610" t="s">
        <v>1116</v>
      </c>
      <c r="B27" s="360" t="s">
        <v>829</v>
      </c>
      <c r="C27" s="131"/>
      <c r="D27" s="130">
        <v>1.5</v>
      </c>
      <c r="E27" s="130">
        <v>11.4</v>
      </c>
      <c r="F27" s="130"/>
      <c r="G27" s="130"/>
      <c r="H27" s="51">
        <f>+D27*E27</f>
        <v>17.1</v>
      </c>
      <c r="I27" s="722"/>
    </row>
    <row r="28" spans="1:9" ht="22.5" customHeight="1" thickBot="1">
      <c r="A28" s="721" t="s">
        <v>1115</v>
      </c>
      <c r="B28" s="720" t="s">
        <v>829</v>
      </c>
      <c r="C28" s="720"/>
      <c r="D28" s="465"/>
      <c r="E28" s="465"/>
      <c r="F28" s="719"/>
      <c r="G28" s="465"/>
      <c r="H28" s="718">
        <f>SUM(H26:H27)</f>
        <v>77.16</v>
      </c>
      <c r="I28" s="717" t="s">
        <v>1114</v>
      </c>
    </row>
    <row r="29" spans="1:9" ht="14.25" customHeight="1">
      <c r="A29" s="122"/>
      <c r="B29" s="117"/>
      <c r="C29" s="117"/>
      <c r="D29" s="116"/>
      <c r="E29" s="116"/>
      <c r="F29" s="115"/>
      <c r="G29" s="116"/>
      <c r="H29" s="115"/>
      <c r="I29" s="116"/>
    </row>
    <row r="30" spans="1:9" ht="15.75">
      <c r="A30" s="185" t="s">
        <v>1113</v>
      </c>
      <c r="B30" s="116"/>
      <c r="C30" s="116"/>
      <c r="D30" s="116"/>
      <c r="E30" s="116"/>
      <c r="F30" s="116"/>
      <c r="G30" s="116"/>
      <c r="H30" s="116"/>
      <c r="I30" s="642"/>
    </row>
    <row r="31" spans="1:9" ht="10.5" customHeight="1" thickBot="1">
      <c r="A31" s="644"/>
      <c r="B31" s="116"/>
      <c r="C31" s="116"/>
      <c r="D31" s="116"/>
      <c r="E31" s="116"/>
      <c r="F31" s="115"/>
      <c r="G31" s="116"/>
      <c r="H31" s="115"/>
      <c r="I31" s="642"/>
    </row>
    <row r="32" spans="1:9" ht="25.5">
      <c r="A32" s="288" t="s">
        <v>116</v>
      </c>
      <c r="B32" s="287" t="s">
        <v>829</v>
      </c>
      <c r="C32" s="287"/>
      <c r="D32" s="252"/>
      <c r="E32" s="252"/>
      <c r="F32" s="129"/>
      <c r="G32" s="716"/>
      <c r="H32" s="652">
        <f>180+30</f>
        <v>210</v>
      </c>
      <c r="I32" s="715" t="s">
        <v>1112</v>
      </c>
    </row>
    <row r="33" spans="1:9" ht="23.25" customHeight="1">
      <c r="A33" s="301" t="s">
        <v>120</v>
      </c>
      <c r="B33" s="297" t="s">
        <v>829</v>
      </c>
      <c r="C33" s="297"/>
      <c r="D33" s="57"/>
      <c r="E33" s="57"/>
      <c r="F33" s="60"/>
      <c r="G33" s="56"/>
      <c r="H33" s="714">
        <f>180+30</f>
        <v>210</v>
      </c>
      <c r="I33" s="713" t="s">
        <v>1111</v>
      </c>
    </row>
    <row r="34" spans="1:9" ht="30" customHeight="1" thickBot="1">
      <c r="A34" s="712" t="s">
        <v>1110</v>
      </c>
      <c r="B34" s="711" t="s">
        <v>712</v>
      </c>
      <c r="C34" s="282"/>
      <c r="D34" s="48"/>
      <c r="E34" s="48"/>
      <c r="F34" s="51"/>
      <c r="G34" s="47"/>
      <c r="H34" s="710">
        <f>(180+30)*0.15</f>
        <v>31.5</v>
      </c>
      <c r="I34" s="709" t="s">
        <v>1109</v>
      </c>
    </row>
    <row r="35" spans="2:9" ht="13.5" thickBot="1">
      <c r="B35" s="117"/>
      <c r="C35" s="117"/>
      <c r="D35" s="116"/>
      <c r="E35" s="116"/>
      <c r="F35" s="115"/>
      <c r="G35" s="116"/>
      <c r="H35" s="115"/>
      <c r="I35" s="116"/>
    </row>
    <row r="36" spans="1:9" ht="15" thickBot="1">
      <c r="A36" s="633" t="s">
        <v>315</v>
      </c>
      <c r="B36" s="186" t="s">
        <v>829</v>
      </c>
      <c r="C36" s="186"/>
      <c r="D36" s="458"/>
      <c r="E36" s="458"/>
      <c r="F36" s="632"/>
      <c r="G36" s="708"/>
      <c r="H36" s="707">
        <v>108</v>
      </c>
      <c r="I36" s="706" t="s">
        <v>1108</v>
      </c>
    </row>
    <row r="37" spans="1:9" ht="14.25">
      <c r="A37" s="122"/>
      <c r="B37" s="117"/>
      <c r="C37" s="117"/>
      <c r="D37" s="116"/>
      <c r="E37" s="116"/>
      <c r="F37" s="115"/>
      <c r="G37" s="116"/>
      <c r="H37" s="115"/>
      <c r="I37" s="116"/>
    </row>
    <row r="38" spans="1:9" ht="15.75">
      <c r="A38" s="185" t="s">
        <v>1107</v>
      </c>
      <c r="B38" s="116"/>
      <c r="C38" s="116"/>
      <c r="D38" s="116"/>
      <c r="E38" s="116"/>
      <c r="F38" s="116"/>
      <c r="G38" s="116"/>
      <c r="H38" s="116"/>
      <c r="I38" s="642"/>
    </row>
    <row r="39" spans="1:9" ht="5.25" customHeight="1" thickBot="1">
      <c r="A39" s="116"/>
      <c r="B39" s="116"/>
      <c r="C39" s="116"/>
      <c r="D39" s="116"/>
      <c r="E39" s="116"/>
      <c r="F39" s="115"/>
      <c r="G39" s="116"/>
      <c r="H39" s="115"/>
      <c r="I39" s="642"/>
    </row>
    <row r="40" spans="1:9" ht="15" thickBot="1">
      <c r="A40" s="705" t="s">
        <v>277</v>
      </c>
      <c r="B40" s="287" t="s">
        <v>829</v>
      </c>
      <c r="C40" s="287"/>
      <c r="D40" s="252"/>
      <c r="E40" s="252"/>
      <c r="F40" s="129"/>
      <c r="G40" s="252"/>
      <c r="H40" s="129"/>
      <c r="I40" s="704"/>
    </row>
    <row r="41" spans="1:9" ht="18.75" customHeight="1" thickBot="1">
      <c r="A41" s="703" t="s">
        <v>1106</v>
      </c>
      <c r="B41" s="297" t="s">
        <v>829</v>
      </c>
      <c r="C41" s="297"/>
      <c r="D41" s="57"/>
      <c r="E41" s="57"/>
      <c r="F41" s="60"/>
      <c r="G41" s="57"/>
      <c r="H41" s="652">
        <f>50%*(1674+1697)+(711+636+200+7)</f>
        <v>3239.5</v>
      </c>
      <c r="I41" s="700" t="s">
        <v>1105</v>
      </c>
    </row>
    <row r="42" spans="1:9" ht="39" customHeight="1" thickBot="1">
      <c r="A42" s="301" t="s">
        <v>1104</v>
      </c>
      <c r="B42" s="297" t="s">
        <v>760</v>
      </c>
      <c r="C42" s="297"/>
      <c r="D42" s="57"/>
      <c r="E42" s="57"/>
      <c r="F42" s="60"/>
      <c r="G42" s="57"/>
      <c r="H42" s="652">
        <v>36</v>
      </c>
      <c r="I42" s="702"/>
    </row>
    <row r="43" spans="1:9" ht="19.5" customHeight="1" thickBot="1">
      <c r="A43" s="703" t="s">
        <v>287</v>
      </c>
      <c r="B43" s="297" t="s">
        <v>760</v>
      </c>
      <c r="C43" s="297"/>
      <c r="D43" s="57"/>
      <c r="E43" s="57"/>
      <c r="F43" s="60"/>
      <c r="G43" s="57"/>
      <c r="H43" s="652">
        <f>+H42</f>
        <v>36</v>
      </c>
      <c r="I43" s="702"/>
    </row>
    <row r="44" spans="1:9" ht="33" customHeight="1" thickBot="1">
      <c r="A44" s="301" t="s">
        <v>1103</v>
      </c>
      <c r="B44" s="297" t="s">
        <v>760</v>
      </c>
      <c r="C44" s="297"/>
      <c r="D44" s="57"/>
      <c r="E44" s="57"/>
      <c r="F44" s="60"/>
      <c r="G44" s="57"/>
      <c r="H44" s="652">
        <v>6</v>
      </c>
      <c r="I44" s="702"/>
    </row>
    <row r="45" spans="1:9" ht="19.5" customHeight="1" thickBot="1">
      <c r="A45" s="703" t="s">
        <v>290</v>
      </c>
      <c r="B45" s="297" t="s">
        <v>760</v>
      </c>
      <c r="C45" s="297"/>
      <c r="D45" s="57"/>
      <c r="E45" s="57"/>
      <c r="F45" s="60"/>
      <c r="G45" s="57"/>
      <c r="H45" s="652">
        <f>+H44</f>
        <v>6</v>
      </c>
      <c r="I45" s="702"/>
    </row>
    <row r="46" spans="1:9" ht="21" customHeight="1" thickBot="1">
      <c r="A46" s="701" t="s">
        <v>1102</v>
      </c>
      <c r="B46" s="282" t="s">
        <v>760</v>
      </c>
      <c r="C46" s="282"/>
      <c r="D46" s="48"/>
      <c r="E46" s="48"/>
      <c r="F46" s="51"/>
      <c r="G46" s="48"/>
      <c r="H46" s="652">
        <f>30*(+H43+H45)</f>
        <v>1260</v>
      </c>
      <c r="I46" s="700" t="s">
        <v>1101</v>
      </c>
    </row>
    <row r="47" spans="1:9" ht="14.25">
      <c r="A47" s="122"/>
      <c r="B47" s="117"/>
      <c r="C47" s="117"/>
      <c r="D47" s="116"/>
      <c r="E47" s="116"/>
      <c r="F47" s="115"/>
      <c r="G47" s="116"/>
      <c r="H47" s="115"/>
      <c r="I47" s="116"/>
    </row>
    <row r="48" spans="1:9" ht="15.75">
      <c r="A48" s="185" t="s">
        <v>1100</v>
      </c>
      <c r="B48" s="116"/>
      <c r="C48" s="116"/>
      <c r="D48" s="116"/>
      <c r="E48" s="116"/>
      <c r="F48" s="116"/>
      <c r="G48" s="116"/>
      <c r="H48" s="116"/>
      <c r="I48" s="642"/>
    </row>
    <row r="49" spans="1:9" ht="5.25" customHeight="1" thickBot="1">
      <c r="A49" s="116"/>
      <c r="B49" s="116"/>
      <c r="C49" s="116"/>
      <c r="D49" s="116"/>
      <c r="E49" s="116"/>
      <c r="F49" s="115"/>
      <c r="G49" s="116"/>
      <c r="H49" s="115"/>
      <c r="I49" s="642"/>
    </row>
    <row r="50" spans="1:9" ht="12.75">
      <c r="A50" s="202" t="s">
        <v>773</v>
      </c>
      <c r="B50" s="110" t="s">
        <v>31</v>
      </c>
      <c r="C50" s="323" t="s">
        <v>1093</v>
      </c>
      <c r="D50" s="107" t="s">
        <v>743</v>
      </c>
      <c r="E50" s="107" t="s">
        <v>742</v>
      </c>
      <c r="F50" s="109" t="s">
        <v>741</v>
      </c>
      <c r="G50" s="107" t="s">
        <v>740</v>
      </c>
      <c r="H50" s="109" t="s">
        <v>739</v>
      </c>
      <c r="I50" s="201" t="s">
        <v>771</v>
      </c>
    </row>
    <row r="51" spans="1:9" ht="13.5" thickBot="1">
      <c r="A51" s="200"/>
      <c r="B51" s="199"/>
      <c r="C51" s="199"/>
      <c r="D51" s="198" t="s">
        <v>733</v>
      </c>
      <c r="E51" s="198" t="s">
        <v>733</v>
      </c>
      <c r="F51" s="197" t="s">
        <v>734</v>
      </c>
      <c r="G51" s="198" t="s">
        <v>733</v>
      </c>
      <c r="H51" s="197" t="s">
        <v>728</v>
      </c>
      <c r="I51" s="227"/>
    </row>
    <row r="52" spans="1:9" ht="15.75" thickBot="1">
      <c r="A52" s="515" t="s">
        <v>313</v>
      </c>
      <c r="B52" s="257"/>
      <c r="C52" s="257"/>
      <c r="D52" s="256"/>
      <c r="E52" s="256"/>
      <c r="F52" s="255"/>
      <c r="G52" s="256"/>
      <c r="H52" s="255"/>
      <c r="I52" s="513"/>
    </row>
    <row r="53" spans="1:9" ht="14.25">
      <c r="A53" s="622"/>
      <c r="B53" s="699" t="s">
        <v>712</v>
      </c>
      <c r="C53" s="269"/>
      <c r="D53" s="252"/>
      <c r="E53" s="252"/>
      <c r="F53" s="252"/>
      <c r="G53" s="252"/>
      <c r="H53" s="129"/>
      <c r="I53" s="623"/>
    </row>
    <row r="54" spans="1:9" ht="14.25">
      <c r="A54" s="622" t="s">
        <v>1099</v>
      </c>
      <c r="B54" s="535" t="s">
        <v>712</v>
      </c>
      <c r="C54" s="698">
        <v>1</v>
      </c>
      <c r="D54" s="57"/>
      <c r="E54" s="57"/>
      <c r="F54" s="57">
        <v>17</v>
      </c>
      <c r="G54" s="57">
        <f>2.3+2.3</f>
        <v>4.6</v>
      </c>
      <c r="H54" s="60">
        <f>+F54*G54*C54</f>
        <v>78.19999999999999</v>
      </c>
      <c r="I54" s="55"/>
    </row>
    <row r="55" spans="1:9" ht="14.25">
      <c r="A55" s="622" t="s">
        <v>1098</v>
      </c>
      <c r="B55" s="535" t="s">
        <v>712</v>
      </c>
      <c r="C55" s="698">
        <v>1</v>
      </c>
      <c r="D55" s="57"/>
      <c r="E55" s="57"/>
      <c r="F55" s="57">
        <v>17</v>
      </c>
      <c r="G55" s="57">
        <f>1.25+1.25</f>
        <v>2.5</v>
      </c>
      <c r="H55" s="60">
        <f>+F55*G55*C55</f>
        <v>42.5</v>
      </c>
      <c r="I55" s="55"/>
    </row>
    <row r="56" spans="1:9" ht="14.25">
      <c r="A56" s="622" t="s">
        <v>1097</v>
      </c>
      <c r="B56" s="535" t="s">
        <v>712</v>
      </c>
      <c r="C56" s="698">
        <v>1</v>
      </c>
      <c r="D56" s="57"/>
      <c r="E56" s="57"/>
      <c r="F56" s="57">
        <v>7</v>
      </c>
      <c r="G56" s="57">
        <f>1.25+1.25</f>
        <v>2.5</v>
      </c>
      <c r="H56" s="60">
        <f>+F56*G56*C56</f>
        <v>17.5</v>
      </c>
      <c r="I56" s="55"/>
    </row>
    <row r="57" spans="1:9" ht="15" thickBot="1">
      <c r="A57" s="622" t="s">
        <v>1096</v>
      </c>
      <c r="B57" s="535" t="s">
        <v>712</v>
      </c>
      <c r="C57" s="698">
        <v>1</v>
      </c>
      <c r="D57" s="57">
        <v>10.5</v>
      </c>
      <c r="E57" s="57">
        <v>6</v>
      </c>
      <c r="F57" s="57">
        <f>+D57*E57</f>
        <v>63</v>
      </c>
      <c r="G57" s="57">
        <v>1</v>
      </c>
      <c r="H57" s="60">
        <f>+F57*G57*C57</f>
        <v>63</v>
      </c>
      <c r="I57" s="55"/>
    </row>
    <row r="58" spans="1:9" ht="21.75" customHeight="1" thickBot="1">
      <c r="A58" s="310" t="s">
        <v>1095</v>
      </c>
      <c r="B58" s="387" t="s">
        <v>712</v>
      </c>
      <c r="C58" s="386"/>
      <c r="D58" s="308"/>
      <c r="E58" s="308"/>
      <c r="F58" s="307"/>
      <c r="G58" s="308"/>
      <c r="H58" s="652">
        <f>SUM(H53:H57)</f>
        <v>201.2</v>
      </c>
      <c r="I58" s="571"/>
    </row>
    <row r="59" spans="1:9" ht="14.25">
      <c r="A59" s="122"/>
      <c r="B59" s="117"/>
      <c r="C59" s="117"/>
      <c r="D59" s="116"/>
      <c r="E59" s="116"/>
      <c r="F59" s="115"/>
      <c r="G59" s="116"/>
      <c r="H59" s="115"/>
      <c r="I59" s="116"/>
    </row>
    <row r="60" spans="1:9" ht="15.75">
      <c r="A60" s="185" t="s">
        <v>1094</v>
      </c>
      <c r="B60" s="116"/>
      <c r="C60" s="116"/>
      <c r="D60" s="116"/>
      <c r="E60" s="116"/>
      <c r="F60" s="116"/>
      <c r="G60" s="116"/>
      <c r="H60" s="116"/>
      <c r="I60" s="642"/>
    </row>
    <row r="61" spans="1:9" ht="5.25" customHeight="1" thickBot="1">
      <c r="A61" s="116"/>
      <c r="B61" s="116"/>
      <c r="C61" s="116"/>
      <c r="D61" s="116"/>
      <c r="E61" s="116"/>
      <c r="F61" s="115"/>
      <c r="G61" s="116"/>
      <c r="H61" s="115"/>
      <c r="I61" s="642"/>
    </row>
    <row r="62" spans="1:9" ht="12.75">
      <c r="A62" s="202" t="s">
        <v>773</v>
      </c>
      <c r="B62" s="110" t="s">
        <v>31</v>
      </c>
      <c r="C62" s="323" t="s">
        <v>1093</v>
      </c>
      <c r="D62" s="107" t="s">
        <v>743</v>
      </c>
      <c r="E62" s="107" t="s">
        <v>742</v>
      </c>
      <c r="F62" s="109" t="s">
        <v>741</v>
      </c>
      <c r="G62" s="107" t="s">
        <v>740</v>
      </c>
      <c r="H62" s="109" t="s">
        <v>739</v>
      </c>
      <c r="I62" s="201" t="s">
        <v>771</v>
      </c>
    </row>
    <row r="63" spans="1:9" ht="13.5" thickBot="1">
      <c r="A63" s="200"/>
      <c r="B63" s="199"/>
      <c r="C63" s="344"/>
      <c r="D63" s="198" t="s">
        <v>733</v>
      </c>
      <c r="E63" s="198" t="s">
        <v>733</v>
      </c>
      <c r="F63" s="197" t="s">
        <v>734</v>
      </c>
      <c r="G63" s="198" t="s">
        <v>733</v>
      </c>
      <c r="H63" s="197" t="s">
        <v>728</v>
      </c>
      <c r="I63" s="227"/>
    </row>
    <row r="64" spans="1:9" ht="15.75" thickBot="1">
      <c r="A64" s="515" t="s">
        <v>310</v>
      </c>
      <c r="B64" s="257"/>
      <c r="C64" s="697"/>
      <c r="D64" s="256"/>
      <c r="E64" s="256"/>
      <c r="F64" s="255"/>
      <c r="G64" s="256"/>
      <c r="H64" s="255"/>
      <c r="I64" s="513"/>
    </row>
    <row r="65" spans="1:9" ht="14.25">
      <c r="A65" s="622" t="s">
        <v>1092</v>
      </c>
      <c r="B65" s="183" t="s">
        <v>712</v>
      </c>
      <c r="C65" s="696">
        <v>0.5</v>
      </c>
      <c r="D65" s="252"/>
      <c r="E65" s="252"/>
      <c r="F65" s="252">
        <v>43</v>
      </c>
      <c r="G65" s="252">
        <v>3.3</v>
      </c>
      <c r="H65" s="623">
        <f aca="true" t="shared" si="0" ref="H65:H72">+F65*G65*C65</f>
        <v>70.95</v>
      </c>
      <c r="I65" s="694"/>
    </row>
    <row r="66" spans="1:9" ht="14.25">
      <c r="A66" s="622" t="s">
        <v>1091</v>
      </c>
      <c r="B66" s="178" t="s">
        <v>712</v>
      </c>
      <c r="C66" s="695">
        <v>1</v>
      </c>
      <c r="D66" s="511"/>
      <c r="E66" s="511"/>
      <c r="F66" s="511">
        <v>9</v>
      </c>
      <c r="G66" s="511">
        <v>3.3</v>
      </c>
      <c r="H66" s="509">
        <f t="shared" si="0"/>
        <v>29.7</v>
      </c>
      <c r="I66" s="694"/>
    </row>
    <row r="67" spans="1:9" ht="14.25">
      <c r="A67" s="622" t="s">
        <v>1090</v>
      </c>
      <c r="B67" s="178" t="s">
        <v>712</v>
      </c>
      <c r="C67" s="695">
        <v>0.35</v>
      </c>
      <c r="D67" s="511"/>
      <c r="E67" s="511"/>
      <c r="F67" s="57">
        <v>49.5</v>
      </c>
      <c r="G67" s="57">
        <v>3.3</v>
      </c>
      <c r="H67" s="55">
        <f t="shared" si="0"/>
        <v>57.17249999999999</v>
      </c>
      <c r="I67" s="694"/>
    </row>
    <row r="68" spans="1:9" ht="14.25">
      <c r="A68" s="622" t="s">
        <v>1089</v>
      </c>
      <c r="B68" s="178" t="s">
        <v>712</v>
      </c>
      <c r="C68" s="695">
        <v>0.5</v>
      </c>
      <c r="D68" s="511"/>
      <c r="E68" s="511"/>
      <c r="F68" s="57">
        <v>11.4</v>
      </c>
      <c r="G68" s="57">
        <v>3.3</v>
      </c>
      <c r="H68" s="55">
        <f t="shared" si="0"/>
        <v>18.81</v>
      </c>
      <c r="I68" s="694"/>
    </row>
    <row r="69" spans="1:9" ht="14.25">
      <c r="A69" s="622" t="s">
        <v>1088</v>
      </c>
      <c r="B69" s="178" t="s">
        <v>712</v>
      </c>
      <c r="C69" s="695">
        <v>0.5</v>
      </c>
      <c r="D69" s="511"/>
      <c r="E69" s="511"/>
      <c r="F69" s="511">
        <v>20</v>
      </c>
      <c r="G69" s="511">
        <v>3.3</v>
      </c>
      <c r="H69" s="55">
        <f t="shared" si="0"/>
        <v>33</v>
      </c>
      <c r="I69" s="694"/>
    </row>
    <row r="70" spans="1:9" ht="14.25">
      <c r="A70" s="622" t="s">
        <v>1087</v>
      </c>
      <c r="B70" s="178" t="s">
        <v>712</v>
      </c>
      <c r="C70" s="695">
        <v>1</v>
      </c>
      <c r="D70" s="511"/>
      <c r="E70" s="511"/>
      <c r="F70" s="511">
        <v>2</v>
      </c>
      <c r="G70" s="511">
        <v>3.3</v>
      </c>
      <c r="H70" s="55">
        <f t="shared" si="0"/>
        <v>6.6</v>
      </c>
      <c r="I70" s="694"/>
    </row>
    <row r="71" spans="1:9" ht="14.25">
      <c r="A71" s="622" t="s">
        <v>1086</v>
      </c>
      <c r="B71" s="178" t="s">
        <v>712</v>
      </c>
      <c r="C71" s="693">
        <v>0.35</v>
      </c>
      <c r="D71" s="57"/>
      <c r="E71" s="57"/>
      <c r="F71" s="57">
        <v>33.5</v>
      </c>
      <c r="G71" s="57">
        <v>3.3</v>
      </c>
      <c r="H71" s="55">
        <f t="shared" si="0"/>
        <v>38.692499999999995</v>
      </c>
      <c r="I71" s="692"/>
    </row>
    <row r="72" spans="1:9" ht="15" thickBot="1">
      <c r="A72" s="622" t="s">
        <v>1085</v>
      </c>
      <c r="B72" s="178" t="s">
        <v>712</v>
      </c>
      <c r="C72" s="693">
        <v>0.5</v>
      </c>
      <c r="D72" s="57"/>
      <c r="E72" s="57"/>
      <c r="F72" s="57">
        <v>6.4</v>
      </c>
      <c r="G72" s="57">
        <v>3.3</v>
      </c>
      <c r="H72" s="55">
        <f t="shared" si="0"/>
        <v>10.56</v>
      </c>
      <c r="I72" s="692"/>
    </row>
    <row r="73" spans="1:9" ht="15" thickBot="1">
      <c r="A73" s="468" t="s">
        <v>1080</v>
      </c>
      <c r="B73" s="387" t="s">
        <v>712</v>
      </c>
      <c r="C73" s="688"/>
      <c r="D73" s="308"/>
      <c r="E73" s="308"/>
      <c r="F73" s="307"/>
      <c r="G73" s="308"/>
      <c r="H73" s="652">
        <f>SUM(H65:H72)</f>
        <v>265.48499999999996</v>
      </c>
      <c r="I73" s="304"/>
    </row>
    <row r="74" spans="1:9" ht="14.25">
      <c r="A74" s="122"/>
      <c r="B74" s="117"/>
      <c r="C74" s="117"/>
      <c r="D74" s="116"/>
      <c r="E74" s="116"/>
      <c r="F74" s="115"/>
      <c r="G74" s="116"/>
      <c r="H74" s="115"/>
      <c r="I74" s="116"/>
    </row>
    <row r="75" spans="1:9" ht="15.75">
      <c r="A75" s="185" t="s">
        <v>1084</v>
      </c>
      <c r="B75" s="116"/>
      <c r="C75" s="116"/>
      <c r="D75" s="116"/>
      <c r="E75" s="116"/>
      <c r="F75" s="116"/>
      <c r="G75" s="116"/>
      <c r="H75" s="116"/>
      <c r="I75" s="642"/>
    </row>
    <row r="76" spans="1:9" ht="5.25" customHeight="1" thickBot="1">
      <c r="A76" s="116"/>
      <c r="B76" s="116"/>
      <c r="C76" s="116"/>
      <c r="D76" s="116"/>
      <c r="E76" s="116"/>
      <c r="F76" s="115"/>
      <c r="G76" s="116"/>
      <c r="H76" s="115"/>
      <c r="I76" s="642"/>
    </row>
    <row r="77" spans="1:9" ht="12.75">
      <c r="A77" s="202" t="s">
        <v>773</v>
      </c>
      <c r="B77" s="110" t="s">
        <v>31</v>
      </c>
      <c r="C77" s="110"/>
      <c r="D77" s="107" t="s">
        <v>743</v>
      </c>
      <c r="E77" s="107" t="s">
        <v>742</v>
      </c>
      <c r="F77" s="109" t="s">
        <v>741</v>
      </c>
      <c r="G77" s="107" t="s">
        <v>740</v>
      </c>
      <c r="H77" s="109" t="s">
        <v>739</v>
      </c>
      <c r="I77" s="201" t="s">
        <v>771</v>
      </c>
    </row>
    <row r="78" spans="1:9" ht="13.5" thickBot="1">
      <c r="A78" s="200"/>
      <c r="B78" s="199"/>
      <c r="C78" s="199"/>
      <c r="D78" s="198" t="s">
        <v>733</v>
      </c>
      <c r="E78" s="198" t="s">
        <v>733</v>
      </c>
      <c r="F78" s="197" t="s">
        <v>734</v>
      </c>
      <c r="G78" s="198" t="s">
        <v>733</v>
      </c>
      <c r="H78" s="197" t="s">
        <v>728</v>
      </c>
      <c r="I78" s="227"/>
    </row>
    <row r="79" spans="1:9" ht="30.75" thickBot="1">
      <c r="A79" s="515" t="s">
        <v>1083</v>
      </c>
      <c r="B79" s="257"/>
      <c r="C79" s="257"/>
      <c r="D79" s="256"/>
      <c r="E79" s="256"/>
      <c r="F79" s="255"/>
      <c r="G79" s="256"/>
      <c r="H79" s="255"/>
      <c r="I79" s="513"/>
    </row>
    <row r="80" spans="1:9" ht="14.25">
      <c r="A80" s="622" t="s">
        <v>1082</v>
      </c>
      <c r="B80" s="535" t="s">
        <v>712</v>
      </c>
      <c r="C80" s="61"/>
      <c r="D80" s="57"/>
      <c r="E80" s="57"/>
      <c r="F80" s="57"/>
      <c r="G80" s="57"/>
      <c r="H80" s="55">
        <f>+H58</f>
        <v>201.2</v>
      </c>
      <c r="I80" s="691"/>
    </row>
    <row r="81" spans="1:9" ht="15" thickBot="1">
      <c r="A81" s="622" t="s">
        <v>1081</v>
      </c>
      <c r="B81" s="266" t="s">
        <v>712</v>
      </c>
      <c r="C81" s="52"/>
      <c r="D81" s="48"/>
      <c r="E81" s="48"/>
      <c r="F81" s="48"/>
      <c r="G81" s="48"/>
      <c r="H81" s="46">
        <f>+H73</f>
        <v>265.48499999999996</v>
      </c>
      <c r="I81" s="690"/>
    </row>
    <row r="82" spans="1:9" ht="15" thickBot="1">
      <c r="A82" s="310" t="s">
        <v>1080</v>
      </c>
      <c r="B82" s="689" t="s">
        <v>712</v>
      </c>
      <c r="C82" s="688"/>
      <c r="D82" s="308"/>
      <c r="E82" s="308"/>
      <c r="F82" s="307"/>
      <c r="G82" s="308"/>
      <c r="H82" s="652">
        <f>SUM(H80:H81)</f>
        <v>466.68499999999995</v>
      </c>
      <c r="I82" s="304"/>
    </row>
    <row r="83" spans="1:9" ht="14.25">
      <c r="A83" s="122"/>
      <c r="B83" s="117"/>
      <c r="C83" s="117"/>
      <c r="D83" s="116"/>
      <c r="E83" s="116"/>
      <c r="F83" s="115"/>
      <c r="G83" s="116"/>
      <c r="H83" s="115"/>
      <c r="I83" s="116"/>
    </row>
    <row r="84" spans="1:9" ht="14.25">
      <c r="A84" s="122"/>
      <c r="B84" s="117"/>
      <c r="C84" s="117"/>
      <c r="D84" s="116"/>
      <c r="E84" s="116"/>
      <c r="F84" s="115"/>
      <c r="G84" s="116"/>
      <c r="H84" s="115"/>
      <c r="I84" s="116"/>
    </row>
    <row r="85" spans="1:9" ht="16.5" thickBot="1">
      <c r="A85" s="185" t="s">
        <v>1079</v>
      </c>
      <c r="B85" s="116"/>
      <c r="C85" s="116"/>
      <c r="D85" s="116"/>
      <c r="E85" s="116"/>
      <c r="F85" s="116"/>
      <c r="G85" s="116"/>
      <c r="H85" s="116"/>
      <c r="I85" s="642"/>
    </row>
    <row r="86" spans="1:9" ht="12.75">
      <c r="A86" s="202" t="s">
        <v>773</v>
      </c>
      <c r="B86" s="110" t="s">
        <v>31</v>
      </c>
      <c r="C86" s="687" t="s">
        <v>772</v>
      </c>
      <c r="D86" s="107" t="s">
        <v>1078</v>
      </c>
      <c r="E86" s="107"/>
      <c r="F86" s="686"/>
      <c r="G86" s="686"/>
      <c r="H86" s="685" t="s">
        <v>1077</v>
      </c>
      <c r="I86" s="684"/>
    </row>
    <row r="87" spans="1:9" ht="13.5" thickBot="1">
      <c r="A87" s="200"/>
      <c r="B87" s="199"/>
      <c r="C87" s="518" t="s">
        <v>1076</v>
      </c>
      <c r="D87" s="517" t="s">
        <v>1075</v>
      </c>
      <c r="E87" s="198"/>
      <c r="F87" s="683"/>
      <c r="G87" s="682"/>
      <c r="H87" s="681" t="s">
        <v>299</v>
      </c>
      <c r="I87" s="680"/>
    </row>
    <row r="88" spans="1:9" ht="15" thickBot="1">
      <c r="A88" s="679" t="s">
        <v>1074</v>
      </c>
      <c r="B88" s="585"/>
      <c r="C88" s="678"/>
      <c r="D88" s="676"/>
      <c r="E88" s="676"/>
      <c r="F88" s="677"/>
      <c r="G88" s="676"/>
      <c r="I88" s="675"/>
    </row>
    <row r="89" spans="1:9" ht="23.25" customHeight="1" thickBot="1">
      <c r="A89" s="195" t="s">
        <v>1073</v>
      </c>
      <c r="B89" s="194" t="s">
        <v>1072</v>
      </c>
      <c r="C89" s="186">
        <v>14</v>
      </c>
      <c r="D89" s="458">
        <v>3</v>
      </c>
      <c r="E89" s="458"/>
      <c r="F89" s="458"/>
      <c r="G89" s="458"/>
      <c r="H89" s="652">
        <f>+C89*D89*24</f>
        <v>1008</v>
      </c>
      <c r="I89" s="674"/>
    </row>
    <row r="90" spans="1:9" ht="14.25">
      <c r="A90" s="122"/>
      <c r="B90" s="117"/>
      <c r="C90" s="117"/>
      <c r="D90" s="116"/>
      <c r="E90" s="116"/>
      <c r="F90" s="115"/>
      <c r="G90" s="116"/>
      <c r="H90" s="115"/>
      <c r="I90" s="116"/>
    </row>
    <row r="91" spans="1:9" ht="14.25">
      <c r="A91" s="122"/>
      <c r="B91" s="117"/>
      <c r="C91" s="117"/>
      <c r="D91" s="116"/>
      <c r="E91" s="116"/>
      <c r="F91" s="115"/>
      <c r="G91" s="116"/>
      <c r="H91" s="115"/>
      <c r="I91" s="116"/>
    </row>
    <row r="92" spans="1:9" ht="15" thickBot="1">
      <c r="A92" s="122"/>
      <c r="B92" s="117"/>
      <c r="C92" s="117"/>
      <c r="D92" s="116"/>
      <c r="E92" s="116"/>
      <c r="F92" s="115"/>
      <c r="G92" s="116"/>
      <c r="H92" s="115"/>
      <c r="I92" s="116"/>
    </row>
    <row r="93" spans="1:9" ht="31.5" customHeight="1" thickBot="1">
      <c r="A93" s="673" t="s">
        <v>1071</v>
      </c>
      <c r="B93" s="290"/>
      <c r="C93" s="290"/>
      <c r="D93" s="290"/>
      <c r="E93" s="290"/>
      <c r="F93" s="290"/>
      <c r="G93" s="290"/>
      <c r="H93" s="290"/>
      <c r="I93" s="289"/>
    </row>
    <row r="94" spans="1:9" ht="15" thickBot="1">
      <c r="A94" s="122"/>
      <c r="B94" s="117"/>
      <c r="C94" s="117"/>
      <c r="D94" s="116"/>
      <c r="E94" s="116"/>
      <c r="F94" s="115"/>
      <c r="G94" s="116"/>
      <c r="H94" s="115"/>
      <c r="I94" s="116"/>
    </row>
    <row r="95" spans="1:9" ht="12.75">
      <c r="A95" s="202" t="s">
        <v>773</v>
      </c>
      <c r="B95" s="110" t="s">
        <v>31</v>
      </c>
      <c r="C95" s="110" t="s">
        <v>772</v>
      </c>
      <c r="D95" s="107" t="s">
        <v>743</v>
      </c>
      <c r="E95" s="107"/>
      <c r="F95" s="109"/>
      <c r="G95" s="107" t="s">
        <v>740</v>
      </c>
      <c r="H95" s="109" t="s">
        <v>741</v>
      </c>
      <c r="I95" s="201" t="s">
        <v>771</v>
      </c>
    </row>
    <row r="96" spans="1:9" ht="13.5" thickBot="1">
      <c r="A96" s="200"/>
      <c r="B96" s="199"/>
      <c r="C96" s="199"/>
      <c r="D96" s="198" t="s">
        <v>733</v>
      </c>
      <c r="E96" s="198"/>
      <c r="F96" s="197"/>
      <c r="G96" s="198" t="s">
        <v>733</v>
      </c>
      <c r="H96" s="197" t="s">
        <v>734</v>
      </c>
      <c r="I96" s="196"/>
    </row>
    <row r="97" spans="1:9" ht="26.25" thickBot="1">
      <c r="A97" s="672" t="s">
        <v>1070</v>
      </c>
      <c r="B97" s="650" t="s">
        <v>734</v>
      </c>
      <c r="C97" s="671"/>
      <c r="D97" s="670"/>
      <c r="E97" s="670"/>
      <c r="F97" s="669"/>
      <c r="G97" s="670"/>
      <c r="H97" s="669"/>
      <c r="I97" s="668"/>
    </row>
    <row r="98" spans="1:9" ht="24.75" customHeight="1">
      <c r="A98" s="667" t="s">
        <v>1069</v>
      </c>
      <c r="B98" s="666" t="s">
        <v>734</v>
      </c>
      <c r="C98" s="665">
        <v>2</v>
      </c>
      <c r="D98" s="663">
        <v>17.5</v>
      </c>
      <c r="E98" s="663"/>
      <c r="F98" s="664"/>
      <c r="G98" s="663">
        <v>3.8</v>
      </c>
      <c r="H98" s="662">
        <f>+D98*G98*C98</f>
        <v>133</v>
      </c>
      <c r="I98" s="661"/>
    </row>
    <row r="99" spans="1:9" ht="24.75" customHeight="1" thickBot="1">
      <c r="A99" s="660" t="s">
        <v>1068</v>
      </c>
      <c r="B99" s="659" t="s">
        <v>734</v>
      </c>
      <c r="C99" s="658">
        <v>2</v>
      </c>
      <c r="D99" s="656">
        <v>14.5</v>
      </c>
      <c r="E99" s="656"/>
      <c r="F99" s="657"/>
      <c r="G99" s="656">
        <v>2.9</v>
      </c>
      <c r="H99" s="655">
        <f>+D99*G99*C99</f>
        <v>84.1</v>
      </c>
      <c r="I99" s="654"/>
    </row>
    <row r="100" spans="1:9" ht="22.5" customHeight="1" thickBot="1">
      <c r="A100" s="532" t="s">
        <v>1053</v>
      </c>
      <c r="B100" s="531" t="s">
        <v>712</v>
      </c>
      <c r="C100" s="531"/>
      <c r="D100" s="529"/>
      <c r="E100" s="529"/>
      <c r="F100" s="530"/>
      <c r="G100" s="653"/>
      <c r="H100" s="652">
        <f>SUM(H98:H99)</f>
        <v>217.1</v>
      </c>
      <c r="I100" s="527" t="s">
        <v>1189</v>
      </c>
    </row>
    <row r="101" spans="1:9" ht="26.25" thickBot="1">
      <c r="A101" s="651" t="s">
        <v>1067</v>
      </c>
      <c r="B101" s="650" t="s">
        <v>734</v>
      </c>
      <c r="C101" s="649">
        <v>2</v>
      </c>
      <c r="D101" s="647">
        <v>47.7</v>
      </c>
      <c r="E101" s="647"/>
      <c r="F101" s="648"/>
      <c r="G101" s="647">
        <v>0.24</v>
      </c>
      <c r="H101" s="166">
        <f>0.24*47.7*2</f>
        <v>22.896</v>
      </c>
      <c r="I101" s="646" t="s">
        <v>1066</v>
      </c>
    </row>
    <row r="102" spans="1:9" ht="12.75">
      <c r="A102" s="645"/>
      <c r="B102" s="643"/>
      <c r="C102" s="117"/>
      <c r="D102" s="116"/>
      <c r="E102" s="116"/>
      <c r="F102" s="115"/>
      <c r="G102" s="116"/>
      <c r="H102" s="116"/>
      <c r="I102" s="642"/>
    </row>
    <row r="103" spans="1:9" ht="15.75">
      <c r="A103" s="185" t="s">
        <v>1065</v>
      </c>
      <c r="B103" s="643"/>
      <c r="C103" s="117"/>
      <c r="D103" s="116"/>
      <c r="E103" s="116"/>
      <c r="F103" s="116"/>
      <c r="G103" s="116"/>
      <c r="H103" s="116"/>
      <c r="I103" s="642"/>
    </row>
    <row r="104" spans="1:9" ht="5.25" customHeight="1" thickBot="1">
      <c r="A104" s="644"/>
      <c r="B104" s="643"/>
      <c r="C104" s="117"/>
      <c r="D104" s="116"/>
      <c r="E104" s="116"/>
      <c r="F104" s="115"/>
      <c r="G104" s="116"/>
      <c r="H104" s="115"/>
      <c r="I104" s="642"/>
    </row>
    <row r="105" spans="1:9" ht="30.75" customHeight="1" thickBot="1">
      <c r="A105" s="288" t="s">
        <v>1064</v>
      </c>
      <c r="B105" s="641" t="s">
        <v>710</v>
      </c>
      <c r="C105" s="328"/>
      <c r="D105" s="639"/>
      <c r="E105" s="639"/>
      <c r="F105" s="640"/>
      <c r="G105" s="639"/>
      <c r="H105" s="166">
        <f>35.4*4*0.155</f>
        <v>21.948</v>
      </c>
      <c r="I105" s="638" t="s">
        <v>1063</v>
      </c>
    </row>
    <row r="106" spans="1:9" ht="21" customHeight="1" thickBot="1">
      <c r="A106" s="637" t="s">
        <v>1062</v>
      </c>
      <c r="B106" s="281" t="s">
        <v>710</v>
      </c>
      <c r="C106" s="53"/>
      <c r="D106" s="635"/>
      <c r="E106" s="635"/>
      <c r="F106" s="636"/>
      <c r="G106" s="635"/>
      <c r="H106" s="166">
        <f>35.4*4*0.155</f>
        <v>21.948</v>
      </c>
      <c r="I106" s="634" t="s">
        <v>1061</v>
      </c>
    </row>
    <row r="107" spans="1:9" ht="25.5" customHeight="1" thickBot="1">
      <c r="A107" s="633" t="s">
        <v>1060</v>
      </c>
      <c r="B107" s="186" t="s">
        <v>733</v>
      </c>
      <c r="C107" s="186" t="s">
        <v>1059</v>
      </c>
      <c r="D107" s="458" t="s">
        <v>1058</v>
      </c>
      <c r="E107" s="458"/>
      <c r="F107" s="632"/>
      <c r="G107" s="458"/>
      <c r="H107" s="166">
        <f>17*4.1</f>
        <v>69.69999999999999</v>
      </c>
      <c r="I107" s="631" t="s">
        <v>1057</v>
      </c>
    </row>
    <row r="108" spans="1:9" ht="25.5" customHeight="1">
      <c r="A108" s="630"/>
      <c r="B108" s="117"/>
      <c r="C108" s="117"/>
      <c r="D108" s="116"/>
      <c r="E108" s="116"/>
      <c r="F108" s="115"/>
      <c r="G108" s="116"/>
      <c r="H108" s="120"/>
      <c r="I108" s="116"/>
    </row>
    <row r="109" spans="1:9" ht="15.75" customHeight="1" thickBot="1">
      <c r="A109" s="348"/>
      <c r="B109" s="146"/>
      <c r="C109" s="146"/>
      <c r="D109" s="83"/>
      <c r="E109" s="83"/>
      <c r="F109" s="84"/>
      <c r="G109" s="83"/>
      <c r="H109" s="84"/>
      <c r="I109" s="84"/>
    </row>
    <row r="110" spans="1:9" ht="12.75">
      <c r="A110" s="202" t="s">
        <v>773</v>
      </c>
      <c r="B110" s="110" t="s">
        <v>31</v>
      </c>
      <c r="C110" s="110"/>
      <c r="D110" s="107" t="s">
        <v>740</v>
      </c>
      <c r="E110" s="107" t="s">
        <v>742</v>
      </c>
      <c r="F110" s="109" t="s">
        <v>741</v>
      </c>
      <c r="G110" s="107" t="s">
        <v>743</v>
      </c>
      <c r="H110" s="109" t="s">
        <v>739</v>
      </c>
      <c r="I110" s="106"/>
    </row>
    <row r="111" spans="1:9" ht="13.5" thickBot="1">
      <c r="A111" s="200"/>
      <c r="B111" s="199"/>
      <c r="C111" s="143"/>
      <c r="D111" s="140" t="s">
        <v>733</v>
      </c>
      <c r="E111" s="140" t="s">
        <v>733</v>
      </c>
      <c r="F111" s="142" t="s">
        <v>734</v>
      </c>
      <c r="G111" s="140" t="s">
        <v>733</v>
      </c>
      <c r="H111" s="436" t="s">
        <v>728</v>
      </c>
      <c r="I111" s="139"/>
    </row>
    <row r="112" spans="1:9" ht="26.25" thickBot="1">
      <c r="A112" s="435" t="s">
        <v>1056</v>
      </c>
      <c r="B112" s="434" t="s">
        <v>712</v>
      </c>
      <c r="C112" s="433"/>
      <c r="D112" s="192">
        <v>1.4</v>
      </c>
      <c r="E112" s="192">
        <v>3</v>
      </c>
      <c r="F112" s="192">
        <f>+D112*E112</f>
        <v>4.199999999999999</v>
      </c>
      <c r="G112" s="191">
        <v>22.4</v>
      </c>
      <c r="H112" s="166">
        <f>+F112*G112</f>
        <v>94.07999999999998</v>
      </c>
      <c r="I112" s="190"/>
    </row>
    <row r="113" spans="1:9" ht="12.75">
      <c r="A113" s="348"/>
      <c r="B113" s="146"/>
      <c r="C113" s="146"/>
      <c r="D113" s="83"/>
      <c r="E113" s="83"/>
      <c r="F113" s="84"/>
      <c r="G113" s="83"/>
      <c r="H113" s="84"/>
      <c r="I113" s="84"/>
    </row>
    <row r="114" spans="1:9" ht="18" customHeight="1" thickBot="1">
      <c r="A114" s="348"/>
      <c r="B114" s="146"/>
      <c r="C114" s="146"/>
      <c r="D114" s="83"/>
      <c r="E114" s="83"/>
      <c r="F114" s="84"/>
      <c r="G114" s="83"/>
      <c r="H114" s="84"/>
      <c r="I114" s="84"/>
    </row>
    <row r="115" spans="1:9" ht="12.75">
      <c r="A115" s="202" t="s">
        <v>773</v>
      </c>
      <c r="B115" s="110" t="s">
        <v>31</v>
      </c>
      <c r="C115" s="110"/>
      <c r="D115" s="107" t="s">
        <v>743</v>
      </c>
      <c r="E115" s="107" t="s">
        <v>742</v>
      </c>
      <c r="F115" s="109" t="s">
        <v>741</v>
      </c>
      <c r="G115" s="107" t="s">
        <v>740</v>
      </c>
      <c r="H115" s="109" t="s">
        <v>739</v>
      </c>
      <c r="I115" s="201" t="s">
        <v>771</v>
      </c>
    </row>
    <row r="116" spans="1:9" ht="13.5" thickBot="1">
      <c r="A116" s="200"/>
      <c r="B116" s="199"/>
      <c r="C116" s="199"/>
      <c r="D116" s="198" t="s">
        <v>733</v>
      </c>
      <c r="E116" s="198" t="s">
        <v>733</v>
      </c>
      <c r="F116" s="197" t="s">
        <v>734</v>
      </c>
      <c r="G116" s="198" t="s">
        <v>733</v>
      </c>
      <c r="H116" s="197" t="s">
        <v>728</v>
      </c>
      <c r="I116" s="227"/>
    </row>
    <row r="117" spans="1:9" ht="13.5" thickBot="1">
      <c r="A117" s="629"/>
      <c r="B117" s="257"/>
      <c r="C117" s="257"/>
      <c r="D117" s="256"/>
      <c r="E117" s="256"/>
      <c r="F117" s="255"/>
      <c r="G117" s="256"/>
      <c r="H117" s="255"/>
      <c r="I117" s="513"/>
    </row>
    <row r="118" spans="1:9" ht="12.75">
      <c r="A118" s="622" t="s">
        <v>1055</v>
      </c>
      <c r="B118" s="269" t="s">
        <v>712</v>
      </c>
      <c r="C118" s="287"/>
      <c r="D118" s="252"/>
      <c r="E118" s="252"/>
      <c r="F118" s="252">
        <v>26.6</v>
      </c>
      <c r="G118" s="252">
        <v>7.8</v>
      </c>
      <c r="H118" s="129">
        <f>+F118*G118</f>
        <v>207.48000000000002</v>
      </c>
      <c r="I118" s="623"/>
    </row>
    <row r="119" spans="1:9" ht="13.5" thickBot="1">
      <c r="A119" s="622" t="s">
        <v>1054</v>
      </c>
      <c r="B119" s="52" t="s">
        <v>712</v>
      </c>
      <c r="C119" s="282"/>
      <c r="D119" s="48"/>
      <c r="E119" s="48"/>
      <c r="F119" s="48">
        <v>6.5</v>
      </c>
      <c r="G119" s="48">
        <v>11.4</v>
      </c>
      <c r="H119" s="51">
        <f>+F119*G119</f>
        <v>74.10000000000001</v>
      </c>
      <c r="I119" s="46"/>
    </row>
    <row r="120" spans="1:9" ht="15" thickBot="1">
      <c r="A120" s="310" t="s">
        <v>1053</v>
      </c>
      <c r="B120" s="309" t="s">
        <v>712</v>
      </c>
      <c r="C120" s="309"/>
      <c r="D120" s="308"/>
      <c r="E120" s="308"/>
      <c r="F120" s="307"/>
      <c r="G120" s="308"/>
      <c r="H120" s="572">
        <f>SUM(H118:H119)</f>
        <v>281.58000000000004</v>
      </c>
      <c r="I120" s="571" t="s">
        <v>1052</v>
      </c>
    </row>
    <row r="121" spans="1:9" ht="9" customHeight="1" thickBot="1">
      <c r="A121" s="586"/>
      <c r="B121" s="584"/>
      <c r="C121" s="584"/>
      <c r="D121" s="256"/>
      <c r="E121" s="256"/>
      <c r="F121" s="583"/>
      <c r="G121" s="256"/>
      <c r="H121" s="582"/>
      <c r="I121" s="614"/>
    </row>
    <row r="122" spans="1:9" ht="18.75" customHeight="1" thickBot="1">
      <c r="A122" s="628" t="s">
        <v>1051</v>
      </c>
      <c r="B122" s="146"/>
      <c r="C122" s="146"/>
      <c r="D122" s="83"/>
      <c r="E122" s="83"/>
      <c r="F122" s="84"/>
      <c r="G122" s="83"/>
      <c r="H122" s="84"/>
      <c r="I122" s="84"/>
    </row>
    <row r="123" spans="1:9" ht="12.75">
      <c r="A123" s="445" t="s">
        <v>1050</v>
      </c>
      <c r="B123" s="269" t="s">
        <v>712</v>
      </c>
      <c r="C123" s="287"/>
      <c r="D123" s="252"/>
      <c r="E123" s="252"/>
      <c r="F123" s="252">
        <v>77</v>
      </c>
      <c r="G123" s="252">
        <v>0.15</v>
      </c>
      <c r="H123" s="129">
        <f>+F123*G123</f>
        <v>11.549999999999999</v>
      </c>
      <c r="I123" s="623"/>
    </row>
    <row r="124" spans="1:9" ht="13.5" thickBot="1">
      <c r="A124" s="610" t="s">
        <v>1049</v>
      </c>
      <c r="B124" s="52" t="s">
        <v>712</v>
      </c>
      <c r="C124" s="282"/>
      <c r="D124" s="48"/>
      <c r="E124" s="48"/>
      <c r="F124" s="48">
        <v>58.4</v>
      </c>
      <c r="G124" s="48">
        <v>0.15</v>
      </c>
      <c r="H124" s="51">
        <f>+F124*G124</f>
        <v>8.76</v>
      </c>
      <c r="I124" s="46"/>
    </row>
    <row r="125" spans="1:9" ht="26.25" thickBot="1">
      <c r="A125" s="445" t="s">
        <v>1048</v>
      </c>
      <c r="B125" s="269" t="s">
        <v>712</v>
      </c>
      <c r="C125" s="287"/>
      <c r="D125" s="252"/>
      <c r="E125" s="252"/>
      <c r="F125" s="252">
        <v>108</v>
      </c>
      <c r="G125" s="252">
        <v>0.2</v>
      </c>
      <c r="H125" s="129">
        <f>+F125*G125</f>
        <v>21.6</v>
      </c>
      <c r="I125" s="627" t="s">
        <v>1047</v>
      </c>
    </row>
    <row r="126" spans="1:9" ht="15" thickBot="1">
      <c r="A126" s="310" t="s">
        <v>1046</v>
      </c>
      <c r="B126" s="309" t="s">
        <v>712</v>
      </c>
      <c r="C126" s="309"/>
      <c r="D126" s="308"/>
      <c r="E126" s="308"/>
      <c r="F126" s="307"/>
      <c r="G126" s="308"/>
      <c r="H126" s="572">
        <f>SUM(H123:H125)</f>
        <v>41.91</v>
      </c>
      <c r="I126" s="571" t="s">
        <v>1045</v>
      </c>
    </row>
    <row r="127" spans="1:9" ht="9" customHeight="1" thickBot="1">
      <c r="A127" s="586"/>
      <c r="B127" s="584"/>
      <c r="C127" s="584"/>
      <c r="D127" s="256"/>
      <c r="E127" s="256"/>
      <c r="F127" s="583"/>
      <c r="G127" s="256"/>
      <c r="H127" s="582"/>
      <c r="I127" s="614"/>
    </row>
    <row r="128" spans="1:9" ht="18" customHeight="1" thickBot="1">
      <c r="A128" s="626" t="s">
        <v>1044</v>
      </c>
      <c r="B128" s="365"/>
      <c r="C128" s="365"/>
      <c r="D128" s="625"/>
      <c r="E128" s="625"/>
      <c r="F128" s="366"/>
      <c r="G128" s="625"/>
      <c r="H128" s="366"/>
      <c r="I128" s="624"/>
    </row>
    <row r="129" spans="1:9" ht="18" customHeight="1">
      <c r="A129" s="622" t="s">
        <v>1043</v>
      </c>
      <c r="B129" s="269" t="s">
        <v>712</v>
      </c>
      <c r="C129" s="287"/>
      <c r="D129" s="252"/>
      <c r="E129" s="252"/>
      <c r="F129" s="252">
        <v>5.2</v>
      </c>
      <c r="G129" s="252">
        <f>2*2.75</f>
        <v>5.5</v>
      </c>
      <c r="H129" s="129">
        <f>+F129*G129</f>
        <v>28.6</v>
      </c>
      <c r="I129" s="623"/>
    </row>
    <row r="130" spans="1:9" ht="18" customHeight="1">
      <c r="A130" s="622" t="s">
        <v>1042</v>
      </c>
      <c r="B130" s="360" t="s">
        <v>712</v>
      </c>
      <c r="C130" s="339"/>
      <c r="D130" s="511"/>
      <c r="E130" s="511"/>
      <c r="F130" s="511">
        <v>8.7</v>
      </c>
      <c r="G130" s="511">
        <v>7.8</v>
      </c>
      <c r="H130" s="510">
        <f>+F130*G130</f>
        <v>67.86</v>
      </c>
      <c r="I130" s="509"/>
    </row>
    <row r="131" spans="1:9" ht="18" customHeight="1">
      <c r="A131" s="622" t="s">
        <v>1041</v>
      </c>
      <c r="B131" s="61" t="s">
        <v>712</v>
      </c>
      <c r="C131" s="297"/>
      <c r="D131" s="57"/>
      <c r="E131" s="57"/>
      <c r="F131" s="57">
        <v>2.6</v>
      </c>
      <c r="G131" s="57">
        <v>1.6</v>
      </c>
      <c r="H131" s="60">
        <f>+F131*G131</f>
        <v>4.16</v>
      </c>
      <c r="I131" s="55"/>
    </row>
    <row r="132" spans="1:9" ht="18" customHeight="1" thickBot="1">
      <c r="A132" s="622" t="s">
        <v>1040</v>
      </c>
      <c r="B132" s="451" t="s">
        <v>712</v>
      </c>
      <c r="C132" s="131"/>
      <c r="D132" s="130"/>
      <c r="E132" s="130"/>
      <c r="F132" s="130">
        <v>2.4</v>
      </c>
      <c r="G132" s="130">
        <v>11.4</v>
      </c>
      <c r="H132" s="621">
        <f>+F132*G132</f>
        <v>27.36</v>
      </c>
      <c r="I132" s="620"/>
    </row>
    <row r="133" spans="1:9" ht="15" thickBot="1">
      <c r="A133" s="310" t="s">
        <v>1039</v>
      </c>
      <c r="B133" s="309" t="s">
        <v>712</v>
      </c>
      <c r="C133" s="309"/>
      <c r="D133" s="308"/>
      <c r="E133" s="308"/>
      <c r="F133" s="307"/>
      <c r="G133" s="308"/>
      <c r="H133" s="166">
        <f>SUM(H129:H132)</f>
        <v>127.98</v>
      </c>
      <c r="I133" s="571" t="s">
        <v>1038</v>
      </c>
    </row>
    <row r="134" spans="1:9" ht="12.75">
      <c r="A134" s="348"/>
      <c r="B134" s="146"/>
      <c r="C134" s="146"/>
      <c r="D134" s="83"/>
      <c r="E134" s="83"/>
      <c r="F134" s="84"/>
      <c r="G134" s="83"/>
      <c r="H134" s="84"/>
      <c r="I134" s="84"/>
    </row>
    <row r="135" spans="1:9" ht="12.75">
      <c r="A135" s="348"/>
      <c r="B135" s="146"/>
      <c r="C135" s="146"/>
      <c r="D135" s="83"/>
      <c r="E135" s="83"/>
      <c r="F135" s="84"/>
      <c r="G135" s="83"/>
      <c r="H135" s="84"/>
      <c r="I135" s="84"/>
    </row>
    <row r="136" spans="1:9" ht="18">
      <c r="A136" s="619" t="s">
        <v>1037</v>
      </c>
      <c r="B136" s="149"/>
      <c r="C136" s="149"/>
      <c r="D136" s="148"/>
      <c r="E136" s="148"/>
      <c r="F136" s="147"/>
      <c r="G136" s="148"/>
      <c r="H136" s="147"/>
      <c r="I136" s="147"/>
    </row>
    <row r="137" spans="1:9" ht="8.25" customHeight="1">
      <c r="A137" s="348"/>
      <c r="B137" s="146"/>
      <c r="C137" s="146"/>
      <c r="D137" s="83"/>
      <c r="E137" s="83"/>
      <c r="F137" s="84"/>
      <c r="G137" s="83"/>
      <c r="H137" s="84"/>
      <c r="I137" s="84"/>
    </row>
    <row r="138" ht="6" customHeight="1" thickBot="1"/>
    <row r="139" spans="1:9" ht="12.75">
      <c r="A139" s="202" t="s">
        <v>773</v>
      </c>
      <c r="B139" s="110" t="s">
        <v>31</v>
      </c>
      <c r="C139" s="107" t="s">
        <v>772</v>
      </c>
      <c r="D139" s="107" t="s">
        <v>1036</v>
      </c>
      <c r="E139" s="107" t="s">
        <v>743</v>
      </c>
      <c r="F139" s="109" t="s">
        <v>741</v>
      </c>
      <c r="G139" s="107" t="s">
        <v>743</v>
      </c>
      <c r="H139" s="109" t="s">
        <v>739</v>
      </c>
      <c r="I139" s="201" t="s">
        <v>771</v>
      </c>
    </row>
    <row r="140" spans="1:9" ht="13.5" thickBot="1">
      <c r="A140" s="232"/>
      <c r="B140" s="143"/>
      <c r="C140" s="140" t="s">
        <v>760</v>
      </c>
      <c r="D140" s="140" t="s">
        <v>733</v>
      </c>
      <c r="E140" s="140" t="s">
        <v>733</v>
      </c>
      <c r="F140" s="142" t="s">
        <v>734</v>
      </c>
      <c r="G140" s="140" t="s">
        <v>733</v>
      </c>
      <c r="H140" s="142" t="s">
        <v>728</v>
      </c>
      <c r="I140" s="227"/>
    </row>
    <row r="141" spans="1:9" ht="17.25" customHeight="1" thickBot="1">
      <c r="A141" s="455" t="s">
        <v>1035</v>
      </c>
      <c r="B141" s="137"/>
      <c r="C141" s="135"/>
      <c r="D141" s="135"/>
      <c r="E141" s="135"/>
      <c r="F141" s="136"/>
      <c r="G141" s="135"/>
      <c r="H141" s="136"/>
      <c r="I141" s="589"/>
    </row>
    <row r="142" spans="1:9" ht="13.5" thickBot="1">
      <c r="A142" s="292" t="s">
        <v>1034</v>
      </c>
      <c r="B142" s="186" t="s">
        <v>712</v>
      </c>
      <c r="C142" s="618">
        <v>14</v>
      </c>
      <c r="D142" s="458">
        <v>0.88</v>
      </c>
      <c r="E142" s="458">
        <v>9.05</v>
      </c>
      <c r="F142" s="458">
        <f>PI()*0.88^2/4</f>
        <v>0.608212337734984</v>
      </c>
      <c r="G142" s="458">
        <f>14*9.05</f>
        <v>126.70000000000002</v>
      </c>
      <c r="H142" s="617">
        <f>+F142*G142</f>
        <v>77.06050319102248</v>
      </c>
      <c r="I142" s="601" t="s">
        <v>1033</v>
      </c>
    </row>
    <row r="143" spans="1:9" ht="13.5" thickBot="1">
      <c r="A143" s="292" t="s">
        <v>1032</v>
      </c>
      <c r="B143" s="186" t="s">
        <v>712</v>
      </c>
      <c r="C143" s="186"/>
      <c r="D143" s="458"/>
      <c r="E143" s="458"/>
      <c r="F143" s="458">
        <f>0.1*F142</f>
        <v>0.0608212337734984</v>
      </c>
      <c r="G143" s="458">
        <f>14*9.05</f>
        <v>126.70000000000002</v>
      </c>
      <c r="H143" s="617">
        <f>+F143*G143</f>
        <v>7.706050319102248</v>
      </c>
      <c r="I143" s="601" t="s">
        <v>1031</v>
      </c>
    </row>
    <row r="144" spans="1:9" ht="15" thickBot="1">
      <c r="A144" s="310" t="s">
        <v>1030</v>
      </c>
      <c r="B144" s="309" t="s">
        <v>712</v>
      </c>
      <c r="C144" s="309"/>
      <c r="D144" s="308"/>
      <c r="E144" s="308"/>
      <c r="F144" s="307"/>
      <c r="G144" s="308"/>
      <c r="H144" s="572">
        <f>SUM(H142:H143)</f>
        <v>84.76655351012472</v>
      </c>
      <c r="I144" s="571" t="s">
        <v>1029</v>
      </c>
    </row>
    <row r="145" spans="1:9" ht="24" customHeight="1" thickBot="1">
      <c r="A145" s="586" t="s">
        <v>1028</v>
      </c>
      <c r="B145" s="616" t="s">
        <v>710</v>
      </c>
      <c r="C145" s="43"/>
      <c r="D145" s="38"/>
      <c r="E145" s="38"/>
      <c r="F145" s="38">
        <v>0.1</v>
      </c>
      <c r="G145" s="503">
        <f>+H144</f>
        <v>84.76655351012472</v>
      </c>
      <c r="H145" s="615">
        <f>+G145*F145</f>
        <v>8.476655351012473</v>
      </c>
      <c r="I145" s="501" t="s">
        <v>1027</v>
      </c>
    </row>
    <row r="146" spans="1:9" ht="9" customHeight="1" thickBot="1">
      <c r="A146" s="586"/>
      <c r="B146" s="584"/>
      <c r="C146" s="584"/>
      <c r="D146" s="256"/>
      <c r="E146" s="256"/>
      <c r="F146" s="583"/>
      <c r="G146" s="256"/>
      <c r="H146" s="582"/>
      <c r="I146" s="614"/>
    </row>
    <row r="147" spans="1:9" ht="12.75">
      <c r="A147" s="202" t="s">
        <v>773</v>
      </c>
      <c r="B147" s="110" t="s">
        <v>31</v>
      </c>
      <c r="C147" s="110"/>
      <c r="D147" s="107" t="s">
        <v>772</v>
      </c>
      <c r="E147" s="107"/>
      <c r="F147" s="109"/>
      <c r="G147" s="107" t="s">
        <v>743</v>
      </c>
      <c r="H147" s="109" t="s">
        <v>743</v>
      </c>
      <c r="I147" s="201" t="s">
        <v>771</v>
      </c>
    </row>
    <row r="148" spans="1:9" ht="13.5" thickBot="1">
      <c r="A148" s="232"/>
      <c r="B148" s="143"/>
      <c r="C148" s="143"/>
      <c r="D148" s="140" t="s">
        <v>760</v>
      </c>
      <c r="E148" s="140"/>
      <c r="F148" s="142"/>
      <c r="G148" s="140" t="s">
        <v>733</v>
      </c>
      <c r="H148" s="142" t="s">
        <v>733</v>
      </c>
      <c r="I148" s="227"/>
    </row>
    <row r="149" spans="1:9" ht="15" thickBot="1">
      <c r="A149" s="455" t="s">
        <v>1026</v>
      </c>
      <c r="B149" s="137"/>
      <c r="C149" s="137"/>
      <c r="D149" s="135"/>
      <c r="E149" s="135"/>
      <c r="F149" s="136"/>
      <c r="G149" s="135"/>
      <c r="H149" s="136"/>
      <c r="I149" s="589"/>
    </row>
    <row r="150" spans="1:9" ht="24" customHeight="1">
      <c r="A150" s="613" t="s">
        <v>1025</v>
      </c>
      <c r="B150" s="269" t="s">
        <v>1020</v>
      </c>
      <c r="C150" s="287"/>
      <c r="D150" s="252">
        <v>14</v>
      </c>
      <c r="E150" s="252"/>
      <c r="F150" s="252"/>
      <c r="G150" s="252">
        <f>+(9+1.2-G151)</f>
        <v>6.699999999999999</v>
      </c>
      <c r="H150" s="612">
        <f>G150*D150</f>
        <v>93.79999999999998</v>
      </c>
      <c r="I150" s="611" t="s">
        <v>1024</v>
      </c>
    </row>
    <row r="151" spans="1:9" ht="13.5" thickBot="1">
      <c r="A151" s="610" t="s">
        <v>1023</v>
      </c>
      <c r="B151" s="451" t="s">
        <v>1020</v>
      </c>
      <c r="C151" s="131"/>
      <c r="D151" s="130">
        <v>14</v>
      </c>
      <c r="E151" s="130"/>
      <c r="F151" s="130"/>
      <c r="G151" s="130">
        <v>3.5</v>
      </c>
      <c r="H151" s="528">
        <f>G151*D151</f>
        <v>49</v>
      </c>
      <c r="I151" s="605" t="s">
        <v>1022</v>
      </c>
    </row>
    <row r="152" spans="1:9" ht="7.5" customHeight="1">
      <c r="A152" s="185"/>
      <c r="B152" s="149"/>
      <c r="C152" s="149"/>
      <c r="D152" s="148"/>
      <c r="E152" s="148"/>
      <c r="F152" s="147"/>
      <c r="G152" s="148"/>
      <c r="H152" s="147"/>
      <c r="I152" s="147"/>
    </row>
    <row r="153" ht="6" customHeight="1" thickBot="1"/>
    <row r="154" spans="1:9" ht="12.75">
      <c r="A154" s="202" t="s">
        <v>773</v>
      </c>
      <c r="B154" s="110" t="s">
        <v>31</v>
      </c>
      <c r="C154" s="110"/>
      <c r="D154" s="107" t="s">
        <v>772</v>
      </c>
      <c r="E154" s="107"/>
      <c r="F154" s="109"/>
      <c r="G154" s="107" t="s">
        <v>743</v>
      </c>
      <c r="H154" s="109" t="s">
        <v>743</v>
      </c>
      <c r="I154" s="201" t="s">
        <v>771</v>
      </c>
    </row>
    <row r="155" spans="1:9" ht="13.5" thickBot="1">
      <c r="A155" s="232"/>
      <c r="B155" s="143"/>
      <c r="C155" s="143"/>
      <c r="D155" s="140" t="s">
        <v>760</v>
      </c>
      <c r="E155" s="140"/>
      <c r="F155" s="142"/>
      <c r="G155" s="140" t="s">
        <v>733</v>
      </c>
      <c r="H155" s="142" t="s">
        <v>733</v>
      </c>
      <c r="I155" s="227"/>
    </row>
    <row r="156" spans="1:9" ht="15" thickBot="1">
      <c r="A156" s="455" t="s">
        <v>1018</v>
      </c>
      <c r="B156" s="137"/>
      <c r="C156" s="137"/>
      <c r="D156" s="135"/>
      <c r="E156" s="135"/>
      <c r="F156" s="136"/>
      <c r="G156" s="135"/>
      <c r="H156" s="136"/>
      <c r="I156" s="589"/>
    </row>
    <row r="157" spans="1:9" ht="13.5" thickBot="1">
      <c r="A157" s="292" t="s">
        <v>1021</v>
      </c>
      <c r="B157" s="186" t="s">
        <v>1020</v>
      </c>
      <c r="C157" s="186"/>
      <c r="D157" s="458">
        <v>32</v>
      </c>
      <c r="E157" s="458"/>
      <c r="F157" s="458"/>
      <c r="G157" s="458">
        <v>9.75</v>
      </c>
      <c r="H157" s="572">
        <f>G157*D157</f>
        <v>312</v>
      </c>
      <c r="I157" s="601" t="s">
        <v>1019</v>
      </c>
    </row>
    <row r="158" ht="6" customHeight="1" thickBot="1"/>
    <row r="159" spans="1:9" ht="12.75">
      <c r="A159" s="202" t="s">
        <v>773</v>
      </c>
      <c r="B159" s="110" t="s">
        <v>31</v>
      </c>
      <c r="C159" s="110"/>
      <c r="D159" s="107" t="s">
        <v>772</v>
      </c>
      <c r="E159" s="107"/>
      <c r="F159" s="109"/>
      <c r="G159" s="107" t="s">
        <v>743</v>
      </c>
      <c r="H159" s="109" t="s">
        <v>743</v>
      </c>
      <c r="I159" s="201" t="s">
        <v>771</v>
      </c>
    </row>
    <row r="160" spans="1:9" ht="13.5" thickBot="1">
      <c r="A160" s="232"/>
      <c r="B160" s="143"/>
      <c r="C160" s="143"/>
      <c r="D160" s="140" t="s">
        <v>760</v>
      </c>
      <c r="E160" s="140"/>
      <c r="F160" s="142"/>
      <c r="G160" s="140" t="s">
        <v>733</v>
      </c>
      <c r="H160" s="142" t="s">
        <v>733</v>
      </c>
      <c r="I160" s="227"/>
    </row>
    <row r="161" spans="1:9" ht="15" thickBot="1">
      <c r="A161" s="455" t="s">
        <v>1018</v>
      </c>
      <c r="B161" s="137"/>
      <c r="C161" s="137"/>
      <c r="D161" s="135"/>
      <c r="E161" s="135"/>
      <c r="F161" s="136"/>
      <c r="G161" s="135"/>
      <c r="H161" s="136"/>
      <c r="I161" s="589"/>
    </row>
    <row r="162" spans="1:9" ht="21" customHeight="1" thickBot="1">
      <c r="A162" s="609" t="s">
        <v>1017</v>
      </c>
      <c r="B162" s="257"/>
      <c r="C162" s="257"/>
      <c r="D162" s="256"/>
      <c r="E162" s="256"/>
      <c r="F162" s="255"/>
      <c r="G162" s="256"/>
      <c r="H162" s="255"/>
      <c r="I162" s="608"/>
    </row>
    <row r="163" spans="1:9" ht="24.75" customHeight="1" thickBot="1">
      <c r="A163" s="607" t="s">
        <v>1011</v>
      </c>
      <c r="B163" s="282" t="s">
        <v>733</v>
      </c>
      <c r="C163" s="282"/>
      <c r="D163" s="458">
        <v>32</v>
      </c>
      <c r="E163" s="458"/>
      <c r="F163" s="458"/>
      <c r="G163" s="458">
        <v>9</v>
      </c>
      <c r="H163" s="572">
        <f>G163*D163</f>
        <v>288</v>
      </c>
      <c r="I163" s="601" t="s">
        <v>1016</v>
      </c>
    </row>
    <row r="164" spans="1:9" ht="20.25" customHeight="1" thickBot="1">
      <c r="A164" s="515" t="s">
        <v>1015</v>
      </c>
      <c r="B164" s="257"/>
      <c r="C164" s="257"/>
      <c r="D164" s="256"/>
      <c r="E164" s="256"/>
      <c r="F164" s="255"/>
      <c r="G164" s="256"/>
      <c r="H164" s="255"/>
      <c r="I164" s="581"/>
    </row>
    <row r="165" spans="1:9" ht="33" customHeight="1" thickBot="1">
      <c r="A165" s="606" t="s">
        <v>1014</v>
      </c>
      <c r="B165" s="332" t="s">
        <v>733</v>
      </c>
      <c r="C165" s="334"/>
      <c r="D165" s="130">
        <v>5</v>
      </c>
      <c r="E165" s="130"/>
      <c r="F165" s="130"/>
      <c r="G165" s="130">
        <v>8</v>
      </c>
      <c r="H165" s="528">
        <f>G165*D165</f>
        <v>40</v>
      </c>
      <c r="I165" s="605" t="s">
        <v>1013</v>
      </c>
    </row>
    <row r="166" spans="1:9" ht="21.75" customHeight="1" thickBot="1">
      <c r="A166" s="515" t="s">
        <v>1012</v>
      </c>
      <c r="B166" s="257"/>
      <c r="C166" s="257"/>
      <c r="D166" s="256"/>
      <c r="E166" s="256"/>
      <c r="F166" s="255"/>
      <c r="G166" s="256"/>
      <c r="H166" s="255"/>
      <c r="I166" s="256"/>
    </row>
    <row r="167" spans="1:9" ht="21" customHeight="1" thickBot="1">
      <c r="A167" s="604" t="s">
        <v>1011</v>
      </c>
      <c r="B167" s="164" t="s">
        <v>733</v>
      </c>
      <c r="C167" s="246"/>
      <c r="D167" s="603">
        <v>5</v>
      </c>
      <c r="E167" s="603"/>
      <c r="F167" s="603"/>
      <c r="G167" s="603">
        <v>6</v>
      </c>
      <c r="H167" s="602">
        <f>G167*D167</f>
        <v>30</v>
      </c>
      <c r="I167" s="601" t="s">
        <v>1010</v>
      </c>
    </row>
    <row r="168" spans="1:9" ht="6" customHeight="1" thickBot="1">
      <c r="A168" s="586"/>
      <c r="B168" s="585"/>
      <c r="C168" s="584"/>
      <c r="D168" s="256"/>
      <c r="E168" s="256"/>
      <c r="F168" s="583"/>
      <c r="G168" s="256"/>
      <c r="H168" s="582"/>
      <c r="I168" s="573"/>
    </row>
    <row r="169" spans="1:9" ht="12.75">
      <c r="A169" s="202" t="s">
        <v>773</v>
      </c>
      <c r="B169" s="110" t="s">
        <v>31</v>
      </c>
      <c r="C169" s="110"/>
      <c r="D169" s="107" t="s">
        <v>743</v>
      </c>
      <c r="E169" s="107" t="s">
        <v>772</v>
      </c>
      <c r="F169" s="109" t="s">
        <v>741</v>
      </c>
      <c r="G169" s="107" t="s">
        <v>1009</v>
      </c>
      <c r="H169" s="600" t="s">
        <v>739</v>
      </c>
      <c r="I169" s="106" t="s">
        <v>771</v>
      </c>
    </row>
    <row r="170" spans="1:9" ht="13.5" thickBot="1">
      <c r="A170" s="232"/>
      <c r="B170" s="143"/>
      <c r="C170" s="199"/>
      <c r="D170" s="198" t="s">
        <v>733</v>
      </c>
      <c r="E170" s="198" t="s">
        <v>760</v>
      </c>
      <c r="F170" s="197" t="s">
        <v>734</v>
      </c>
      <c r="G170" s="198" t="s">
        <v>733</v>
      </c>
      <c r="H170" s="599" t="s">
        <v>728</v>
      </c>
      <c r="I170" s="139"/>
    </row>
    <row r="171" spans="1:9" ht="15" thickBot="1">
      <c r="A171" s="598" t="s">
        <v>1008</v>
      </c>
      <c r="B171" s="597" t="s">
        <v>712</v>
      </c>
      <c r="C171" s="596"/>
      <c r="D171" s="75">
        <v>4</v>
      </c>
      <c r="E171" s="75">
        <v>5</v>
      </c>
      <c r="F171" s="75">
        <f>0.2*0.2</f>
        <v>0.04000000000000001</v>
      </c>
      <c r="G171" s="75">
        <f>+D171*E171</f>
        <v>20</v>
      </c>
      <c r="H171" s="595">
        <f>+F171*G171</f>
        <v>0.8000000000000002</v>
      </c>
      <c r="I171" s="594" t="s">
        <v>1007</v>
      </c>
    </row>
    <row r="172" spans="1:9" ht="21.75" customHeight="1" thickBot="1">
      <c r="A172" s="593" t="s">
        <v>1006</v>
      </c>
      <c r="B172" s="43" t="s">
        <v>760</v>
      </c>
      <c r="C172" s="162"/>
      <c r="D172" s="162"/>
      <c r="E172" s="458">
        <v>5</v>
      </c>
      <c r="F172" s="162"/>
      <c r="G172" s="162"/>
      <c r="H172" s="592">
        <v>5</v>
      </c>
      <c r="I172" s="160" t="s">
        <v>1005</v>
      </c>
    </row>
    <row r="173" ht="12.75">
      <c r="A173" s="34"/>
    </row>
    <row r="174" ht="15.75">
      <c r="A174" s="185" t="s">
        <v>1004</v>
      </c>
    </row>
    <row r="175" ht="13.5" thickBot="1"/>
    <row r="176" spans="1:9" ht="12.75">
      <c r="A176" s="202" t="s">
        <v>773</v>
      </c>
      <c r="B176" s="110" t="s">
        <v>31</v>
      </c>
      <c r="C176" s="110"/>
      <c r="D176" s="107" t="s">
        <v>743</v>
      </c>
      <c r="E176" s="107" t="s">
        <v>742</v>
      </c>
      <c r="F176" s="109" t="s">
        <v>741</v>
      </c>
      <c r="G176" s="107" t="s">
        <v>740</v>
      </c>
      <c r="H176" s="109" t="s">
        <v>739</v>
      </c>
      <c r="I176" s="201" t="s">
        <v>771</v>
      </c>
    </row>
    <row r="177" spans="1:9" ht="13.5" thickBot="1">
      <c r="A177" s="200"/>
      <c r="B177" s="199"/>
      <c r="C177" s="199"/>
      <c r="D177" s="198" t="s">
        <v>733</v>
      </c>
      <c r="E177" s="198" t="s">
        <v>733</v>
      </c>
      <c r="F177" s="197" t="s">
        <v>734</v>
      </c>
      <c r="G177" s="198" t="s">
        <v>733</v>
      </c>
      <c r="H177" s="197" t="s">
        <v>728</v>
      </c>
      <c r="I177" s="227"/>
    </row>
    <row r="178" spans="1:9" ht="15">
      <c r="A178" s="455" t="s">
        <v>1003</v>
      </c>
      <c r="B178" s="591"/>
      <c r="C178" s="590" t="s">
        <v>1002</v>
      </c>
      <c r="D178" s="135"/>
      <c r="E178" s="135"/>
      <c r="F178" s="136"/>
      <c r="G178" s="135"/>
      <c r="H178" s="136"/>
      <c r="I178" s="589"/>
    </row>
    <row r="179" spans="1:9" ht="14.25">
      <c r="A179" s="442" t="s">
        <v>999</v>
      </c>
      <c r="B179" s="178" t="s">
        <v>712</v>
      </c>
      <c r="C179" s="249"/>
      <c r="D179" s="57"/>
      <c r="E179" s="57"/>
      <c r="F179" s="57">
        <v>3.79</v>
      </c>
      <c r="G179" s="57">
        <v>11.4</v>
      </c>
      <c r="H179" s="248">
        <f>+F179*G179</f>
        <v>43.206</v>
      </c>
      <c r="I179" s="588"/>
    </row>
    <row r="180" spans="1:9" ht="15" thickBot="1">
      <c r="A180" s="356" t="s">
        <v>998</v>
      </c>
      <c r="B180" s="173" t="s">
        <v>712</v>
      </c>
      <c r="C180" s="246"/>
      <c r="D180" s="577"/>
      <c r="E180" s="577"/>
      <c r="F180" s="577">
        <f>2.4+2.4</f>
        <v>4.8</v>
      </c>
      <c r="G180" s="577">
        <v>4.6</v>
      </c>
      <c r="H180" s="576">
        <f>+F180*G180</f>
        <v>22.08</v>
      </c>
      <c r="I180" s="575"/>
    </row>
    <row r="181" spans="1:9" ht="15" thickBot="1">
      <c r="A181" s="586" t="s">
        <v>1001</v>
      </c>
      <c r="B181" s="164" t="s">
        <v>712</v>
      </c>
      <c r="C181" s="587"/>
      <c r="D181" s="38"/>
      <c r="E181" s="38"/>
      <c r="F181" s="42"/>
      <c r="G181" s="38"/>
      <c r="H181" s="574">
        <f>SUM(H179:H180)</f>
        <v>65.286</v>
      </c>
      <c r="I181" s="573"/>
    </row>
    <row r="182" spans="1:9" ht="6" customHeight="1" thickBot="1">
      <c r="A182" s="586"/>
      <c r="B182" s="585"/>
      <c r="C182" s="584"/>
      <c r="D182" s="256"/>
      <c r="E182" s="256"/>
      <c r="F182" s="583"/>
      <c r="G182" s="256"/>
      <c r="H182" s="582"/>
      <c r="I182" s="573"/>
    </row>
    <row r="183" spans="1:9" ht="15.75" thickBot="1">
      <c r="A183" s="515" t="s">
        <v>1000</v>
      </c>
      <c r="B183" s="257"/>
      <c r="C183" s="257"/>
      <c r="D183" s="256"/>
      <c r="E183" s="256"/>
      <c r="F183" s="255"/>
      <c r="G183" s="256"/>
      <c r="H183" s="255"/>
      <c r="I183" s="581"/>
    </row>
    <row r="184" spans="1:9" ht="14.25">
      <c r="A184" s="580" t="s">
        <v>999</v>
      </c>
      <c r="B184" s="287" t="s">
        <v>712</v>
      </c>
      <c r="C184" s="287"/>
      <c r="D184" s="252"/>
      <c r="E184" s="252"/>
      <c r="F184" s="252">
        <v>3.79</v>
      </c>
      <c r="G184" s="252">
        <v>12.4</v>
      </c>
      <c r="H184" s="251">
        <f>+F184*G184</f>
        <v>46.996</v>
      </c>
      <c r="I184" s="579"/>
    </row>
    <row r="185" spans="1:9" ht="15" thickBot="1">
      <c r="A185" s="578" t="s">
        <v>998</v>
      </c>
      <c r="B185" s="354" t="s">
        <v>712</v>
      </c>
      <c r="C185" s="354"/>
      <c r="D185" s="577"/>
      <c r="E185" s="577"/>
      <c r="F185" s="577">
        <v>2.4</v>
      </c>
      <c r="G185" s="577">
        <v>1</v>
      </c>
      <c r="H185" s="576">
        <f>+F185*G185</f>
        <v>2.4</v>
      </c>
      <c r="I185" s="575"/>
    </row>
    <row r="186" spans="1:9" ht="15" thickBot="1">
      <c r="A186" s="507" t="s">
        <v>997</v>
      </c>
      <c r="B186" s="186" t="s">
        <v>712</v>
      </c>
      <c r="C186" s="43"/>
      <c r="D186" s="38"/>
      <c r="E186" s="38"/>
      <c r="F186" s="42"/>
      <c r="G186" s="38"/>
      <c r="H186" s="574">
        <f>SUM(H184:H185)</f>
        <v>49.396</v>
      </c>
      <c r="I186" s="573"/>
    </row>
    <row r="187" spans="1:9" ht="15" thickBot="1">
      <c r="A187" s="310" t="s">
        <v>996</v>
      </c>
      <c r="B187" s="309" t="s">
        <v>712</v>
      </c>
      <c r="C187" s="309"/>
      <c r="D187" s="308"/>
      <c r="E187" s="308"/>
      <c r="F187" s="307"/>
      <c r="G187" s="308"/>
      <c r="H187" s="572">
        <f>+H186+H181</f>
        <v>114.682</v>
      </c>
      <c r="I187" s="571" t="s">
        <v>995</v>
      </c>
    </row>
    <row r="188" spans="1:9" ht="18" customHeight="1" thickBot="1">
      <c r="A188" s="570" t="s">
        <v>994</v>
      </c>
      <c r="B188" s="309" t="s">
        <v>710</v>
      </c>
      <c r="C188" s="309"/>
      <c r="D188" s="308"/>
      <c r="E188" s="308"/>
      <c r="F188" s="308">
        <v>0.16</v>
      </c>
      <c r="G188" s="569">
        <f>+H187</f>
        <v>114.682</v>
      </c>
      <c r="H188" s="502">
        <f>+G188*F188+2</f>
        <v>20.34912</v>
      </c>
      <c r="I188" s="329" t="s">
        <v>1182</v>
      </c>
    </row>
    <row r="189" spans="1:9" ht="15" thickBot="1">
      <c r="A189" s="537"/>
      <c r="B189" s="121"/>
      <c r="C189" s="121"/>
      <c r="D189" s="114"/>
      <c r="E189" s="114"/>
      <c r="F189" s="120"/>
      <c r="G189" s="114"/>
      <c r="H189" s="119"/>
      <c r="I189" s="568"/>
    </row>
    <row r="190" spans="1:9" ht="12.75">
      <c r="A190" s="272" t="s">
        <v>773</v>
      </c>
      <c r="B190" s="145" t="s">
        <v>31</v>
      </c>
      <c r="C190" s="478" t="s">
        <v>772</v>
      </c>
      <c r="D190" s="107" t="s">
        <v>993</v>
      </c>
      <c r="E190" s="107"/>
      <c r="F190" s="109"/>
      <c r="G190" s="107"/>
      <c r="H190" s="201" t="s">
        <v>992</v>
      </c>
      <c r="I190" s="106"/>
    </row>
    <row r="191" spans="1:9" ht="13.5" thickBot="1">
      <c r="A191" s="271"/>
      <c r="B191" s="477"/>
      <c r="C191" s="476" t="s">
        <v>760</v>
      </c>
      <c r="D191" s="198" t="s">
        <v>733</v>
      </c>
      <c r="E191" s="198"/>
      <c r="F191" s="197"/>
      <c r="G191" s="198"/>
      <c r="H191" s="196" t="s">
        <v>733</v>
      </c>
      <c r="I191" s="222"/>
    </row>
    <row r="192" spans="1:9" ht="21" customHeight="1" thickBot="1">
      <c r="A192" s="567" t="s">
        <v>991</v>
      </c>
      <c r="B192" s="287" t="s">
        <v>80</v>
      </c>
      <c r="C192" s="566">
        <v>191</v>
      </c>
      <c r="D192" s="125">
        <v>0.075</v>
      </c>
      <c r="E192" s="125"/>
      <c r="F192" s="549"/>
      <c r="G192" s="128"/>
      <c r="H192" s="330">
        <f>+C192*D192</f>
        <v>14.325</v>
      </c>
      <c r="I192" s="565"/>
    </row>
    <row r="193" spans="1:9" ht="39" thickBot="1">
      <c r="A193" s="564" t="s">
        <v>990</v>
      </c>
      <c r="B193" s="297" t="s">
        <v>80</v>
      </c>
      <c r="C193" s="563">
        <f>28/2+3</f>
        <v>17</v>
      </c>
      <c r="D193" s="95">
        <f>2+1.5</f>
        <v>3.5</v>
      </c>
      <c r="E193" s="95"/>
      <c r="F193" s="562"/>
      <c r="G193" s="95"/>
      <c r="H193" s="330">
        <f>+C193*D193</f>
        <v>59.5</v>
      </c>
      <c r="I193" s="561" t="s">
        <v>989</v>
      </c>
    </row>
    <row r="194" spans="1:9" ht="18.75" customHeight="1" thickBot="1">
      <c r="A194" s="559" t="s">
        <v>988</v>
      </c>
      <c r="B194" s="282" t="s">
        <v>80</v>
      </c>
      <c r="C194" s="558">
        <v>20</v>
      </c>
      <c r="D194" s="543">
        <v>4</v>
      </c>
      <c r="E194" s="543"/>
      <c r="F194" s="544"/>
      <c r="G194" s="543"/>
      <c r="H194" s="330">
        <f>+C194*D194</f>
        <v>80</v>
      </c>
      <c r="I194" s="560"/>
    </row>
    <row r="195" spans="1:9" ht="30.75" customHeight="1" thickBot="1">
      <c r="A195" s="559" t="s">
        <v>987</v>
      </c>
      <c r="B195" s="282" t="s">
        <v>80</v>
      </c>
      <c r="C195" s="558">
        <f>6*5</f>
        <v>30</v>
      </c>
      <c r="D195" s="543">
        <v>2.3</v>
      </c>
      <c r="E195" s="543"/>
      <c r="F195" s="544"/>
      <c r="G195" s="543"/>
      <c r="H195" s="330">
        <f>+C195*D195</f>
        <v>69</v>
      </c>
      <c r="I195" s="541" t="s">
        <v>986</v>
      </c>
    </row>
    <row r="196" spans="1:9" ht="18.75" customHeight="1">
      <c r="A196" s="537"/>
      <c r="B196" s="117"/>
      <c r="C196" s="121"/>
      <c r="D196" s="114"/>
      <c r="E196" s="114"/>
      <c r="F196" s="120"/>
      <c r="G196" s="114"/>
      <c r="H196" s="119"/>
      <c r="I196" s="119"/>
    </row>
    <row r="197" spans="1:9" ht="15.75">
      <c r="A197" s="185" t="s">
        <v>985</v>
      </c>
      <c r="B197" s="117"/>
      <c r="C197" s="121"/>
      <c r="D197" s="114"/>
      <c r="E197" s="114"/>
      <c r="F197" s="120"/>
      <c r="G197" s="114"/>
      <c r="H197" s="119"/>
      <c r="I197" s="119"/>
    </row>
    <row r="198" spans="1:9" ht="9" customHeight="1" thickBot="1">
      <c r="A198" s="185"/>
      <c r="B198" s="117"/>
      <c r="C198" s="121"/>
      <c r="D198" s="114"/>
      <c r="E198" s="114"/>
      <c r="F198" s="120"/>
      <c r="G198" s="114"/>
      <c r="H198" s="119"/>
      <c r="I198" s="119"/>
    </row>
    <row r="199" spans="1:9" ht="12.75">
      <c r="A199" s="202" t="s">
        <v>773</v>
      </c>
      <c r="B199" s="110" t="s">
        <v>31</v>
      </c>
      <c r="C199" s="110"/>
      <c r="D199" s="107" t="s">
        <v>743</v>
      </c>
      <c r="E199" s="107" t="s">
        <v>742</v>
      </c>
      <c r="F199" s="109" t="s">
        <v>984</v>
      </c>
      <c r="G199" s="107" t="s">
        <v>740</v>
      </c>
      <c r="H199" s="109" t="s">
        <v>739</v>
      </c>
      <c r="I199" s="201" t="s">
        <v>771</v>
      </c>
    </row>
    <row r="200" spans="1:9" ht="13.5" thickBot="1">
      <c r="A200" s="200"/>
      <c r="B200" s="199"/>
      <c r="C200" s="199" t="s">
        <v>959</v>
      </c>
      <c r="D200" s="198" t="s">
        <v>733</v>
      </c>
      <c r="E200" s="198" t="s">
        <v>733</v>
      </c>
      <c r="F200" s="197" t="s">
        <v>734</v>
      </c>
      <c r="G200" s="198" t="s">
        <v>733</v>
      </c>
      <c r="H200" s="197" t="s">
        <v>728</v>
      </c>
      <c r="I200" s="196"/>
    </row>
    <row r="201" spans="1:9" ht="25.5">
      <c r="A201" s="557" t="s">
        <v>983</v>
      </c>
      <c r="B201" s="183" t="s">
        <v>728</v>
      </c>
      <c r="C201" s="556"/>
      <c r="D201" s="554"/>
      <c r="E201" s="554"/>
      <c r="F201" s="555"/>
      <c r="G201" s="554"/>
      <c r="H201" s="553"/>
      <c r="I201" s="553"/>
    </row>
    <row r="202" spans="1:9" ht="20.25" customHeight="1">
      <c r="A202" s="485" t="s">
        <v>982</v>
      </c>
      <c r="B202" s="178" t="s">
        <v>712</v>
      </c>
      <c r="C202" s="177">
        <v>1</v>
      </c>
      <c r="D202" s="176">
        <v>47.7</v>
      </c>
      <c r="E202" s="176">
        <v>0.15</v>
      </c>
      <c r="F202" s="176">
        <f>+D202*E202*C202</f>
        <v>7.155</v>
      </c>
      <c r="G202" s="176">
        <v>0.035</v>
      </c>
      <c r="H202" s="552">
        <f>+G202*E202*D202</f>
        <v>0.250425</v>
      </c>
      <c r="I202" s="176"/>
    </row>
    <row r="203" spans="1:9" ht="20.25" customHeight="1">
      <c r="A203" s="485" t="s">
        <v>981</v>
      </c>
      <c r="B203" s="178" t="s">
        <v>712</v>
      </c>
      <c r="C203" s="177">
        <v>6</v>
      </c>
      <c r="D203" s="176">
        <v>0.4</v>
      </c>
      <c r="E203" s="176">
        <v>0.45</v>
      </c>
      <c r="F203" s="176">
        <f>+D203*E203*C203</f>
        <v>1.08</v>
      </c>
      <c r="G203" s="176">
        <v>0.06</v>
      </c>
      <c r="H203" s="552">
        <f>+F203*G203</f>
        <v>0.0648</v>
      </c>
      <c r="I203" s="176"/>
    </row>
    <row r="204" spans="1:9" ht="20.25" customHeight="1">
      <c r="A204" s="485" t="s">
        <v>980</v>
      </c>
      <c r="B204" s="178" t="s">
        <v>712</v>
      </c>
      <c r="C204" s="177">
        <v>8</v>
      </c>
      <c r="D204" s="176">
        <v>0.4</v>
      </c>
      <c r="E204" s="176">
        <v>0.45</v>
      </c>
      <c r="F204" s="176">
        <f>+D204*E204*C204</f>
        <v>1.4400000000000002</v>
      </c>
      <c r="G204" s="176">
        <v>0.05</v>
      </c>
      <c r="H204" s="552">
        <f>+F204*G204</f>
        <v>0.07200000000000001</v>
      </c>
      <c r="I204" s="176"/>
    </row>
    <row r="205" spans="1:9" ht="20.25" customHeight="1">
      <c r="A205" s="485" t="s">
        <v>979</v>
      </c>
      <c r="B205" s="178" t="s">
        <v>712</v>
      </c>
      <c r="C205" s="177">
        <v>2</v>
      </c>
      <c r="D205" s="176">
        <v>47.7</v>
      </c>
      <c r="E205" s="176">
        <v>0.24</v>
      </c>
      <c r="F205" s="176">
        <f>+D205*E205*C205</f>
        <v>22.896</v>
      </c>
      <c r="G205" s="176">
        <v>0.04</v>
      </c>
      <c r="H205" s="552">
        <f>+F205*G205</f>
        <v>0.9158400000000001</v>
      </c>
      <c r="I205" s="176"/>
    </row>
    <row r="206" spans="1:9" ht="20.25" customHeight="1" thickBot="1">
      <c r="A206" s="485" t="s">
        <v>978</v>
      </c>
      <c r="B206" s="178" t="s">
        <v>712</v>
      </c>
      <c r="C206" s="177">
        <v>8</v>
      </c>
      <c r="D206" s="176">
        <v>0.2</v>
      </c>
      <c r="E206" s="176">
        <v>2.1</v>
      </c>
      <c r="F206" s="176">
        <f>+D206*E206*C206</f>
        <v>3.3600000000000003</v>
      </c>
      <c r="G206" s="176">
        <v>0.02</v>
      </c>
      <c r="H206" s="552">
        <f>+F206*G206</f>
        <v>0.06720000000000001</v>
      </c>
      <c r="I206" s="176"/>
    </row>
    <row r="207" spans="1:9" ht="30" customHeight="1" thickBot="1">
      <c r="A207" s="468" t="s">
        <v>977</v>
      </c>
      <c r="B207" s="387" t="s">
        <v>712</v>
      </c>
      <c r="C207" s="386"/>
      <c r="D207" s="308"/>
      <c r="E207" s="308"/>
      <c r="F207" s="307"/>
      <c r="G207" s="306"/>
      <c r="H207" s="330">
        <f>SUM(H202:H206)</f>
        <v>1.370265</v>
      </c>
      <c r="I207" s="329"/>
    </row>
    <row r="208" spans="1:9" ht="12.75">
      <c r="A208" s="540"/>
      <c r="B208" s="117"/>
      <c r="C208" s="121"/>
      <c r="D208" s="114"/>
      <c r="E208" s="114"/>
      <c r="F208" s="120"/>
      <c r="G208" s="114"/>
      <c r="H208" s="119"/>
      <c r="I208" s="119"/>
    </row>
    <row r="209" spans="1:9" ht="15.75">
      <c r="A209" s="185" t="s">
        <v>976</v>
      </c>
      <c r="B209" s="117"/>
      <c r="C209" s="121"/>
      <c r="D209" s="114"/>
      <c r="E209" s="114"/>
      <c r="F209" s="120"/>
      <c r="G209" s="114"/>
      <c r="H209" s="119"/>
      <c r="I209" s="119"/>
    </row>
    <row r="210" spans="1:9" ht="9" customHeight="1" thickBot="1">
      <c r="A210" s="185"/>
      <c r="B210" s="117"/>
      <c r="C210" s="121"/>
      <c r="D210" s="114"/>
      <c r="E210" s="114"/>
      <c r="F210" s="120"/>
      <c r="G210" s="114"/>
      <c r="H210" s="119"/>
      <c r="I210" s="119"/>
    </row>
    <row r="211" spans="1:9" ht="12.75">
      <c r="A211" s="202" t="s">
        <v>773</v>
      </c>
      <c r="B211" s="110" t="s">
        <v>31</v>
      </c>
      <c r="C211" s="110"/>
      <c r="D211" s="107" t="s">
        <v>743</v>
      </c>
      <c r="E211" s="107" t="s">
        <v>975</v>
      </c>
      <c r="F211" s="109" t="s">
        <v>741</v>
      </c>
      <c r="G211" s="107" t="s">
        <v>891</v>
      </c>
      <c r="H211" s="109" t="s">
        <v>739</v>
      </c>
      <c r="I211" s="201" t="s">
        <v>771</v>
      </c>
    </row>
    <row r="212" spans="1:9" ht="13.5" thickBot="1">
      <c r="A212" s="200"/>
      <c r="B212" s="199"/>
      <c r="C212" s="199"/>
      <c r="D212" s="198" t="s">
        <v>733</v>
      </c>
      <c r="E212" s="198" t="s">
        <v>733</v>
      </c>
      <c r="F212" s="197" t="s">
        <v>734</v>
      </c>
      <c r="G212" s="198" t="s">
        <v>733</v>
      </c>
      <c r="H212" s="197" t="s">
        <v>728</v>
      </c>
      <c r="I212" s="196"/>
    </row>
    <row r="213" spans="1:9" ht="27" customHeight="1">
      <c r="A213" s="551" t="s">
        <v>974</v>
      </c>
      <c r="B213" s="183" t="s">
        <v>728</v>
      </c>
      <c r="C213" s="550"/>
      <c r="D213" s="125">
        <v>28</v>
      </c>
      <c r="E213" s="125">
        <v>3.75</v>
      </c>
      <c r="F213" s="549">
        <f>+D213*E213</f>
        <v>105</v>
      </c>
      <c r="G213" s="125">
        <v>0.2</v>
      </c>
      <c r="H213" s="548">
        <f>+F213*G213</f>
        <v>21</v>
      </c>
      <c r="I213" s="547"/>
    </row>
    <row r="214" spans="1:9" ht="27" customHeight="1" thickBot="1">
      <c r="A214" s="546" t="s">
        <v>973</v>
      </c>
      <c r="B214" s="260" t="s">
        <v>710</v>
      </c>
      <c r="C214" s="545"/>
      <c r="D214" s="543"/>
      <c r="E214" s="543"/>
      <c r="F214" s="544"/>
      <c r="G214" s="543"/>
      <c r="H214" s="542">
        <f>+F213*0.022</f>
        <v>2.31</v>
      </c>
      <c r="I214" s="541" t="s">
        <v>972</v>
      </c>
    </row>
    <row r="215" spans="1:9" ht="12.75">
      <c r="A215" s="540"/>
      <c r="B215" s="117"/>
      <c r="C215" s="121"/>
      <c r="D215" s="114"/>
      <c r="E215" s="114"/>
      <c r="F215" s="120"/>
      <c r="G215" s="114"/>
      <c r="H215" s="119"/>
      <c r="I215" s="119"/>
    </row>
    <row r="216" spans="1:9" ht="15.75">
      <c r="A216" s="185" t="s">
        <v>971</v>
      </c>
      <c r="B216" s="117"/>
      <c r="C216" s="121"/>
      <c r="D216" s="114"/>
      <c r="E216" s="114"/>
      <c r="F216" s="120"/>
      <c r="G216" s="114"/>
      <c r="H216" s="119"/>
      <c r="I216" s="119"/>
    </row>
    <row r="217" spans="1:9" ht="9" customHeight="1" thickBot="1">
      <c r="A217" s="185"/>
      <c r="B217" s="117"/>
      <c r="C217" s="121"/>
      <c r="D217" s="114"/>
      <c r="E217" s="114"/>
      <c r="F217" s="120"/>
      <c r="G217" s="114"/>
      <c r="H217" s="119"/>
      <c r="I217" s="119"/>
    </row>
    <row r="218" spans="1:9" ht="12.75">
      <c r="A218" s="202" t="s">
        <v>773</v>
      </c>
      <c r="B218" s="110" t="s">
        <v>31</v>
      </c>
      <c r="C218" s="110"/>
      <c r="D218" s="107" t="s">
        <v>743</v>
      </c>
      <c r="E218" s="107" t="s">
        <v>742</v>
      </c>
      <c r="F218" s="109" t="s">
        <v>741</v>
      </c>
      <c r="G218" s="107" t="s">
        <v>740</v>
      </c>
      <c r="H218" s="109" t="s">
        <v>739</v>
      </c>
      <c r="I218" s="201" t="s">
        <v>771</v>
      </c>
    </row>
    <row r="219" spans="1:9" ht="13.5" thickBot="1">
      <c r="A219" s="200"/>
      <c r="B219" s="199"/>
      <c r="C219" s="199"/>
      <c r="D219" s="198" t="s">
        <v>733</v>
      </c>
      <c r="E219" s="198" t="s">
        <v>733</v>
      </c>
      <c r="F219" s="197" t="s">
        <v>734</v>
      </c>
      <c r="G219" s="198" t="s">
        <v>733</v>
      </c>
      <c r="H219" s="197" t="s">
        <v>728</v>
      </c>
      <c r="I219" s="196"/>
    </row>
    <row r="220" spans="1:9" ht="24.75" customHeight="1" thickBot="1">
      <c r="A220" s="539" t="s">
        <v>970</v>
      </c>
      <c r="B220" s="186" t="s">
        <v>728</v>
      </c>
      <c r="C220" s="43"/>
      <c r="D220" s="38">
        <f>+H194</f>
        <v>80</v>
      </c>
      <c r="E220" s="38">
        <v>0.2</v>
      </c>
      <c r="F220" s="42"/>
      <c r="G220" s="38">
        <v>0.2</v>
      </c>
      <c r="H220" s="538">
        <f>+D220*E220*G220</f>
        <v>3.2</v>
      </c>
      <c r="I220" s="37"/>
    </row>
    <row r="221" spans="1:9" ht="14.25">
      <c r="A221" s="537"/>
      <c r="B221" s="117"/>
      <c r="C221" s="121"/>
      <c r="D221" s="114"/>
      <c r="E221" s="114"/>
      <c r="F221" s="120"/>
      <c r="G221" s="114"/>
      <c r="H221" s="119"/>
      <c r="I221" s="119"/>
    </row>
    <row r="222" spans="1:9" ht="15" thickBot="1">
      <c r="A222" s="537"/>
      <c r="B222" s="117"/>
      <c r="C222" s="121"/>
      <c r="D222" s="114"/>
      <c r="E222" s="114"/>
      <c r="F222" s="120"/>
      <c r="G222" s="114"/>
      <c r="H222" s="119"/>
      <c r="I222" s="119"/>
    </row>
    <row r="223" spans="1:9" ht="31.5" customHeight="1" thickBot="1">
      <c r="A223" s="291" t="s">
        <v>969</v>
      </c>
      <c r="B223" s="290"/>
      <c r="C223" s="290"/>
      <c r="D223" s="290"/>
      <c r="E223" s="290"/>
      <c r="F223" s="290"/>
      <c r="G223" s="290"/>
      <c r="H223" s="290"/>
      <c r="I223" s="289"/>
    </row>
    <row r="225" spans="1:9" ht="15.75">
      <c r="A225" s="185" t="s">
        <v>968</v>
      </c>
      <c r="B225" s="149"/>
      <c r="C225" s="149"/>
      <c r="D225" s="148"/>
      <c r="E225" s="148"/>
      <c r="F225" s="147"/>
      <c r="G225" s="148"/>
      <c r="H225" s="147"/>
      <c r="I225" s="147"/>
    </row>
    <row r="226" ht="5.25" customHeight="1" thickBot="1"/>
    <row r="227" spans="1:9" ht="12.75">
      <c r="A227" s="202" t="s">
        <v>773</v>
      </c>
      <c r="B227" s="110" t="s">
        <v>31</v>
      </c>
      <c r="C227" s="110"/>
      <c r="D227" s="107"/>
      <c r="E227" s="107"/>
      <c r="F227" s="109" t="s">
        <v>741</v>
      </c>
      <c r="G227" s="109" t="s">
        <v>743</v>
      </c>
      <c r="H227" s="109" t="s">
        <v>739</v>
      </c>
      <c r="I227" s="106" t="s">
        <v>771</v>
      </c>
    </row>
    <row r="228" spans="1:9" ht="13.5" thickBot="1">
      <c r="A228" s="200"/>
      <c r="B228" s="199"/>
      <c r="C228" s="199"/>
      <c r="D228" s="198"/>
      <c r="E228" s="198"/>
      <c r="F228" s="197" t="s">
        <v>734</v>
      </c>
      <c r="G228" s="197" t="s">
        <v>733</v>
      </c>
      <c r="H228" s="197" t="s">
        <v>728</v>
      </c>
      <c r="I228" s="222"/>
    </row>
    <row r="229" spans="1:9" ht="13.5" thickBot="1">
      <c r="A229" s="536" t="s">
        <v>396</v>
      </c>
      <c r="B229" s="137"/>
      <c r="C229" s="536"/>
      <c r="D229" s="135"/>
      <c r="E229" s="135"/>
      <c r="F229" s="136"/>
      <c r="G229" s="135"/>
      <c r="H229" s="136"/>
      <c r="I229" s="134"/>
    </row>
    <row r="230" spans="1:9" ht="18.75" customHeight="1">
      <c r="A230" s="445" t="s">
        <v>967</v>
      </c>
      <c r="B230" s="270" t="s">
        <v>712</v>
      </c>
      <c r="C230" s="269"/>
      <c r="D230" s="252"/>
      <c r="E230" s="252"/>
      <c r="F230" s="252">
        <v>0.15</v>
      </c>
      <c r="G230" s="252">
        <v>45.7</v>
      </c>
      <c r="H230" s="129">
        <f aca="true" t="shared" si="1" ref="H230:H235">+F230*G230</f>
        <v>6.855</v>
      </c>
      <c r="I230" s="443"/>
    </row>
    <row r="231" spans="1:9" ht="18.75" customHeight="1">
      <c r="A231" s="442" t="s">
        <v>966</v>
      </c>
      <c r="B231" s="535" t="s">
        <v>712</v>
      </c>
      <c r="C231" s="61"/>
      <c r="D231" s="57"/>
      <c r="E231" s="57"/>
      <c r="F231" s="57">
        <v>0.42</v>
      </c>
      <c r="G231" s="57">
        <v>45.7</v>
      </c>
      <c r="H231" s="60">
        <f t="shared" si="1"/>
        <v>19.194</v>
      </c>
      <c r="I231" s="534"/>
    </row>
    <row r="232" spans="1:9" ht="18.75" customHeight="1">
      <c r="A232" s="442" t="s">
        <v>965</v>
      </c>
      <c r="B232" s="535" t="s">
        <v>712</v>
      </c>
      <c r="C232" s="61"/>
      <c r="D232" s="57"/>
      <c r="E232" s="57"/>
      <c r="F232" s="57">
        <v>0.4</v>
      </c>
      <c r="G232" s="57">
        <v>7.5</v>
      </c>
      <c r="H232" s="60">
        <f t="shared" si="1"/>
        <v>3</v>
      </c>
      <c r="I232" s="534"/>
    </row>
    <row r="233" spans="1:9" ht="18.75" customHeight="1">
      <c r="A233" s="442" t="s">
        <v>964</v>
      </c>
      <c r="B233" s="535" t="s">
        <v>712</v>
      </c>
      <c r="C233" s="61"/>
      <c r="D233" s="57"/>
      <c r="E233" s="57"/>
      <c r="F233" s="57">
        <v>0.35</v>
      </c>
      <c r="G233" s="57">
        <v>7.5</v>
      </c>
      <c r="H233" s="60">
        <f t="shared" si="1"/>
        <v>2.625</v>
      </c>
      <c r="I233" s="534"/>
    </row>
    <row r="234" spans="1:9" ht="18.75" customHeight="1">
      <c r="A234" s="442" t="s">
        <v>965</v>
      </c>
      <c r="B234" s="535" t="s">
        <v>712</v>
      </c>
      <c r="C234" s="61"/>
      <c r="D234" s="57"/>
      <c r="E234" s="57"/>
      <c r="F234" s="57">
        <v>0.4</v>
      </c>
      <c r="G234" s="57">
        <v>4.2</v>
      </c>
      <c r="H234" s="60">
        <f t="shared" si="1"/>
        <v>1.6800000000000002</v>
      </c>
      <c r="I234" s="534"/>
    </row>
    <row r="235" spans="1:9" ht="18.75" customHeight="1" thickBot="1">
      <c r="A235" s="267" t="s">
        <v>964</v>
      </c>
      <c r="B235" s="266" t="s">
        <v>712</v>
      </c>
      <c r="C235" s="52"/>
      <c r="D235" s="48"/>
      <c r="E235" s="48"/>
      <c r="F235" s="48">
        <v>0.16</v>
      </c>
      <c r="G235" s="48">
        <v>2.5</v>
      </c>
      <c r="H235" s="51">
        <f t="shared" si="1"/>
        <v>0.4</v>
      </c>
      <c r="I235" s="533"/>
    </row>
    <row r="236" spans="1:9" ht="18.75" customHeight="1" thickBot="1">
      <c r="A236" s="532" t="s">
        <v>963</v>
      </c>
      <c r="B236" s="531" t="s">
        <v>712</v>
      </c>
      <c r="C236" s="531"/>
      <c r="D236" s="529"/>
      <c r="E236" s="529"/>
      <c r="F236" s="530"/>
      <c r="G236" s="529"/>
      <c r="H236" s="528">
        <f>SUM(H230:H235)</f>
        <v>33.754</v>
      </c>
      <c r="I236" s="527" t="s">
        <v>962</v>
      </c>
    </row>
    <row r="237" spans="1:9" ht="18" customHeight="1" thickBot="1">
      <c r="A237" s="524" t="s">
        <v>961</v>
      </c>
      <c r="B237" s="523" t="s">
        <v>710</v>
      </c>
      <c r="C237" s="523"/>
      <c r="D237" s="522"/>
      <c r="E237" s="522"/>
      <c r="F237" s="522">
        <v>0.15</v>
      </c>
      <c r="G237" s="526">
        <f>+H236</f>
        <v>33.754</v>
      </c>
      <c r="H237" s="239">
        <f>+G237*F237</f>
        <v>5.0630999999999995</v>
      </c>
      <c r="I237" s="525" t="s">
        <v>960</v>
      </c>
    </row>
    <row r="238" spans="1:9" ht="18" customHeight="1" thickBot="1">
      <c r="A238" s="524"/>
      <c r="B238" s="523"/>
      <c r="C238" s="523"/>
      <c r="D238" s="522"/>
      <c r="E238" s="522"/>
      <c r="F238" s="522"/>
      <c r="G238" s="521"/>
      <c r="H238" s="520"/>
      <c r="I238" s="519"/>
    </row>
    <row r="239" spans="1:9" ht="12.75">
      <c r="A239" s="202" t="s">
        <v>773</v>
      </c>
      <c r="B239" s="110" t="s">
        <v>31</v>
      </c>
      <c r="C239" s="110" t="s">
        <v>743</v>
      </c>
      <c r="D239" s="109" t="s">
        <v>959</v>
      </c>
      <c r="E239" s="109" t="s">
        <v>958</v>
      </c>
      <c r="F239" s="109"/>
      <c r="G239" s="107"/>
      <c r="H239" s="201" t="s">
        <v>735</v>
      </c>
      <c r="I239" s="106" t="s">
        <v>771</v>
      </c>
    </row>
    <row r="240" spans="1:9" ht="13.5" thickBot="1">
      <c r="A240" s="200"/>
      <c r="B240" s="199"/>
      <c r="C240" s="518" t="s">
        <v>733</v>
      </c>
      <c r="D240" s="740" t="s">
        <v>760</v>
      </c>
      <c r="E240" s="740" t="s">
        <v>957</v>
      </c>
      <c r="F240" s="197"/>
      <c r="G240" s="198"/>
      <c r="H240" s="196"/>
      <c r="I240" s="222"/>
    </row>
    <row r="241" spans="1:9" ht="26.25" thickBot="1">
      <c r="A241" s="187" t="s">
        <v>956</v>
      </c>
      <c r="B241" s="516" t="s">
        <v>955</v>
      </c>
      <c r="C241" s="162">
        <f>45*2</f>
        <v>90</v>
      </c>
      <c r="D241" s="162">
        <f>+C241+2</f>
        <v>92</v>
      </c>
      <c r="E241" s="162">
        <v>6</v>
      </c>
      <c r="F241" s="162"/>
      <c r="G241" s="206"/>
      <c r="H241" s="166">
        <f>+D241*E241</f>
        <v>552</v>
      </c>
      <c r="I241" s="204" t="s">
        <v>954</v>
      </c>
    </row>
    <row r="242" spans="1:2" ht="13.5" thickBot="1">
      <c r="A242" s="189"/>
      <c r="B242" s="367"/>
    </row>
    <row r="243" spans="1:9" ht="12.75">
      <c r="A243" s="202" t="s">
        <v>773</v>
      </c>
      <c r="B243" s="110" t="s">
        <v>31</v>
      </c>
      <c r="C243" s="110"/>
      <c r="D243" s="107" t="s">
        <v>743</v>
      </c>
      <c r="E243" s="107" t="s">
        <v>742</v>
      </c>
      <c r="F243" s="109" t="s">
        <v>741</v>
      </c>
      <c r="G243" s="107" t="s">
        <v>740</v>
      </c>
      <c r="H243" s="109" t="s">
        <v>739</v>
      </c>
      <c r="I243" s="201" t="s">
        <v>771</v>
      </c>
    </row>
    <row r="244" spans="1:9" ht="13.5" thickBot="1">
      <c r="A244" s="200"/>
      <c r="B244" s="199"/>
      <c r="C244" s="199"/>
      <c r="D244" s="198" t="s">
        <v>733</v>
      </c>
      <c r="E244" s="198" t="s">
        <v>733</v>
      </c>
      <c r="F244" s="197" t="s">
        <v>734</v>
      </c>
      <c r="G244" s="198" t="s">
        <v>733</v>
      </c>
      <c r="H244" s="197" t="s">
        <v>728</v>
      </c>
      <c r="I244" s="227"/>
    </row>
    <row r="245" spans="1:9" ht="19.5" customHeight="1" thickBot="1">
      <c r="A245" s="515" t="s">
        <v>953</v>
      </c>
      <c r="B245" s="514" t="s">
        <v>948</v>
      </c>
      <c r="C245" s="257"/>
      <c r="D245" s="256"/>
      <c r="E245" s="256"/>
      <c r="F245" s="255"/>
      <c r="G245" s="256"/>
      <c r="H245" s="255"/>
      <c r="I245" s="513"/>
    </row>
    <row r="246" spans="1:9" ht="14.25">
      <c r="A246" s="512" t="s">
        <v>947</v>
      </c>
      <c r="B246" s="339" t="s">
        <v>712</v>
      </c>
      <c r="C246" s="339"/>
      <c r="D246" s="511"/>
      <c r="E246" s="511"/>
      <c r="F246" s="511">
        <v>5.99</v>
      </c>
      <c r="G246" s="511">
        <v>8.7</v>
      </c>
      <c r="H246" s="510">
        <f aca="true" t="shared" si="2" ref="H246:H251">+F246*G246</f>
        <v>52.113</v>
      </c>
      <c r="I246" s="509"/>
    </row>
    <row r="247" spans="1:9" ht="14.25">
      <c r="A247" s="508" t="s">
        <v>946</v>
      </c>
      <c r="B247" s="297" t="s">
        <v>712</v>
      </c>
      <c r="C247" s="297"/>
      <c r="D247" s="57"/>
      <c r="E247" s="57"/>
      <c r="F247" s="57">
        <v>6.45</v>
      </c>
      <c r="G247" s="57">
        <v>0.6</v>
      </c>
      <c r="H247" s="60">
        <f t="shared" si="2"/>
        <v>3.87</v>
      </c>
      <c r="I247" s="55"/>
    </row>
    <row r="248" spans="1:9" ht="14.25">
      <c r="A248" s="508" t="s">
        <v>945</v>
      </c>
      <c r="B248" s="297" t="s">
        <v>712</v>
      </c>
      <c r="C248" s="297"/>
      <c r="D248" s="57"/>
      <c r="E248" s="57"/>
      <c r="F248" s="57">
        <v>3.48</v>
      </c>
      <c r="G248" s="57">
        <f>0.9*2</f>
        <v>1.8</v>
      </c>
      <c r="H248" s="60">
        <f t="shared" si="2"/>
        <v>6.264</v>
      </c>
      <c r="I248" s="55"/>
    </row>
    <row r="249" spans="1:9" ht="14.25">
      <c r="A249" s="508" t="s">
        <v>944</v>
      </c>
      <c r="B249" s="297" t="s">
        <v>712</v>
      </c>
      <c r="C249" s="297"/>
      <c r="D249" s="57"/>
      <c r="E249" s="57"/>
      <c r="F249" s="57">
        <v>0.15</v>
      </c>
      <c r="G249" s="57">
        <f>2*0.9</f>
        <v>1.8</v>
      </c>
      <c r="H249" s="60">
        <f t="shared" si="2"/>
        <v>0.27</v>
      </c>
      <c r="I249" s="55"/>
    </row>
    <row r="250" spans="1:9" ht="14.25">
      <c r="A250" s="508" t="s">
        <v>952</v>
      </c>
      <c r="B250" s="297" t="s">
        <v>712</v>
      </c>
      <c r="C250" s="297"/>
      <c r="D250" s="57"/>
      <c r="E250" s="57"/>
      <c r="F250" s="57">
        <f>2.38+2.4</f>
        <v>4.779999999999999</v>
      </c>
      <c r="G250" s="57">
        <v>4.75</v>
      </c>
      <c r="H250" s="60">
        <f t="shared" si="2"/>
        <v>22.705</v>
      </c>
      <c r="I250" s="55"/>
    </row>
    <row r="251" spans="1:9" ht="15" thickBot="1">
      <c r="A251" s="508" t="s">
        <v>951</v>
      </c>
      <c r="B251" s="297" t="s">
        <v>712</v>
      </c>
      <c r="C251" s="297"/>
      <c r="D251" s="57"/>
      <c r="E251" s="57"/>
      <c r="F251" s="57">
        <f>1.27*2</f>
        <v>2.54</v>
      </c>
      <c r="G251" s="57">
        <v>1.9</v>
      </c>
      <c r="H251" s="60">
        <f t="shared" si="2"/>
        <v>4.826</v>
      </c>
      <c r="I251" s="55"/>
    </row>
    <row r="252" spans="1:9" ht="15" thickBot="1">
      <c r="A252" s="507" t="s">
        <v>950</v>
      </c>
      <c r="B252" s="186" t="s">
        <v>712</v>
      </c>
      <c r="C252" s="43"/>
      <c r="D252" s="38"/>
      <c r="E252" s="38"/>
      <c r="F252" s="42"/>
      <c r="G252" s="38"/>
      <c r="H252" s="506">
        <f>SUM(H246:H251)</f>
        <v>90.048</v>
      </c>
      <c r="I252" s="37"/>
    </row>
    <row r="253" ht="6" customHeight="1" thickBot="1"/>
    <row r="254" spans="1:9" ht="24" customHeight="1" thickBot="1">
      <c r="A254" s="515" t="s">
        <v>949</v>
      </c>
      <c r="B254" s="514" t="s">
        <v>948</v>
      </c>
      <c r="C254" s="257"/>
      <c r="D254" s="256"/>
      <c r="E254" s="256"/>
      <c r="F254" s="255"/>
      <c r="G254" s="256"/>
      <c r="H254" s="255"/>
      <c r="I254" s="513"/>
    </row>
    <row r="255" spans="1:9" ht="14.25">
      <c r="A255" s="512" t="s">
        <v>947</v>
      </c>
      <c r="B255" s="339" t="s">
        <v>712</v>
      </c>
      <c r="C255" s="339"/>
      <c r="D255" s="511"/>
      <c r="E255" s="511"/>
      <c r="F255" s="511">
        <v>4.36</v>
      </c>
      <c r="G255" s="511">
        <v>8.7</v>
      </c>
      <c r="H255" s="510">
        <f aca="true" t="shared" si="3" ref="H255:H260">+F255*G255</f>
        <v>37.932</v>
      </c>
      <c r="I255" s="509"/>
    </row>
    <row r="256" spans="1:9" ht="14.25">
      <c r="A256" s="508" t="s">
        <v>946</v>
      </c>
      <c r="B256" s="297" t="s">
        <v>712</v>
      </c>
      <c r="C256" s="297"/>
      <c r="D256" s="57"/>
      <c r="E256" s="57"/>
      <c r="F256" s="57">
        <v>5.43</v>
      </c>
      <c r="G256" s="57">
        <v>1.5</v>
      </c>
      <c r="H256" s="60">
        <f t="shared" si="3"/>
        <v>8.145</v>
      </c>
      <c r="I256" s="55"/>
    </row>
    <row r="257" spans="1:9" ht="14.25">
      <c r="A257" s="508" t="s">
        <v>945</v>
      </c>
      <c r="B257" s="297" t="s">
        <v>712</v>
      </c>
      <c r="C257" s="297"/>
      <c r="D257" s="57"/>
      <c r="E257" s="57"/>
      <c r="F257" s="57">
        <v>3.48</v>
      </c>
      <c r="G257" s="57">
        <v>0.9</v>
      </c>
      <c r="H257" s="60">
        <f t="shared" si="3"/>
        <v>3.132</v>
      </c>
      <c r="I257" s="55"/>
    </row>
    <row r="258" spans="1:9" ht="14.25">
      <c r="A258" s="508" t="s">
        <v>944</v>
      </c>
      <c r="B258" s="297" t="s">
        <v>712</v>
      </c>
      <c r="C258" s="297"/>
      <c r="D258" s="57"/>
      <c r="E258" s="57"/>
      <c r="F258" s="57">
        <v>0.15</v>
      </c>
      <c r="G258" s="57">
        <f>2*0.9</f>
        <v>1.8</v>
      </c>
      <c r="H258" s="60">
        <f t="shared" si="3"/>
        <v>0.27</v>
      </c>
      <c r="I258" s="55"/>
    </row>
    <row r="259" spans="1:9" ht="14.25">
      <c r="A259" s="508" t="s">
        <v>943</v>
      </c>
      <c r="B259" s="297" t="s">
        <v>712</v>
      </c>
      <c r="C259" s="297"/>
      <c r="D259" s="57"/>
      <c r="E259" s="57"/>
      <c r="F259" s="57">
        <v>7.42</v>
      </c>
      <c r="G259" s="57">
        <v>0.6</v>
      </c>
      <c r="H259" s="60">
        <f t="shared" si="3"/>
        <v>4.452</v>
      </c>
      <c r="I259" s="55"/>
    </row>
    <row r="260" spans="1:9" ht="15" thickBot="1">
      <c r="A260" s="508" t="s">
        <v>942</v>
      </c>
      <c r="B260" s="297" t="s">
        <v>712</v>
      </c>
      <c r="C260" s="297"/>
      <c r="D260" s="57"/>
      <c r="E260" s="57"/>
      <c r="F260" s="57">
        <v>7.33</v>
      </c>
      <c r="G260" s="57">
        <v>0.6</v>
      </c>
      <c r="H260" s="60">
        <f t="shared" si="3"/>
        <v>4.398</v>
      </c>
      <c r="I260" s="55"/>
    </row>
    <row r="261" spans="1:9" ht="15" thickBot="1">
      <c r="A261" s="507" t="s">
        <v>941</v>
      </c>
      <c r="B261" s="186" t="s">
        <v>712</v>
      </c>
      <c r="C261" s="43"/>
      <c r="D261" s="38"/>
      <c r="E261" s="38"/>
      <c r="F261" s="42"/>
      <c r="G261" s="38"/>
      <c r="H261" s="506">
        <f>SUM(H255:H260)</f>
        <v>58.32899999999999</v>
      </c>
      <c r="I261" s="37"/>
    </row>
    <row r="262" spans="1:9" ht="15" thickBot="1">
      <c r="A262" s="310" t="s">
        <v>940</v>
      </c>
      <c r="B262" s="309" t="s">
        <v>712</v>
      </c>
      <c r="C262" s="309"/>
      <c r="D262" s="308"/>
      <c r="E262" s="308"/>
      <c r="F262" s="307"/>
      <c r="G262" s="308"/>
      <c r="H262" s="505">
        <f>+H261+H252</f>
        <v>148.377</v>
      </c>
      <c r="I262" s="329" t="s">
        <v>939</v>
      </c>
    </row>
    <row r="263" spans="1:9" ht="33" customHeight="1" thickBot="1">
      <c r="A263" s="504" t="s">
        <v>938</v>
      </c>
      <c r="B263" s="43" t="s">
        <v>710</v>
      </c>
      <c r="C263" s="43"/>
      <c r="D263" s="38"/>
      <c r="E263" s="38"/>
      <c r="F263" s="38">
        <v>0.16</v>
      </c>
      <c r="G263" s="503">
        <f>+H262</f>
        <v>148.377</v>
      </c>
      <c r="H263" s="502">
        <f>+G263*F263</f>
        <v>23.74032</v>
      </c>
      <c r="I263" s="501" t="s">
        <v>937</v>
      </c>
    </row>
    <row r="265" ht="7.5" customHeight="1" thickBot="1"/>
    <row r="266" spans="1:9" ht="12.75">
      <c r="A266" s="272" t="s">
        <v>773</v>
      </c>
      <c r="B266" s="145" t="s">
        <v>31</v>
      </c>
      <c r="C266" s="478" t="s">
        <v>772</v>
      </c>
      <c r="D266" s="107" t="s">
        <v>743</v>
      </c>
      <c r="E266" s="107" t="s">
        <v>742</v>
      </c>
      <c r="F266" s="109" t="s">
        <v>741</v>
      </c>
      <c r="G266" s="107" t="s">
        <v>891</v>
      </c>
      <c r="H266" s="201" t="s">
        <v>739</v>
      </c>
      <c r="I266" s="106"/>
    </row>
    <row r="267" spans="1:9" ht="13.5" thickBot="1">
      <c r="A267" s="271"/>
      <c r="B267" s="477"/>
      <c r="C267" s="476" t="s">
        <v>760</v>
      </c>
      <c r="D267" s="198" t="s">
        <v>733</v>
      </c>
      <c r="E267" s="198" t="s">
        <v>733</v>
      </c>
      <c r="F267" s="197" t="s">
        <v>734</v>
      </c>
      <c r="G267" s="198" t="s">
        <v>733</v>
      </c>
      <c r="H267" s="196" t="s">
        <v>728</v>
      </c>
      <c r="I267" s="222"/>
    </row>
    <row r="268" spans="1:9" ht="38.25">
      <c r="A268" s="500" t="s">
        <v>936</v>
      </c>
      <c r="B268" s="452" t="s">
        <v>712</v>
      </c>
      <c r="C268" s="499"/>
      <c r="D268" s="498"/>
      <c r="E268" s="498"/>
      <c r="F268" s="498"/>
      <c r="G268" s="497"/>
      <c r="H268" s="254"/>
      <c r="I268" s="496"/>
    </row>
    <row r="269" spans="1:9" ht="20.25" customHeight="1">
      <c r="A269" s="485" t="s">
        <v>935</v>
      </c>
      <c r="B269" s="178" t="s">
        <v>712</v>
      </c>
      <c r="C269" s="378"/>
      <c r="D269" s="377">
        <v>2.4</v>
      </c>
      <c r="E269" s="377">
        <v>8.7</v>
      </c>
      <c r="F269" s="495">
        <f>+E269*D269</f>
        <v>20.88</v>
      </c>
      <c r="G269" s="376">
        <v>0.15</v>
      </c>
      <c r="H269" s="484">
        <f>F269*G269</f>
        <v>3.1319999999999997</v>
      </c>
      <c r="I269" s="216"/>
    </row>
    <row r="270" spans="1:9" ht="20.25" customHeight="1">
      <c r="A270" s="485" t="s">
        <v>928</v>
      </c>
      <c r="B270" s="178" t="s">
        <v>712</v>
      </c>
      <c r="C270" s="378">
        <v>2</v>
      </c>
      <c r="D270" s="377"/>
      <c r="E270" s="377"/>
      <c r="F270" s="495">
        <v>15</v>
      </c>
      <c r="G270" s="376">
        <v>0.15</v>
      </c>
      <c r="H270" s="484">
        <f>+F270*G270*C270</f>
        <v>4.5</v>
      </c>
      <c r="I270" s="216"/>
    </row>
    <row r="271" spans="1:9" ht="20.25" customHeight="1">
      <c r="A271" s="485" t="s">
        <v>927</v>
      </c>
      <c r="B271" s="178" t="s">
        <v>934</v>
      </c>
      <c r="C271" s="378">
        <v>1</v>
      </c>
      <c r="D271" s="377"/>
      <c r="E271" s="377"/>
      <c r="F271" s="495">
        <v>2.7</v>
      </c>
      <c r="G271" s="376">
        <v>0.15</v>
      </c>
      <c r="H271" s="484">
        <f>+F271*G271*C271</f>
        <v>0.405</v>
      </c>
      <c r="I271" s="216"/>
    </row>
    <row r="272" spans="1:9" ht="20.25" customHeight="1">
      <c r="A272" s="485" t="s">
        <v>933</v>
      </c>
      <c r="B272" s="178" t="s">
        <v>712</v>
      </c>
      <c r="C272" s="378"/>
      <c r="D272" s="377">
        <v>0.9</v>
      </c>
      <c r="E272" s="377">
        <v>8.7</v>
      </c>
      <c r="F272" s="495">
        <f>+E272*D272</f>
        <v>7.829999999999999</v>
      </c>
      <c r="G272" s="376">
        <v>0.15</v>
      </c>
      <c r="H272" s="484">
        <f>F272*G272</f>
        <v>1.1744999999999999</v>
      </c>
      <c r="I272" s="216"/>
    </row>
    <row r="273" spans="1:9" ht="20.25" customHeight="1" thickBot="1">
      <c r="A273" s="485" t="s">
        <v>932</v>
      </c>
      <c r="B273" s="178" t="s">
        <v>712</v>
      </c>
      <c r="C273" s="378"/>
      <c r="D273" s="377"/>
      <c r="E273" s="377"/>
      <c r="F273" s="495">
        <v>7.3</v>
      </c>
      <c r="G273" s="376">
        <v>0.15</v>
      </c>
      <c r="H273" s="484">
        <f>F273*G273</f>
        <v>1.095</v>
      </c>
      <c r="I273" s="483"/>
    </row>
    <row r="274" spans="1:9" ht="30" customHeight="1" thickBot="1">
      <c r="A274" s="468" t="s">
        <v>931</v>
      </c>
      <c r="B274" s="387" t="s">
        <v>712</v>
      </c>
      <c r="C274" s="494"/>
      <c r="D274" s="493"/>
      <c r="E274" s="493"/>
      <c r="F274" s="457">
        <f>SUM(F269:F273)</f>
        <v>53.709999999999994</v>
      </c>
      <c r="G274" s="492"/>
      <c r="H274" s="330">
        <f>SUM(H269:H273)</f>
        <v>10.3065</v>
      </c>
      <c r="I274" s="491" t="s">
        <v>930</v>
      </c>
    </row>
    <row r="275" spans="1:9" ht="39" thickBot="1">
      <c r="A275" s="490" t="s">
        <v>929</v>
      </c>
      <c r="B275" s="332" t="s">
        <v>712</v>
      </c>
      <c r="C275" s="433"/>
      <c r="D275" s="192"/>
      <c r="E275" s="192"/>
      <c r="F275" s="192"/>
      <c r="G275" s="191"/>
      <c r="H275" s="273"/>
      <c r="I275" s="190"/>
    </row>
    <row r="276" spans="1:9" ht="20.25" customHeight="1">
      <c r="A276" s="485" t="s">
        <v>928</v>
      </c>
      <c r="B276" s="178" t="s">
        <v>712</v>
      </c>
      <c r="C276" s="489">
        <v>2</v>
      </c>
      <c r="D276" s="488"/>
      <c r="E276" s="488"/>
      <c r="F276" s="488">
        <v>6</v>
      </c>
      <c r="G276" s="487">
        <v>0.15</v>
      </c>
      <c r="H276" s="486">
        <f>+F276*G276*C276</f>
        <v>1.7999999999999998</v>
      </c>
      <c r="I276" s="375"/>
    </row>
    <row r="277" spans="1:9" ht="20.25" customHeight="1" thickBot="1">
      <c r="A277" s="485" t="s">
        <v>927</v>
      </c>
      <c r="B277" s="178" t="s">
        <v>712</v>
      </c>
      <c r="C277" s="378"/>
      <c r="D277" s="377"/>
      <c r="E277" s="377"/>
      <c r="F277" s="377">
        <v>3.5</v>
      </c>
      <c r="G277" s="376">
        <v>0.15</v>
      </c>
      <c r="H277" s="484">
        <f>F277*G277</f>
        <v>0.525</v>
      </c>
      <c r="I277" s="483"/>
    </row>
    <row r="278" spans="1:9" ht="30" customHeight="1" thickBot="1">
      <c r="A278" s="468" t="s">
        <v>926</v>
      </c>
      <c r="B278" s="387" t="s">
        <v>712</v>
      </c>
      <c r="C278" s="466"/>
      <c r="D278" s="465"/>
      <c r="E278" s="465"/>
      <c r="F278" s="457">
        <f>SUM(F276:F277)</f>
        <v>9.5</v>
      </c>
      <c r="G278" s="464"/>
      <c r="H278" s="482">
        <f>SUM(H276:H277)</f>
        <v>2.3249999999999997</v>
      </c>
      <c r="I278" s="407" t="s">
        <v>925</v>
      </c>
    </row>
    <row r="279" spans="1:9" ht="12.75">
      <c r="A279" s="203"/>
      <c r="B279" s="117"/>
      <c r="C279" s="146"/>
      <c r="D279" s="146"/>
      <c r="E279" s="146"/>
      <c r="F279" s="146"/>
      <c r="G279" s="146"/>
      <c r="H279" s="146"/>
      <c r="I279" s="146"/>
    </row>
    <row r="280" spans="1:9" ht="13.5" thickBot="1">
      <c r="A280" s="203"/>
      <c r="B280" s="117"/>
      <c r="C280" s="146"/>
      <c r="D280" s="146"/>
      <c r="E280" s="146"/>
      <c r="F280" s="146"/>
      <c r="G280" s="146"/>
      <c r="H280" s="146"/>
      <c r="I280" s="146"/>
    </row>
    <row r="281" spans="1:9" ht="12.75">
      <c r="A281" s="202" t="s">
        <v>773</v>
      </c>
      <c r="B281" s="145" t="s">
        <v>31</v>
      </c>
      <c r="C281" s="107"/>
      <c r="D281" s="107" t="s">
        <v>743</v>
      </c>
      <c r="E281" s="481" t="s">
        <v>772</v>
      </c>
      <c r="F281" s="234" t="s">
        <v>924</v>
      </c>
      <c r="G281" s="107"/>
      <c r="H281" s="201" t="s">
        <v>735</v>
      </c>
      <c r="I281" s="106"/>
    </row>
    <row r="282" spans="1:9" ht="13.5" thickBot="1">
      <c r="A282" s="232"/>
      <c r="B282" s="477"/>
      <c r="C282" s="198"/>
      <c r="D282" s="198" t="s">
        <v>733</v>
      </c>
      <c r="E282" s="480"/>
      <c r="F282" s="318"/>
      <c r="G282" s="198"/>
      <c r="H282" s="479"/>
      <c r="I282" s="222"/>
    </row>
    <row r="283" spans="1:9" ht="24.75" customHeight="1" thickBot="1">
      <c r="A283" s="168" t="s">
        <v>923</v>
      </c>
      <c r="B283" s="224" t="s">
        <v>710</v>
      </c>
      <c r="C283" s="226"/>
      <c r="D283" s="192">
        <f>7.2+2.9+0.5</f>
        <v>10.6</v>
      </c>
      <c r="E283" s="192">
        <v>11</v>
      </c>
      <c r="F283" s="192">
        <v>15</v>
      </c>
      <c r="G283" s="191"/>
      <c r="H283" s="166">
        <f>+E283*F283</f>
        <v>165</v>
      </c>
      <c r="I283" s="204"/>
    </row>
    <row r="284" ht="13.5" thickBot="1"/>
    <row r="285" spans="1:9" ht="12.75">
      <c r="A285" s="272" t="s">
        <v>773</v>
      </c>
      <c r="B285" s="145" t="s">
        <v>31</v>
      </c>
      <c r="C285" s="478" t="s">
        <v>772</v>
      </c>
      <c r="D285" s="107" t="s">
        <v>743</v>
      </c>
      <c r="E285" s="107" t="s">
        <v>742</v>
      </c>
      <c r="F285" s="109" t="s">
        <v>741</v>
      </c>
      <c r="G285" s="107" t="s">
        <v>891</v>
      </c>
      <c r="H285" s="201" t="s">
        <v>739</v>
      </c>
      <c r="I285" s="106"/>
    </row>
    <row r="286" spans="1:9" ht="13.5" thickBot="1">
      <c r="A286" s="271"/>
      <c r="B286" s="477"/>
      <c r="C286" s="476" t="s">
        <v>760</v>
      </c>
      <c r="D286" s="198" t="s">
        <v>733</v>
      </c>
      <c r="E286" s="198" t="s">
        <v>733</v>
      </c>
      <c r="F286" s="197" t="s">
        <v>734</v>
      </c>
      <c r="G286" s="198" t="s">
        <v>733</v>
      </c>
      <c r="H286" s="196" t="s">
        <v>728</v>
      </c>
      <c r="I286" s="222"/>
    </row>
    <row r="287" spans="1:9" ht="31.5" customHeight="1" thickBot="1">
      <c r="A287" s="292" t="s">
        <v>922</v>
      </c>
      <c r="B287" s="475" t="s">
        <v>712</v>
      </c>
      <c r="C287" s="192">
        <v>1</v>
      </c>
      <c r="D287" s="192">
        <f>2.9+0.5</f>
        <v>3.4</v>
      </c>
      <c r="E287" s="192">
        <v>0.8</v>
      </c>
      <c r="F287" s="192"/>
      <c r="G287" s="191">
        <v>0.4</v>
      </c>
      <c r="H287" s="330">
        <f>+D287*E287*G287</f>
        <v>1.088</v>
      </c>
      <c r="I287" s="204"/>
    </row>
    <row r="288" spans="1:9" ht="31.5" customHeight="1">
      <c r="A288" s="348"/>
      <c r="B288" s="461"/>
      <c r="C288" s="460"/>
      <c r="D288" s="460"/>
      <c r="E288" s="460"/>
      <c r="F288" s="460"/>
      <c r="G288" s="460"/>
      <c r="H288" s="459"/>
      <c r="I288" s="345"/>
    </row>
    <row r="289" ht="15.75">
      <c r="A289" s="185" t="s">
        <v>921</v>
      </c>
    </row>
    <row r="290" ht="12" customHeight="1" thickBot="1"/>
    <row r="291" spans="1:9" ht="12.75">
      <c r="A291" s="202" t="s">
        <v>773</v>
      </c>
      <c r="B291" s="110" t="s">
        <v>31</v>
      </c>
      <c r="C291" s="110"/>
      <c r="D291" s="107" t="s">
        <v>743</v>
      </c>
      <c r="E291" s="107" t="s">
        <v>920</v>
      </c>
      <c r="F291" s="109" t="s">
        <v>741</v>
      </c>
      <c r="G291" s="107" t="s">
        <v>740</v>
      </c>
      <c r="H291" s="109" t="s">
        <v>739</v>
      </c>
      <c r="I291" s="106"/>
    </row>
    <row r="292" spans="1:9" ht="13.5" thickBot="1">
      <c r="A292" s="232"/>
      <c r="B292" s="143"/>
      <c r="C292" s="143"/>
      <c r="D292" s="140" t="s">
        <v>733</v>
      </c>
      <c r="E292" s="140" t="s">
        <v>733</v>
      </c>
      <c r="F292" s="142" t="s">
        <v>734</v>
      </c>
      <c r="G292" s="140" t="s">
        <v>733</v>
      </c>
      <c r="H292" s="142" t="s">
        <v>728</v>
      </c>
      <c r="I292" s="139"/>
    </row>
    <row r="293" spans="1:9" ht="31.5" customHeight="1" thickBot="1">
      <c r="A293" s="292" t="s">
        <v>919</v>
      </c>
      <c r="B293" s="474" t="s">
        <v>712</v>
      </c>
      <c r="C293" s="192"/>
      <c r="D293" s="192"/>
      <c r="E293" s="192"/>
      <c r="F293" s="473"/>
      <c r="G293" s="191"/>
      <c r="H293" s="472"/>
      <c r="I293" s="204"/>
    </row>
    <row r="294" spans="1:9" ht="24" customHeight="1">
      <c r="A294" s="412" t="s">
        <v>918</v>
      </c>
      <c r="B294" s="471" t="s">
        <v>712</v>
      </c>
      <c r="C294" s="384"/>
      <c r="D294" s="286">
        <v>7</v>
      </c>
      <c r="E294" s="422">
        <v>0.4</v>
      </c>
      <c r="F294" s="421">
        <f>+D294*G294</f>
        <v>23.099999999999998</v>
      </c>
      <c r="G294" s="420">
        <v>3.3</v>
      </c>
      <c r="H294" s="419">
        <f>+G294*E294*D294</f>
        <v>9.24</v>
      </c>
      <c r="I294" s="219"/>
    </row>
    <row r="295" spans="1:9" ht="24" customHeight="1">
      <c r="A295" s="412" t="s">
        <v>917</v>
      </c>
      <c r="B295" s="470" t="s">
        <v>712</v>
      </c>
      <c r="C295" s="378"/>
      <c r="D295" s="417">
        <v>6.6</v>
      </c>
      <c r="E295" s="416">
        <v>0.4</v>
      </c>
      <c r="F295" s="415">
        <f>+D295*G295</f>
        <v>26.4</v>
      </c>
      <c r="G295" s="414">
        <v>4</v>
      </c>
      <c r="H295" s="413">
        <f>+G295*E295*D295</f>
        <v>10.56</v>
      </c>
      <c r="I295" s="216"/>
    </row>
    <row r="296" spans="1:9" ht="24" customHeight="1">
      <c r="A296" s="412" t="s">
        <v>916</v>
      </c>
      <c r="B296" s="470" t="s">
        <v>712</v>
      </c>
      <c r="C296" s="378"/>
      <c r="D296" s="417">
        <v>14</v>
      </c>
      <c r="E296" s="416">
        <v>0.4</v>
      </c>
      <c r="F296" s="415">
        <f>+D296*G296</f>
        <v>33.6</v>
      </c>
      <c r="G296" s="414">
        <v>2.4</v>
      </c>
      <c r="H296" s="413">
        <f>+G296*E296*D296</f>
        <v>13.44</v>
      </c>
      <c r="I296" s="216"/>
    </row>
    <row r="297" spans="1:9" ht="24" customHeight="1" thickBot="1">
      <c r="A297" s="412" t="s">
        <v>915</v>
      </c>
      <c r="B297" s="469" t="s">
        <v>712</v>
      </c>
      <c r="C297" s="373"/>
      <c r="D297" s="281">
        <v>2.6</v>
      </c>
      <c r="E297" s="411">
        <v>0.4</v>
      </c>
      <c r="F297" s="410">
        <f>+D297*G297</f>
        <v>7.800000000000001</v>
      </c>
      <c r="G297" s="409">
        <v>3</v>
      </c>
      <c r="H297" s="408">
        <f>+G297*E297*D297</f>
        <v>3.1200000000000006</v>
      </c>
      <c r="I297" s="263"/>
    </row>
    <row r="298" spans="1:9" ht="30" customHeight="1" thickBot="1">
      <c r="A298" s="468" t="s">
        <v>914</v>
      </c>
      <c r="B298" s="467" t="s">
        <v>712</v>
      </c>
      <c r="C298" s="466"/>
      <c r="D298" s="465"/>
      <c r="E298" s="464"/>
      <c r="F298" s="463">
        <f>SUM(F296:F297)</f>
        <v>41.400000000000006</v>
      </c>
      <c r="G298" s="462"/>
      <c r="H298" s="330">
        <f>SUM(H294:H297)</f>
        <v>36.36</v>
      </c>
      <c r="I298" s="407" t="s">
        <v>913</v>
      </c>
    </row>
    <row r="299" spans="1:9" ht="15" customHeight="1">
      <c r="A299" s="348"/>
      <c r="B299" s="461"/>
      <c r="C299" s="460"/>
      <c r="D299" s="460"/>
      <c r="E299" s="460"/>
      <c r="F299" s="460"/>
      <c r="G299" s="460"/>
      <c r="H299" s="459"/>
      <c r="I299" s="146"/>
    </row>
    <row r="300" ht="13.5" thickBot="1"/>
    <row r="301" spans="1:9" ht="31.5" customHeight="1" thickBot="1">
      <c r="A301" s="291" t="s">
        <v>912</v>
      </c>
      <c r="B301" s="290"/>
      <c r="C301" s="290"/>
      <c r="D301" s="290"/>
      <c r="E301" s="290"/>
      <c r="F301" s="290"/>
      <c r="G301" s="290"/>
      <c r="H301" s="290"/>
      <c r="I301" s="289"/>
    </row>
    <row r="303" ht="15.75">
      <c r="A303" s="185" t="s">
        <v>911</v>
      </c>
    </row>
    <row r="304" ht="6" customHeight="1" thickBot="1"/>
    <row r="305" spans="1:9" ht="12.75">
      <c r="A305" s="202" t="s">
        <v>773</v>
      </c>
      <c r="B305" s="110" t="s">
        <v>31</v>
      </c>
      <c r="C305" s="110"/>
      <c r="D305" s="107"/>
      <c r="E305" s="107"/>
      <c r="F305" s="109"/>
      <c r="G305" s="107"/>
      <c r="H305" s="109" t="s">
        <v>735</v>
      </c>
      <c r="I305" s="106"/>
    </row>
    <row r="306" spans="1:9" ht="13.5" thickBot="1">
      <c r="A306" s="232"/>
      <c r="B306" s="143"/>
      <c r="C306" s="143"/>
      <c r="D306" s="140"/>
      <c r="E306" s="140"/>
      <c r="F306" s="142"/>
      <c r="G306" s="140"/>
      <c r="H306" s="436" t="s">
        <v>710</v>
      </c>
      <c r="I306" s="139"/>
    </row>
    <row r="307" spans="1:9" ht="15.75" thickBot="1">
      <c r="A307" s="455" t="s">
        <v>910</v>
      </c>
      <c r="B307" s="137"/>
      <c r="C307" s="454" t="s">
        <v>905</v>
      </c>
      <c r="D307" s="135"/>
      <c r="E307" s="135"/>
      <c r="F307" s="136"/>
      <c r="G307" s="135"/>
      <c r="H307" s="136"/>
      <c r="I307" s="134"/>
    </row>
    <row r="308" spans="1:9" ht="33.75" customHeight="1" thickBot="1">
      <c r="A308" s="292" t="s">
        <v>909</v>
      </c>
      <c r="B308" s="186" t="s">
        <v>710</v>
      </c>
      <c r="C308" s="186"/>
      <c r="D308" s="458"/>
      <c r="E308" s="458"/>
      <c r="F308" s="458"/>
      <c r="G308" s="458"/>
      <c r="H308" s="457">
        <v>153</v>
      </c>
      <c r="I308" s="456" t="s">
        <v>908</v>
      </c>
    </row>
    <row r="310" spans="1:9" ht="15.75">
      <c r="A310" s="185" t="s">
        <v>907</v>
      </c>
      <c r="B310" s="149"/>
      <c r="C310" s="149"/>
      <c r="D310" s="148"/>
      <c r="E310" s="148"/>
      <c r="F310" s="147"/>
      <c r="G310" s="148"/>
      <c r="H310" s="147"/>
      <c r="I310" s="147"/>
    </row>
    <row r="311" ht="7.5" customHeight="1" thickBot="1"/>
    <row r="312" spans="1:9" ht="12.75">
      <c r="A312" s="202" t="s">
        <v>773</v>
      </c>
      <c r="B312" s="110" t="s">
        <v>31</v>
      </c>
      <c r="C312" s="110"/>
      <c r="D312" s="107" t="s">
        <v>743</v>
      </c>
      <c r="E312" s="107" t="s">
        <v>742</v>
      </c>
      <c r="F312" s="109" t="s">
        <v>741</v>
      </c>
      <c r="G312" s="107" t="s">
        <v>740</v>
      </c>
      <c r="H312" s="109" t="s">
        <v>739</v>
      </c>
      <c r="I312" s="106"/>
    </row>
    <row r="313" spans="1:9" ht="13.5" thickBot="1">
      <c r="A313" s="232"/>
      <c r="B313" s="143"/>
      <c r="C313" s="143"/>
      <c r="D313" s="140" t="s">
        <v>733</v>
      </c>
      <c r="E313" s="140" t="s">
        <v>733</v>
      </c>
      <c r="F313" s="142" t="s">
        <v>734</v>
      </c>
      <c r="G313" s="140" t="s">
        <v>733</v>
      </c>
      <c r="H313" s="142" t="s">
        <v>728</v>
      </c>
      <c r="I313" s="139"/>
    </row>
    <row r="314" spans="1:9" ht="15.75" thickBot="1">
      <c r="A314" s="455" t="s">
        <v>906</v>
      </c>
      <c r="B314" s="137"/>
      <c r="C314" s="454" t="s">
        <v>905</v>
      </c>
      <c r="D314" s="135"/>
      <c r="E314" s="135"/>
      <c r="F314" s="136"/>
      <c r="G314" s="135"/>
      <c r="H314" s="136"/>
      <c r="I314" s="134"/>
    </row>
    <row r="315" spans="1:9" ht="33.75" customHeight="1">
      <c r="A315" s="453" t="s">
        <v>904</v>
      </c>
      <c r="B315" s="452" t="s">
        <v>712</v>
      </c>
      <c r="C315" s="269"/>
      <c r="D315" s="252"/>
      <c r="E315" s="252"/>
      <c r="F315" s="252">
        <v>2.48</v>
      </c>
      <c r="G315" s="252">
        <v>45.7</v>
      </c>
      <c r="H315" s="444">
        <f>+F315*G315</f>
        <v>113.33600000000001</v>
      </c>
      <c r="I315" s="443" t="s">
        <v>903</v>
      </c>
    </row>
    <row r="316" spans="1:9" ht="33.75" customHeight="1" thickBot="1">
      <c r="A316" s="267" t="s">
        <v>902</v>
      </c>
      <c r="B316" s="260" t="s">
        <v>710</v>
      </c>
      <c r="C316" s="451"/>
      <c r="D316" s="130"/>
      <c r="E316" s="130"/>
      <c r="F316" s="450">
        <v>0.38</v>
      </c>
      <c r="G316" s="450">
        <f>+H315</f>
        <v>113.33600000000001</v>
      </c>
      <c r="H316" s="449">
        <f>+G316*F316</f>
        <v>43.06768</v>
      </c>
      <c r="I316" s="448" t="s">
        <v>901</v>
      </c>
    </row>
    <row r="318" spans="1:9" ht="15.75">
      <c r="A318" s="185" t="s">
        <v>900</v>
      </c>
      <c r="B318" s="149"/>
      <c r="C318" s="149"/>
      <c r="D318" s="148"/>
      <c r="E318" s="148"/>
      <c r="F318" s="147"/>
      <c r="G318" s="148"/>
      <c r="H318" s="147"/>
      <c r="I318" s="147"/>
    </row>
    <row r="319" ht="6" customHeight="1" thickBot="1"/>
    <row r="320" spans="1:9" ht="12.75">
      <c r="A320" s="202" t="s">
        <v>773</v>
      </c>
      <c r="B320" s="110" t="s">
        <v>31</v>
      </c>
      <c r="C320" s="110"/>
      <c r="D320" s="107"/>
      <c r="E320" s="107" t="s">
        <v>772</v>
      </c>
      <c r="F320" s="109"/>
      <c r="G320" s="107"/>
      <c r="H320" s="447" t="s">
        <v>772</v>
      </c>
      <c r="I320" s="106" t="s">
        <v>771</v>
      </c>
    </row>
    <row r="321" spans="1:9" ht="13.5" thickBot="1">
      <c r="A321" s="232"/>
      <c r="B321" s="143"/>
      <c r="C321" s="143"/>
      <c r="D321" s="140"/>
      <c r="E321" s="140" t="s">
        <v>760</v>
      </c>
      <c r="F321" s="142"/>
      <c r="G321" s="140"/>
      <c r="H321" s="446" t="s">
        <v>728</v>
      </c>
      <c r="I321" s="139"/>
    </row>
    <row r="322" spans="1:9" ht="19.5" customHeight="1">
      <c r="A322" s="445" t="s">
        <v>899</v>
      </c>
      <c r="B322" s="183" t="s">
        <v>760</v>
      </c>
      <c r="C322" s="253"/>
      <c r="D322" s="252"/>
      <c r="E322" s="252">
        <v>1</v>
      </c>
      <c r="F322" s="252"/>
      <c r="G322" s="252"/>
      <c r="H322" s="444">
        <f>+E322</f>
        <v>1</v>
      </c>
      <c r="I322" s="443" t="s">
        <v>898</v>
      </c>
    </row>
    <row r="323" spans="1:9" ht="31.5" customHeight="1">
      <c r="A323" s="442" t="s">
        <v>897</v>
      </c>
      <c r="B323" s="441" t="s">
        <v>760</v>
      </c>
      <c r="C323" s="177"/>
      <c r="D323" s="176"/>
      <c r="E323" s="57">
        <v>1</v>
      </c>
      <c r="F323" s="176"/>
      <c r="G323" s="176"/>
      <c r="H323" s="440">
        <f>+E323</f>
        <v>1</v>
      </c>
      <c r="I323" s="175"/>
    </row>
    <row r="324" spans="1:9" ht="21.75" customHeight="1" thickBot="1">
      <c r="A324" s="267" t="s">
        <v>896</v>
      </c>
      <c r="B324" s="325" t="s">
        <v>760</v>
      </c>
      <c r="C324" s="439"/>
      <c r="D324" s="265"/>
      <c r="E324" s="48">
        <v>2</v>
      </c>
      <c r="F324" s="265"/>
      <c r="G324" s="265"/>
      <c r="H324" s="438">
        <f>+E324</f>
        <v>2</v>
      </c>
      <c r="I324" s="437"/>
    </row>
    <row r="326" ht="12.75">
      <c r="B326" s="347"/>
    </row>
    <row r="327" spans="1:2" ht="15.75">
      <c r="A327" s="185" t="s">
        <v>895</v>
      </c>
      <c r="B327" s="347"/>
    </row>
    <row r="328" ht="13.5" thickBot="1">
      <c r="B328" s="347"/>
    </row>
    <row r="329" spans="1:9" ht="12.75">
      <c r="A329" s="202" t="s">
        <v>773</v>
      </c>
      <c r="B329" s="110" t="s">
        <v>31</v>
      </c>
      <c r="C329" s="110" t="s">
        <v>772</v>
      </c>
      <c r="D329" s="107" t="s">
        <v>743</v>
      </c>
      <c r="E329" s="107" t="s">
        <v>742</v>
      </c>
      <c r="F329" s="109" t="s">
        <v>741</v>
      </c>
      <c r="G329" s="107" t="s">
        <v>740</v>
      </c>
      <c r="H329" s="109" t="s">
        <v>739</v>
      </c>
      <c r="I329" s="106"/>
    </row>
    <row r="330" spans="1:9" ht="13.5" thickBot="1">
      <c r="A330" s="200"/>
      <c r="B330" s="199"/>
      <c r="C330" s="143"/>
      <c r="D330" s="140" t="s">
        <v>733</v>
      </c>
      <c r="E330" s="140" t="s">
        <v>733</v>
      </c>
      <c r="F330" s="142" t="s">
        <v>734</v>
      </c>
      <c r="G330" s="140" t="s">
        <v>733</v>
      </c>
      <c r="H330" s="436" t="s">
        <v>728</v>
      </c>
      <c r="I330" s="139"/>
    </row>
    <row r="331" spans="1:9" ht="26.25" thickBot="1">
      <c r="A331" s="435" t="s">
        <v>894</v>
      </c>
      <c r="B331" s="434" t="s">
        <v>712</v>
      </c>
      <c r="C331" s="433">
        <v>2</v>
      </c>
      <c r="D331" s="192">
        <v>1</v>
      </c>
      <c r="E331" s="192">
        <v>1</v>
      </c>
      <c r="F331" s="192">
        <f>+D331*E331</f>
        <v>1</v>
      </c>
      <c r="G331" s="191">
        <v>0.8</v>
      </c>
      <c r="H331" s="166">
        <f>+G331*F331*C331</f>
        <v>1.6</v>
      </c>
      <c r="I331" s="190" t="s">
        <v>893</v>
      </c>
    </row>
    <row r="332" ht="19.5" customHeight="1"/>
    <row r="333" spans="1:3" ht="15.75">
      <c r="A333" s="185" t="s">
        <v>892</v>
      </c>
      <c r="C333" s="432"/>
    </row>
    <row r="334" ht="13.5" thickBot="1"/>
    <row r="335" spans="1:9" ht="12.75">
      <c r="A335" s="202" t="s">
        <v>773</v>
      </c>
      <c r="B335" s="110" t="s">
        <v>31</v>
      </c>
      <c r="C335" s="110"/>
      <c r="D335" s="107" t="s">
        <v>743</v>
      </c>
      <c r="E335" s="107" t="s">
        <v>891</v>
      </c>
      <c r="F335" s="109" t="s">
        <v>741</v>
      </c>
      <c r="G335" s="107" t="s">
        <v>740</v>
      </c>
      <c r="H335" s="201" t="s">
        <v>739</v>
      </c>
      <c r="I335" s="106"/>
    </row>
    <row r="336" spans="1:9" ht="13.5" thickBot="1">
      <c r="A336" s="232"/>
      <c r="B336" s="143"/>
      <c r="C336" s="143"/>
      <c r="D336" s="140" t="s">
        <v>733</v>
      </c>
      <c r="E336" s="140" t="s">
        <v>733</v>
      </c>
      <c r="F336" s="142" t="s">
        <v>734</v>
      </c>
      <c r="G336" s="140" t="s">
        <v>733</v>
      </c>
      <c r="H336" s="227" t="s">
        <v>728</v>
      </c>
      <c r="I336" s="139"/>
    </row>
    <row r="337" spans="1:9" ht="27" customHeight="1" thickBot="1">
      <c r="A337" s="431" t="s">
        <v>890</v>
      </c>
      <c r="B337" s="224" t="s">
        <v>712</v>
      </c>
      <c r="C337" s="430"/>
      <c r="D337" s="428"/>
      <c r="E337" s="429"/>
      <c r="F337" s="428"/>
      <c r="G337" s="427"/>
      <c r="H337" s="426"/>
      <c r="I337" s="425"/>
    </row>
    <row r="338" spans="1:9" ht="27" customHeight="1" thickBot="1">
      <c r="A338" s="424" t="s">
        <v>889</v>
      </c>
      <c r="B338" s="316" t="s">
        <v>888</v>
      </c>
      <c r="C338" s="423"/>
      <c r="D338" s="286">
        <v>15</v>
      </c>
      <c r="E338" s="422">
        <v>0.4</v>
      </c>
      <c r="F338" s="421">
        <f>+D338*G338</f>
        <v>18</v>
      </c>
      <c r="G338" s="420">
        <v>1.2</v>
      </c>
      <c r="H338" s="419">
        <f>+G338*E338*D338</f>
        <v>7.199999999999999</v>
      </c>
      <c r="I338" s="418"/>
    </row>
    <row r="339" spans="1:9" ht="27" customHeight="1">
      <c r="A339" s="424" t="s">
        <v>887</v>
      </c>
      <c r="B339" s="316" t="s">
        <v>712</v>
      </c>
      <c r="C339" s="423"/>
      <c r="D339" s="286">
        <v>7</v>
      </c>
      <c r="E339" s="422">
        <v>0.3</v>
      </c>
      <c r="F339" s="421">
        <f>+D339*G339</f>
        <v>23.099999999999998</v>
      </c>
      <c r="G339" s="420">
        <v>3.3</v>
      </c>
      <c r="H339" s="419">
        <f>+G339*E339*D339</f>
        <v>6.929999999999999</v>
      </c>
      <c r="I339" s="418"/>
    </row>
    <row r="340" spans="1:9" ht="27" customHeight="1">
      <c r="A340" s="412" t="s">
        <v>886</v>
      </c>
      <c r="B340" s="358" t="s">
        <v>712</v>
      </c>
      <c r="C340" s="402"/>
      <c r="D340" s="417">
        <v>6.6</v>
      </c>
      <c r="E340" s="416">
        <v>0.3</v>
      </c>
      <c r="F340" s="415">
        <f>+D340*G340</f>
        <v>26.4</v>
      </c>
      <c r="G340" s="414">
        <v>4</v>
      </c>
      <c r="H340" s="413">
        <f>+G340*E340*D340</f>
        <v>7.919999999999999</v>
      </c>
      <c r="I340" s="396"/>
    </row>
    <row r="341" spans="1:9" ht="27" customHeight="1">
      <c r="A341" s="412" t="s">
        <v>885</v>
      </c>
      <c r="B341" s="358" t="s">
        <v>712</v>
      </c>
      <c r="C341" s="402"/>
      <c r="D341" s="417">
        <v>14</v>
      </c>
      <c r="E341" s="416">
        <v>0.55</v>
      </c>
      <c r="F341" s="415">
        <f>+D341*G341</f>
        <v>22.400000000000002</v>
      </c>
      <c r="G341" s="414">
        <v>1.6</v>
      </c>
      <c r="H341" s="413">
        <f>+G341*E341*D341</f>
        <v>12.320000000000002</v>
      </c>
      <c r="I341" s="396"/>
    </row>
    <row r="342" spans="1:9" ht="27" customHeight="1" thickBot="1">
      <c r="A342" s="412" t="s">
        <v>884</v>
      </c>
      <c r="B342" s="358" t="s">
        <v>712</v>
      </c>
      <c r="C342" s="402"/>
      <c r="D342" s="281">
        <v>2.6</v>
      </c>
      <c r="E342" s="411">
        <v>0.3</v>
      </c>
      <c r="F342" s="410">
        <f>+D342*G342</f>
        <v>7.800000000000001</v>
      </c>
      <c r="G342" s="409">
        <v>3</v>
      </c>
      <c r="H342" s="408">
        <f>+G342*E342*D342</f>
        <v>2.34</v>
      </c>
      <c r="I342" s="396"/>
    </row>
    <row r="343" spans="1:9" ht="22.5" customHeight="1" thickBot="1">
      <c r="A343" s="310" t="s">
        <v>883</v>
      </c>
      <c r="B343" s="387" t="s">
        <v>712</v>
      </c>
      <c r="C343" s="386"/>
      <c r="D343" s="308"/>
      <c r="E343" s="308"/>
      <c r="F343" s="307"/>
      <c r="G343" s="306"/>
      <c r="H343" s="330">
        <f>SUM(H338:H342)</f>
        <v>36.709999999999994</v>
      </c>
      <c r="I343" s="407" t="s">
        <v>882</v>
      </c>
    </row>
    <row r="344" spans="1:9" ht="12.75">
      <c r="A344" s="385"/>
      <c r="B344" s="347"/>
      <c r="C344" s="146"/>
      <c r="D344" s="146"/>
      <c r="E344" s="146"/>
      <c r="F344" s="146"/>
      <c r="G344" s="146"/>
      <c r="H344" s="146"/>
      <c r="I344" s="146"/>
    </row>
    <row r="345" spans="1:9" ht="13.5" thickBot="1">
      <c r="A345" s="385"/>
      <c r="B345" s="347"/>
      <c r="C345" s="146"/>
      <c r="D345" s="146"/>
      <c r="E345" s="146"/>
      <c r="F345" s="146"/>
      <c r="G345" s="146"/>
      <c r="H345" s="146"/>
      <c r="I345" s="146"/>
    </row>
    <row r="346" spans="1:9" ht="12.75">
      <c r="A346" s="202" t="s">
        <v>773</v>
      </c>
      <c r="B346" s="110" t="s">
        <v>31</v>
      </c>
      <c r="C346" s="110"/>
      <c r="D346" s="107" t="s">
        <v>743</v>
      </c>
      <c r="E346" s="107" t="s">
        <v>742</v>
      </c>
      <c r="F346" s="109" t="s">
        <v>741</v>
      </c>
      <c r="G346" s="107" t="s">
        <v>740</v>
      </c>
      <c r="H346" s="201" t="s">
        <v>739</v>
      </c>
      <c r="I346" s="106"/>
    </row>
    <row r="347" spans="1:9" ht="13.5" thickBot="1">
      <c r="A347" s="232"/>
      <c r="B347" s="143"/>
      <c r="C347" s="143"/>
      <c r="D347" s="140" t="s">
        <v>733</v>
      </c>
      <c r="E347" s="140" t="s">
        <v>733</v>
      </c>
      <c r="F347" s="142" t="s">
        <v>734</v>
      </c>
      <c r="G347" s="140" t="s">
        <v>733</v>
      </c>
      <c r="H347" s="227" t="s">
        <v>728</v>
      </c>
      <c r="I347" s="139"/>
    </row>
    <row r="348" spans="1:9" ht="46.5" customHeight="1" thickBot="1">
      <c r="A348" s="406" t="s">
        <v>881</v>
      </c>
      <c r="B348" s="405" t="s">
        <v>712</v>
      </c>
      <c r="C348" s="163"/>
      <c r="D348" s="162"/>
      <c r="E348" s="162"/>
      <c r="F348" s="162"/>
      <c r="G348" s="206"/>
      <c r="H348" s="276"/>
      <c r="I348" s="204"/>
    </row>
    <row r="349" spans="1:9" ht="27" customHeight="1">
      <c r="A349" s="403" t="s">
        <v>880</v>
      </c>
      <c r="B349" s="316" t="s">
        <v>712</v>
      </c>
      <c r="C349" s="402"/>
      <c r="D349" s="401"/>
      <c r="E349" s="400"/>
      <c r="F349" s="399">
        <f>7+50+56+14.3+16</f>
        <v>143.3</v>
      </c>
      <c r="G349" s="398">
        <v>0.35</v>
      </c>
      <c r="H349" s="404">
        <f>+G349*F349</f>
        <v>50.155</v>
      </c>
      <c r="I349" s="396"/>
    </row>
    <row r="350" spans="1:9" ht="27" customHeight="1">
      <c r="A350" s="403" t="s">
        <v>879</v>
      </c>
      <c r="B350" s="358" t="s">
        <v>712</v>
      </c>
      <c r="C350" s="402"/>
      <c r="D350" s="401"/>
      <c r="E350" s="400"/>
      <c r="F350" s="399">
        <f>12+29+40+3.3</f>
        <v>84.3</v>
      </c>
      <c r="G350" s="398">
        <v>0.35</v>
      </c>
      <c r="H350" s="397">
        <f>+G350*F350</f>
        <v>29.504999999999995</v>
      </c>
      <c r="I350" s="396"/>
    </row>
    <row r="351" spans="1:9" ht="27" customHeight="1">
      <c r="A351" s="403" t="s">
        <v>878</v>
      </c>
      <c r="B351" s="358" t="s">
        <v>712</v>
      </c>
      <c r="C351" s="402"/>
      <c r="D351" s="401"/>
      <c r="E351" s="400"/>
      <c r="F351" s="399">
        <f>7.5+5.5+14.4+18</f>
        <v>45.4</v>
      </c>
      <c r="G351" s="398">
        <v>0.35</v>
      </c>
      <c r="H351" s="397">
        <f>+G351*F351</f>
        <v>15.889999999999999</v>
      </c>
      <c r="I351" s="396"/>
    </row>
    <row r="352" spans="1:9" ht="27" customHeight="1">
      <c r="A352" s="403" t="s">
        <v>877</v>
      </c>
      <c r="B352" s="358" t="s">
        <v>712</v>
      </c>
      <c r="C352" s="402"/>
      <c r="D352" s="401"/>
      <c r="E352" s="400"/>
      <c r="F352" s="399">
        <f>15.5+2.5</f>
        <v>18</v>
      </c>
      <c r="G352" s="398">
        <v>0.35</v>
      </c>
      <c r="H352" s="397">
        <f>+G352*F352</f>
        <v>6.3</v>
      </c>
      <c r="I352" s="396"/>
    </row>
    <row r="353" spans="1:9" ht="27" customHeight="1" thickBot="1">
      <c r="A353" s="395" t="s">
        <v>876</v>
      </c>
      <c r="B353" s="313" t="s">
        <v>712</v>
      </c>
      <c r="C353" s="394"/>
      <c r="D353" s="393"/>
      <c r="E353" s="392"/>
      <c r="F353" s="391">
        <v>35</v>
      </c>
      <c r="G353" s="390">
        <v>0.35</v>
      </c>
      <c r="H353" s="389">
        <f>+G353*F353</f>
        <v>12.25</v>
      </c>
      <c r="I353" s="388"/>
    </row>
    <row r="354" spans="1:9" ht="22.5" customHeight="1" thickBot="1">
      <c r="A354" s="310" t="s">
        <v>875</v>
      </c>
      <c r="B354" s="387" t="s">
        <v>712</v>
      </c>
      <c r="C354" s="386"/>
      <c r="D354" s="308"/>
      <c r="E354" s="308"/>
      <c r="F354" s="307"/>
      <c r="G354" s="306"/>
      <c r="H354" s="330">
        <f>SUM(H349:H353)</f>
        <v>114.1</v>
      </c>
      <c r="I354" s="329" t="s">
        <v>874</v>
      </c>
    </row>
    <row r="355" spans="1:9" ht="12.75">
      <c r="A355" s="385"/>
      <c r="B355" s="347"/>
      <c r="C355" s="146"/>
      <c r="D355" s="146"/>
      <c r="E355" s="146"/>
      <c r="F355" s="146"/>
      <c r="G355" s="146"/>
      <c r="H355" s="146"/>
      <c r="I355" s="146"/>
    </row>
    <row r="356" ht="13.5" thickBot="1"/>
    <row r="357" spans="1:9" ht="31.5" customHeight="1" thickBot="1">
      <c r="A357" s="291" t="s">
        <v>873</v>
      </c>
      <c r="B357" s="290"/>
      <c r="C357" s="290"/>
      <c r="D357" s="290"/>
      <c r="E357" s="290"/>
      <c r="F357" s="290"/>
      <c r="G357" s="290"/>
      <c r="H357" s="290"/>
      <c r="I357" s="289"/>
    </row>
    <row r="358" ht="13.5" thickBot="1"/>
    <row r="359" spans="1:9" ht="12.75">
      <c r="A359" s="202" t="s">
        <v>773</v>
      </c>
      <c r="B359" s="110" t="s">
        <v>31</v>
      </c>
      <c r="C359" s="110" t="s">
        <v>772</v>
      </c>
      <c r="D359" s="107" t="s">
        <v>743</v>
      </c>
      <c r="E359" s="107" t="s">
        <v>742</v>
      </c>
      <c r="F359" s="109"/>
      <c r="G359" s="107"/>
      <c r="H359" s="201" t="s">
        <v>741</v>
      </c>
      <c r="I359" s="106"/>
    </row>
    <row r="360" spans="1:9" ht="13.5" thickBot="1">
      <c r="A360" s="200"/>
      <c r="B360" s="199"/>
      <c r="C360" s="143"/>
      <c r="D360" s="140" t="s">
        <v>733</v>
      </c>
      <c r="E360" s="140" t="s">
        <v>733</v>
      </c>
      <c r="F360" s="142"/>
      <c r="G360" s="140"/>
      <c r="H360" s="227" t="s">
        <v>734</v>
      </c>
      <c r="I360" s="139"/>
    </row>
    <row r="361" spans="1:9" ht="27.75" customHeight="1" thickBot="1">
      <c r="A361" s="221" t="s">
        <v>872</v>
      </c>
      <c r="B361" s="316" t="s">
        <v>829</v>
      </c>
      <c r="C361" s="384">
        <v>2</v>
      </c>
      <c r="D361" s="383">
        <v>47.7</v>
      </c>
      <c r="E361" s="383">
        <v>5.5</v>
      </c>
      <c r="F361" s="383"/>
      <c r="G361" s="382"/>
      <c r="H361" s="330">
        <f>+E361*D361*C361</f>
        <v>524.7</v>
      </c>
      <c r="I361" s="381" t="s">
        <v>871</v>
      </c>
    </row>
    <row r="362" spans="1:9" ht="27.75" customHeight="1" thickBot="1">
      <c r="A362" s="379" t="s">
        <v>870</v>
      </c>
      <c r="B362" s="358" t="s">
        <v>829</v>
      </c>
      <c r="C362" s="378"/>
      <c r="D362" s="377">
        <v>47.7</v>
      </c>
      <c r="E362" s="377">
        <v>6.5</v>
      </c>
      <c r="F362" s="377"/>
      <c r="G362" s="376"/>
      <c r="H362" s="380">
        <f>+E362*D362</f>
        <v>310.05</v>
      </c>
      <c r="I362" s="375" t="s">
        <v>869</v>
      </c>
    </row>
    <row r="363" spans="1:9" ht="27.75" customHeight="1" thickBot="1">
      <c r="A363" s="379" t="s">
        <v>868</v>
      </c>
      <c r="B363" s="358" t="s">
        <v>829</v>
      </c>
      <c r="C363" s="378">
        <v>2</v>
      </c>
      <c r="D363" s="377">
        <v>47.7</v>
      </c>
      <c r="E363" s="377">
        <v>0.5</v>
      </c>
      <c r="F363" s="377"/>
      <c r="G363" s="376"/>
      <c r="H363" s="330">
        <f>+E363*D363*C363</f>
        <v>47.7</v>
      </c>
      <c r="I363" s="375" t="s">
        <v>867</v>
      </c>
    </row>
    <row r="364" spans="1:9" ht="23.25" customHeight="1" thickBot="1">
      <c r="A364" s="374" t="s">
        <v>866</v>
      </c>
      <c r="B364" s="313" t="s">
        <v>829</v>
      </c>
      <c r="C364" s="373"/>
      <c r="D364" s="372">
        <f>45.7+2</f>
        <v>47.7</v>
      </c>
      <c r="E364" s="372">
        <v>2.08</v>
      </c>
      <c r="F364" s="372"/>
      <c r="G364" s="371"/>
      <c r="H364" s="370">
        <f>+D364*E364+9.3</f>
        <v>108.516</v>
      </c>
      <c r="I364" s="369" t="s">
        <v>865</v>
      </c>
    </row>
    <row r="365" spans="1:9" ht="12.75">
      <c r="A365" s="368"/>
      <c r="B365" s="367"/>
      <c r="C365" s="367"/>
      <c r="D365" s="367"/>
      <c r="E365" s="367"/>
      <c r="F365" s="367"/>
      <c r="G365" s="367"/>
      <c r="H365" s="367"/>
      <c r="I365" s="367"/>
    </row>
    <row r="366" ht="13.5" thickBot="1"/>
    <row r="367" spans="1:9" ht="31.5" customHeight="1" thickBot="1">
      <c r="A367" s="291" t="s">
        <v>864</v>
      </c>
      <c r="B367" s="290"/>
      <c r="C367" s="290"/>
      <c r="D367" s="290"/>
      <c r="E367" s="290"/>
      <c r="F367" s="290"/>
      <c r="G367" s="290"/>
      <c r="H367" s="290"/>
      <c r="I367" s="289"/>
    </row>
    <row r="368" spans="1:9" ht="13.5" thickBot="1">
      <c r="A368" s="368"/>
      <c r="B368" s="367"/>
      <c r="C368" s="367"/>
      <c r="D368" s="367"/>
      <c r="E368" s="367"/>
      <c r="F368" s="367"/>
      <c r="G368" s="367"/>
      <c r="H368" s="367"/>
      <c r="I368" s="367"/>
    </row>
    <row r="369" spans="1:9" ht="12.75">
      <c r="A369" s="202" t="s">
        <v>773</v>
      </c>
      <c r="B369" s="110" t="s">
        <v>31</v>
      </c>
      <c r="C369" s="110" t="s">
        <v>772</v>
      </c>
      <c r="D369" s="107" t="s">
        <v>743</v>
      </c>
      <c r="E369" s="107" t="s">
        <v>742</v>
      </c>
      <c r="F369" s="109"/>
      <c r="G369" s="107"/>
      <c r="H369" s="201" t="s">
        <v>741</v>
      </c>
      <c r="I369" s="106"/>
    </row>
    <row r="370" spans="1:9" ht="13.5" thickBot="1">
      <c r="A370" s="200"/>
      <c r="B370" s="199"/>
      <c r="C370" s="199"/>
      <c r="D370" s="198" t="s">
        <v>733</v>
      </c>
      <c r="E370" s="198" t="s">
        <v>733</v>
      </c>
      <c r="F370" s="197"/>
      <c r="G370" s="198"/>
      <c r="H370" s="196" t="s">
        <v>734</v>
      </c>
      <c r="I370" s="222"/>
    </row>
    <row r="371" spans="1:9" ht="36" customHeight="1" thickBot="1">
      <c r="A371" s="195" t="s">
        <v>863</v>
      </c>
      <c r="B371" s="224" t="s">
        <v>829</v>
      </c>
      <c r="C371" s="365"/>
      <c r="D371" s="365"/>
      <c r="E371" s="365"/>
      <c r="F371" s="365"/>
      <c r="G371" s="365"/>
      <c r="H371" s="166">
        <f>+H364</f>
        <v>108.516</v>
      </c>
      <c r="I371" s="204" t="s">
        <v>862</v>
      </c>
    </row>
    <row r="372" spans="1:9" ht="36" customHeight="1" thickBot="1">
      <c r="A372" s="195" t="s">
        <v>861</v>
      </c>
      <c r="B372" s="224" t="s">
        <v>829</v>
      </c>
      <c r="C372" s="365"/>
      <c r="D372" s="365"/>
      <c r="E372" s="366"/>
      <c r="F372" s="365"/>
      <c r="G372" s="365"/>
      <c r="H372" s="330">
        <f>+F274+F278</f>
        <v>63.209999999999994</v>
      </c>
      <c r="I372" s="204" t="s">
        <v>860</v>
      </c>
    </row>
    <row r="373" spans="1:9" ht="15" customHeight="1">
      <c r="A373" s="364"/>
      <c r="B373" s="363"/>
      <c r="C373" s="363"/>
      <c r="D373" s="363"/>
      <c r="E373" s="363"/>
      <c r="F373" s="363"/>
      <c r="G373" s="363"/>
      <c r="H373" s="363"/>
      <c r="I373" s="363"/>
    </row>
    <row r="374" ht="13.5" thickBot="1"/>
    <row r="375" spans="1:9" ht="31.5" customHeight="1" thickBot="1">
      <c r="A375" s="291" t="s">
        <v>859</v>
      </c>
      <c r="B375" s="290"/>
      <c r="C375" s="290"/>
      <c r="D375" s="290"/>
      <c r="E375" s="290"/>
      <c r="F375" s="290"/>
      <c r="G375" s="290"/>
      <c r="H375" s="290"/>
      <c r="I375" s="289"/>
    </row>
    <row r="377" ht="15.75">
      <c r="A377" s="185" t="s">
        <v>858</v>
      </c>
    </row>
    <row r="378" ht="11.25" customHeight="1" thickBot="1">
      <c r="A378" s="185"/>
    </row>
    <row r="379" spans="1:9" ht="12.75">
      <c r="A379" s="202" t="s">
        <v>773</v>
      </c>
      <c r="B379" s="110" t="s">
        <v>31</v>
      </c>
      <c r="C379" s="323" t="s">
        <v>772</v>
      </c>
      <c r="D379" s="107" t="s">
        <v>743</v>
      </c>
      <c r="E379" s="107" t="s">
        <v>742</v>
      </c>
      <c r="F379" s="109"/>
      <c r="G379" s="107"/>
      <c r="H379" s="201" t="s">
        <v>741</v>
      </c>
      <c r="I379" s="106" t="s">
        <v>771</v>
      </c>
    </row>
    <row r="380" spans="1:9" ht="13.5" thickBot="1">
      <c r="A380" s="200"/>
      <c r="B380" s="199"/>
      <c r="C380" s="344" t="s">
        <v>760</v>
      </c>
      <c r="D380" s="198" t="s">
        <v>733</v>
      </c>
      <c r="E380" s="198" t="s">
        <v>733</v>
      </c>
      <c r="F380" s="197"/>
      <c r="G380" s="198"/>
      <c r="H380" s="196" t="s">
        <v>734</v>
      </c>
      <c r="I380" s="222"/>
    </row>
    <row r="381" spans="1:9" ht="25.5">
      <c r="A381" s="362" t="s">
        <v>857</v>
      </c>
      <c r="B381" s="361" t="s">
        <v>829</v>
      </c>
      <c r="C381" s="360"/>
      <c r="D381" s="339">
        <f>2+45.7</f>
        <v>47.7</v>
      </c>
      <c r="E381" s="339">
        <v>10</v>
      </c>
      <c r="F381" s="339"/>
      <c r="G381" s="338"/>
      <c r="H381" s="359">
        <f>+D381*E381</f>
        <v>477</v>
      </c>
      <c r="I381" s="337" t="s">
        <v>856</v>
      </c>
    </row>
    <row r="382" spans="1:9" ht="39" thickBot="1">
      <c r="A382" s="218" t="s">
        <v>855</v>
      </c>
      <c r="B382" s="358" t="s">
        <v>829</v>
      </c>
      <c r="C382" s="61"/>
      <c r="D382" s="339">
        <f>2+45.7</f>
        <v>47.7</v>
      </c>
      <c r="E382" s="339">
        <f>1+2.5</f>
        <v>3.5</v>
      </c>
      <c r="F382" s="339"/>
      <c r="G382" s="338"/>
      <c r="H382" s="357">
        <f>+D382*E382</f>
        <v>166.95000000000002</v>
      </c>
      <c r="I382" s="337" t="s">
        <v>854</v>
      </c>
    </row>
    <row r="383" spans="1:9" ht="12.75">
      <c r="A383" s="202" t="s">
        <v>773</v>
      </c>
      <c r="B383" s="110" t="s">
        <v>31</v>
      </c>
      <c r="C383" s="236" t="s">
        <v>740</v>
      </c>
      <c r="D383" s="235" t="s">
        <v>743</v>
      </c>
      <c r="E383" s="235"/>
      <c r="F383" s="234"/>
      <c r="G383" s="235"/>
      <c r="H383" s="234" t="s">
        <v>741</v>
      </c>
      <c r="I383" s="106" t="s">
        <v>771</v>
      </c>
    </row>
    <row r="384" spans="1:9" ht="13.5" thickBot="1">
      <c r="A384" s="200"/>
      <c r="B384" s="199"/>
      <c r="C384" s="319" t="s">
        <v>733</v>
      </c>
      <c r="D384" s="317" t="s">
        <v>733</v>
      </c>
      <c r="E384" s="317"/>
      <c r="F384" s="318"/>
      <c r="G384" s="317"/>
      <c r="H384" s="229" t="s">
        <v>734</v>
      </c>
      <c r="I384" s="222"/>
    </row>
    <row r="385" spans="1:9" ht="28.5" customHeight="1">
      <c r="A385" s="356" t="s">
        <v>853</v>
      </c>
      <c r="B385" s="350" t="s">
        <v>829</v>
      </c>
      <c r="C385" s="355"/>
      <c r="D385" s="354"/>
      <c r="E385" s="354"/>
      <c r="F385" s="354"/>
      <c r="G385" s="353"/>
      <c r="H385" s="352"/>
      <c r="I385" s="207"/>
    </row>
    <row r="386" spans="1:9" ht="18" customHeight="1">
      <c r="A386" s="351" t="s">
        <v>852</v>
      </c>
      <c r="B386" s="350" t="s">
        <v>829</v>
      </c>
      <c r="C386" s="297">
        <v>5.7</v>
      </c>
      <c r="D386" s="297">
        <v>17</v>
      </c>
      <c r="E386" s="297"/>
      <c r="F386" s="297"/>
      <c r="G386" s="62"/>
      <c r="H386" s="349">
        <f>+C386*D386</f>
        <v>96.9</v>
      </c>
      <c r="I386" s="177"/>
    </row>
    <row r="387" spans="1:9" ht="18" customHeight="1">
      <c r="A387" s="351" t="s">
        <v>851</v>
      </c>
      <c r="B387" s="350" t="s">
        <v>829</v>
      </c>
      <c r="C387" s="297">
        <v>3.5</v>
      </c>
      <c r="D387" s="297">
        <v>27</v>
      </c>
      <c r="E387" s="297"/>
      <c r="F387" s="297"/>
      <c r="G387" s="62"/>
      <c r="H387" s="349">
        <f>+C387*D387</f>
        <v>94.5</v>
      </c>
      <c r="I387" s="177"/>
    </row>
    <row r="388" spans="1:9" ht="18" customHeight="1">
      <c r="A388" s="351" t="s">
        <v>850</v>
      </c>
      <c r="B388" s="350" t="s">
        <v>829</v>
      </c>
      <c r="C388" s="297">
        <v>4.8</v>
      </c>
      <c r="D388" s="297">
        <v>14</v>
      </c>
      <c r="E388" s="297"/>
      <c r="F388" s="297"/>
      <c r="G388" s="62"/>
      <c r="H388" s="349">
        <f>+C388*D388</f>
        <v>67.2</v>
      </c>
      <c r="I388" s="177"/>
    </row>
    <row r="389" spans="1:9" ht="18" customHeight="1" thickBot="1">
      <c r="A389" s="351" t="s">
        <v>849</v>
      </c>
      <c r="B389" s="350" t="s">
        <v>829</v>
      </c>
      <c r="C389" s="297">
        <v>3.5</v>
      </c>
      <c r="D389" s="297">
        <v>17</v>
      </c>
      <c r="E389" s="297"/>
      <c r="F389" s="297"/>
      <c r="G389" s="62"/>
      <c r="H389" s="349">
        <f>+C389*D389</f>
        <v>59.5</v>
      </c>
      <c r="I389" s="177"/>
    </row>
    <row r="390" spans="1:9" ht="22.5" customHeight="1" thickBot="1">
      <c r="A390" s="310" t="s">
        <v>841</v>
      </c>
      <c r="B390" s="309" t="s">
        <v>829</v>
      </c>
      <c r="C390" s="309"/>
      <c r="D390" s="308"/>
      <c r="E390" s="308"/>
      <c r="F390" s="307"/>
      <c r="G390" s="306"/>
      <c r="H390" s="330">
        <f>SUM(H386:H389)</f>
        <v>318.1</v>
      </c>
      <c r="I390" s="329" t="s">
        <v>848</v>
      </c>
    </row>
    <row r="391" spans="1:9" ht="28.5" customHeight="1">
      <c r="A391" s="348"/>
      <c r="B391" s="347"/>
      <c r="C391" s="117"/>
      <c r="D391" s="117"/>
      <c r="E391" s="117"/>
      <c r="F391" s="117"/>
      <c r="G391" s="117"/>
      <c r="H391" s="346"/>
      <c r="I391" s="345"/>
    </row>
    <row r="392" spans="1:9" ht="15.75">
      <c r="A392" s="185" t="s">
        <v>847</v>
      </c>
      <c r="B392" s="146"/>
      <c r="C392" s="117"/>
      <c r="D392" s="117"/>
      <c r="E392" s="117"/>
      <c r="F392" s="117"/>
      <c r="G392" s="117"/>
      <c r="H392" s="117"/>
      <c r="I392" s="146"/>
    </row>
    <row r="393" spans="1:9" ht="8.25" customHeight="1" thickBot="1">
      <c r="A393" s="185"/>
      <c r="B393" s="146"/>
      <c r="C393" s="117"/>
      <c r="D393" s="117"/>
      <c r="E393" s="117"/>
      <c r="F393" s="117"/>
      <c r="G393" s="117"/>
      <c r="H393" s="117"/>
      <c r="I393" s="146"/>
    </row>
    <row r="394" spans="1:9" ht="12.75">
      <c r="A394" s="202" t="s">
        <v>773</v>
      </c>
      <c r="B394" s="110" t="s">
        <v>31</v>
      </c>
      <c r="C394" s="323" t="s">
        <v>772</v>
      </c>
      <c r="D394" s="107" t="s">
        <v>743</v>
      </c>
      <c r="E394" s="107" t="s">
        <v>742</v>
      </c>
      <c r="F394" s="109"/>
      <c r="G394" s="107"/>
      <c r="H394" s="201" t="s">
        <v>741</v>
      </c>
      <c r="I394" s="106" t="s">
        <v>771</v>
      </c>
    </row>
    <row r="395" spans="1:9" ht="13.5" thickBot="1">
      <c r="A395" s="200"/>
      <c r="B395" s="199"/>
      <c r="C395" s="344" t="s">
        <v>760</v>
      </c>
      <c r="D395" s="198" t="s">
        <v>733</v>
      </c>
      <c r="E395" s="198" t="s">
        <v>733</v>
      </c>
      <c r="F395" s="197"/>
      <c r="G395" s="198"/>
      <c r="H395" s="227" t="s">
        <v>734</v>
      </c>
      <c r="I395" s="139"/>
    </row>
    <row r="396" spans="1:9" ht="23.25" customHeight="1" thickBot="1">
      <c r="A396" s="343" t="s">
        <v>846</v>
      </c>
      <c r="B396" s="164" t="s">
        <v>734</v>
      </c>
      <c r="C396" s="225">
        <v>2</v>
      </c>
      <c r="D396" s="186">
        <v>47.7</v>
      </c>
      <c r="E396" s="186">
        <f>0.32</f>
        <v>0.32</v>
      </c>
      <c r="F396" s="186"/>
      <c r="G396" s="321"/>
      <c r="H396" s="330">
        <f>+D396*E396*C396</f>
        <v>30.528000000000002</v>
      </c>
      <c r="I396" s="204" t="s">
        <v>845</v>
      </c>
    </row>
    <row r="397" spans="1:9" ht="23.25" customHeight="1" thickBot="1">
      <c r="A397" s="342" t="s">
        <v>844</v>
      </c>
      <c r="B397" s="341" t="s">
        <v>734</v>
      </c>
      <c r="C397" s="340">
        <v>2</v>
      </c>
      <c r="D397" s="339">
        <v>0.4</v>
      </c>
      <c r="E397" s="339">
        <v>9.9</v>
      </c>
      <c r="F397" s="339"/>
      <c r="G397" s="338"/>
      <c r="H397" s="332">
        <f>+D397*E397*C397</f>
        <v>7.920000000000001</v>
      </c>
      <c r="I397" s="337"/>
    </row>
    <row r="398" spans="1:9" ht="23.25" customHeight="1" thickBot="1">
      <c r="A398" s="336" t="s">
        <v>843</v>
      </c>
      <c r="B398" s="178" t="s">
        <v>734</v>
      </c>
      <c r="C398" s="249">
        <v>2</v>
      </c>
      <c r="D398" s="297">
        <v>2.2</v>
      </c>
      <c r="E398" s="297">
        <v>9.9</v>
      </c>
      <c r="F398" s="297"/>
      <c r="G398" s="62"/>
      <c r="H398" s="332">
        <f>+D398*E398*C398</f>
        <v>43.56</v>
      </c>
      <c r="I398" s="216"/>
    </row>
    <row r="399" spans="1:9" ht="21" customHeight="1" thickBot="1">
      <c r="A399" s="335" t="s">
        <v>842</v>
      </c>
      <c r="B399" s="332" t="s">
        <v>734</v>
      </c>
      <c r="C399" s="334"/>
      <c r="D399" s="131">
        <v>47.7</v>
      </c>
      <c r="E399" s="131">
        <v>0.6</v>
      </c>
      <c r="F399" s="131"/>
      <c r="G399" s="333"/>
      <c r="H399" s="332">
        <f>+D399*E399</f>
        <v>28.62</v>
      </c>
      <c r="I399" s="331"/>
    </row>
    <row r="400" spans="1:9" ht="22.5" customHeight="1" thickBot="1">
      <c r="A400" s="310" t="s">
        <v>841</v>
      </c>
      <c r="B400" s="309" t="s">
        <v>712</v>
      </c>
      <c r="C400" s="309"/>
      <c r="D400" s="308"/>
      <c r="E400" s="308"/>
      <c r="F400" s="307"/>
      <c r="G400" s="306"/>
      <c r="H400" s="330">
        <f>SUM(H397:H399)</f>
        <v>80.10000000000001</v>
      </c>
      <c r="I400" s="329" t="s">
        <v>840</v>
      </c>
    </row>
    <row r="402" ht="15.75">
      <c r="A402" s="185" t="s">
        <v>839</v>
      </c>
    </row>
    <row r="403" ht="13.5" thickBot="1"/>
    <row r="404" spans="1:9" ht="12.75">
      <c r="A404" s="202" t="s">
        <v>773</v>
      </c>
      <c r="B404" s="110" t="s">
        <v>31</v>
      </c>
      <c r="C404" s="110"/>
      <c r="D404" s="107"/>
      <c r="E404" s="107"/>
      <c r="F404" s="109"/>
      <c r="G404" s="107"/>
      <c r="H404" s="201" t="s">
        <v>741</v>
      </c>
      <c r="I404" s="106" t="s">
        <v>771</v>
      </c>
    </row>
    <row r="405" spans="1:9" ht="13.5" thickBot="1">
      <c r="A405" s="200"/>
      <c r="B405" s="199"/>
      <c r="C405" s="199"/>
      <c r="D405" s="198"/>
      <c r="E405" s="198"/>
      <c r="F405" s="197"/>
      <c r="G405" s="198"/>
      <c r="H405" s="196" t="s">
        <v>734</v>
      </c>
      <c r="I405" s="222"/>
    </row>
    <row r="406" spans="1:9" ht="25.5">
      <c r="A406" s="221" t="s">
        <v>838</v>
      </c>
      <c r="B406" s="183" t="s">
        <v>734</v>
      </c>
      <c r="C406" s="253"/>
      <c r="D406" s="287"/>
      <c r="E406" s="287"/>
      <c r="F406" s="287"/>
      <c r="G406" s="328"/>
      <c r="H406" s="327">
        <v>1300</v>
      </c>
      <c r="I406" s="219" t="s">
        <v>836</v>
      </c>
    </row>
    <row r="407" spans="1:9" ht="25.5">
      <c r="A407" s="218" t="s">
        <v>837</v>
      </c>
      <c r="B407" s="178" t="s">
        <v>734</v>
      </c>
      <c r="C407" s="249"/>
      <c r="D407" s="297"/>
      <c r="E407" s="297"/>
      <c r="F407" s="297"/>
      <c r="G407" s="62"/>
      <c r="H407" s="326">
        <v>410</v>
      </c>
      <c r="I407" s="216" t="s">
        <v>836</v>
      </c>
    </row>
    <row r="408" spans="1:9" ht="23.25" customHeight="1" thickBot="1">
      <c r="A408" s="267" t="s">
        <v>491</v>
      </c>
      <c r="B408" s="325" t="s">
        <v>734</v>
      </c>
      <c r="C408" s="259"/>
      <c r="D408" s="282"/>
      <c r="E408" s="282"/>
      <c r="F408" s="282"/>
      <c r="G408" s="53"/>
      <c r="H408" s="324">
        <f>410+1300</f>
        <v>1710</v>
      </c>
      <c r="I408" s="263" t="s">
        <v>835</v>
      </c>
    </row>
    <row r="410" ht="15.75">
      <c r="A410" s="185" t="s">
        <v>834</v>
      </c>
    </row>
    <row r="411" ht="13.5" thickBot="1"/>
    <row r="412" spans="1:9" ht="12.75">
      <c r="A412" s="202" t="s">
        <v>773</v>
      </c>
      <c r="B412" s="110" t="s">
        <v>31</v>
      </c>
      <c r="C412" s="323" t="s">
        <v>772</v>
      </c>
      <c r="D412" s="107" t="s">
        <v>743</v>
      </c>
      <c r="E412" s="107"/>
      <c r="F412" s="109"/>
      <c r="G412" s="107"/>
      <c r="H412" s="201" t="s">
        <v>743</v>
      </c>
      <c r="I412" s="106" t="s">
        <v>771</v>
      </c>
    </row>
    <row r="413" spans="1:9" ht="13.5" thickBot="1">
      <c r="A413" s="232"/>
      <c r="B413" s="143"/>
      <c r="C413" s="322" t="s">
        <v>760</v>
      </c>
      <c r="D413" s="140" t="s">
        <v>733</v>
      </c>
      <c r="E413" s="140"/>
      <c r="F413" s="142"/>
      <c r="G413" s="140"/>
      <c r="H413" s="227" t="s">
        <v>733</v>
      </c>
      <c r="I413" s="139"/>
    </row>
    <row r="414" spans="1:9" ht="20.25" customHeight="1" thickBot="1">
      <c r="A414" s="292" t="s">
        <v>498</v>
      </c>
      <c r="B414" s="186" t="s">
        <v>733</v>
      </c>
      <c r="C414" s="186">
        <v>3</v>
      </c>
      <c r="D414" s="186">
        <v>55.7</v>
      </c>
      <c r="E414" s="186"/>
      <c r="F414" s="186"/>
      <c r="G414" s="321"/>
      <c r="H414" s="320">
        <f>3*55.7</f>
        <v>167.10000000000002</v>
      </c>
      <c r="I414" s="204" t="s">
        <v>833</v>
      </c>
    </row>
    <row r="416" ht="15.75">
      <c r="A416" s="185" t="s">
        <v>832</v>
      </c>
    </row>
    <row r="417" ht="13.5" thickBot="1"/>
    <row r="418" spans="1:9" ht="12.75">
      <c r="A418" s="202" t="s">
        <v>773</v>
      </c>
      <c r="B418" s="110" t="s">
        <v>31</v>
      </c>
      <c r="C418" s="236" t="s">
        <v>740</v>
      </c>
      <c r="D418" s="235" t="s">
        <v>743</v>
      </c>
      <c r="E418" s="235"/>
      <c r="F418" s="234"/>
      <c r="G418" s="235"/>
      <c r="H418" s="234" t="s">
        <v>741</v>
      </c>
      <c r="I418" s="106" t="s">
        <v>771</v>
      </c>
    </row>
    <row r="419" spans="1:9" ht="13.5" thickBot="1">
      <c r="A419" s="200"/>
      <c r="B419" s="199"/>
      <c r="C419" s="319" t="s">
        <v>733</v>
      </c>
      <c r="D419" s="317" t="s">
        <v>733</v>
      </c>
      <c r="E419" s="317"/>
      <c r="F419" s="318"/>
      <c r="G419" s="317"/>
      <c r="H419" s="229" t="s">
        <v>734</v>
      </c>
      <c r="I419" s="222"/>
    </row>
    <row r="420" spans="1:9" ht="29.25" customHeight="1">
      <c r="A420" s="221" t="s">
        <v>831</v>
      </c>
      <c r="B420" s="316" t="s">
        <v>829</v>
      </c>
      <c r="C420" s="315">
        <v>1.6</v>
      </c>
      <c r="D420" s="181">
        <v>7.2</v>
      </c>
      <c r="E420" s="181"/>
      <c r="F420" s="181"/>
      <c r="G420" s="220"/>
      <c r="H420" s="284">
        <f>+D420*C420</f>
        <v>11.520000000000001</v>
      </c>
      <c r="I420" s="219"/>
    </row>
    <row r="421" spans="1:9" ht="29.25" customHeight="1" thickBot="1">
      <c r="A421" s="314" t="s">
        <v>830</v>
      </c>
      <c r="B421" s="313" t="s">
        <v>829</v>
      </c>
      <c r="C421" s="312">
        <v>1.6</v>
      </c>
      <c r="D421" s="265">
        <f>2.9+0.5</f>
        <v>3.4</v>
      </c>
      <c r="E421" s="265"/>
      <c r="F421" s="265"/>
      <c r="G421" s="280"/>
      <c r="H421" s="311">
        <f>+D421*C421</f>
        <v>5.44</v>
      </c>
      <c r="I421" s="263"/>
    </row>
    <row r="422" spans="1:9" ht="22.5" customHeight="1" thickBot="1">
      <c r="A422" s="310" t="s">
        <v>828</v>
      </c>
      <c r="B422" s="309" t="s">
        <v>734</v>
      </c>
      <c r="C422" s="309"/>
      <c r="D422" s="308"/>
      <c r="E422" s="308"/>
      <c r="F422" s="307"/>
      <c r="G422" s="306"/>
      <c r="H422" s="305">
        <f>SUM(H420:H421)</f>
        <v>16.96</v>
      </c>
      <c r="I422" s="304" t="s">
        <v>827</v>
      </c>
    </row>
    <row r="425" ht="13.5" thickBot="1"/>
    <row r="426" spans="1:9" ht="31.5" customHeight="1" thickBot="1">
      <c r="A426" s="291" t="s">
        <v>826</v>
      </c>
      <c r="B426" s="290"/>
      <c r="C426" s="290"/>
      <c r="D426" s="290"/>
      <c r="E426" s="290"/>
      <c r="F426" s="290"/>
      <c r="G426" s="290"/>
      <c r="H426" s="290"/>
      <c r="I426" s="289"/>
    </row>
    <row r="428" ht="15.75">
      <c r="A428" s="185" t="s">
        <v>825</v>
      </c>
    </row>
    <row r="429" ht="7.5" customHeight="1" thickBot="1"/>
    <row r="430" spans="1:9" ht="12.75">
      <c r="A430" s="202" t="s">
        <v>773</v>
      </c>
      <c r="B430" s="110" t="s">
        <v>31</v>
      </c>
      <c r="C430" s="110" t="s">
        <v>772</v>
      </c>
      <c r="D430" s="107" t="s">
        <v>743</v>
      </c>
      <c r="E430" s="107"/>
      <c r="F430" s="109"/>
      <c r="G430" s="107"/>
      <c r="H430" s="109" t="s">
        <v>743</v>
      </c>
      <c r="I430" s="106" t="s">
        <v>771</v>
      </c>
    </row>
    <row r="431" spans="1:9" ht="13.5" thickBot="1">
      <c r="A431" s="200"/>
      <c r="B431" s="199"/>
      <c r="C431" s="199" t="s">
        <v>760</v>
      </c>
      <c r="D431" s="198" t="s">
        <v>733</v>
      </c>
      <c r="E431" s="198"/>
      <c r="F431" s="197"/>
      <c r="G431" s="198"/>
      <c r="H431" s="197" t="s">
        <v>733</v>
      </c>
      <c r="I431" s="222"/>
    </row>
    <row r="432" spans="1:9" ht="20.25" customHeight="1" thickBot="1">
      <c r="A432" s="283" t="s">
        <v>824</v>
      </c>
      <c r="B432" s="282" t="s">
        <v>733</v>
      </c>
      <c r="C432" s="265">
        <v>2</v>
      </c>
      <c r="D432" s="265">
        <v>4</v>
      </c>
      <c r="E432" s="265"/>
      <c r="F432" s="265"/>
      <c r="G432" s="265"/>
      <c r="H432" s="303">
        <f>+C432*D432</f>
        <v>8</v>
      </c>
      <c r="I432" s="278" t="s">
        <v>823</v>
      </c>
    </row>
    <row r="434" ht="15.75">
      <c r="A434" s="185" t="s">
        <v>822</v>
      </c>
    </row>
    <row r="435" ht="6.75" customHeight="1" thickBot="1"/>
    <row r="436" spans="1:9" ht="36.75" customHeight="1" thickBot="1">
      <c r="A436" s="288" t="s">
        <v>821</v>
      </c>
      <c r="B436" s="287" t="s">
        <v>733</v>
      </c>
      <c r="C436" s="181"/>
      <c r="D436" s="181"/>
      <c r="E436" s="181"/>
      <c r="F436" s="181"/>
      <c r="G436" s="181"/>
      <c r="H436" s="302">
        <v>20</v>
      </c>
      <c r="I436" s="299" t="s">
        <v>820</v>
      </c>
    </row>
    <row r="437" spans="1:9" ht="36" customHeight="1">
      <c r="A437" s="301" t="s">
        <v>819</v>
      </c>
      <c r="B437" s="297" t="s">
        <v>733</v>
      </c>
      <c r="C437" s="176"/>
      <c r="D437" s="176"/>
      <c r="E437" s="176"/>
      <c r="F437" s="176"/>
      <c r="G437" s="176"/>
      <c r="H437" s="300">
        <f>9.6+13.5</f>
        <v>23.1</v>
      </c>
      <c r="I437" s="299" t="s">
        <v>818</v>
      </c>
    </row>
    <row r="438" spans="1:9" ht="20.25" customHeight="1">
      <c r="A438" s="298" t="s">
        <v>817</v>
      </c>
      <c r="B438" s="297" t="s">
        <v>733</v>
      </c>
      <c r="C438" s="296">
        <v>8</v>
      </c>
      <c r="D438" s="296">
        <v>0.3</v>
      </c>
      <c r="E438" s="296"/>
      <c r="F438" s="296"/>
      <c r="G438" s="296"/>
      <c r="H438" s="295">
        <f>+C438*D438</f>
        <v>2.4</v>
      </c>
      <c r="I438" s="294"/>
    </row>
    <row r="439" spans="1:9" ht="20.25" customHeight="1" thickBot="1">
      <c r="A439" s="283" t="s">
        <v>816</v>
      </c>
      <c r="B439" s="282" t="s">
        <v>733</v>
      </c>
      <c r="C439" s="265">
        <v>17</v>
      </c>
      <c r="D439" s="265">
        <v>4</v>
      </c>
      <c r="E439" s="265"/>
      <c r="F439" s="265"/>
      <c r="G439" s="265"/>
      <c r="H439" s="293">
        <v>68</v>
      </c>
      <c r="I439" s="278"/>
    </row>
    <row r="440" ht="13.5" thickBot="1"/>
    <row r="441" spans="1:9" ht="18" customHeight="1" thickBot="1">
      <c r="A441" s="292" t="s">
        <v>815</v>
      </c>
      <c r="B441" s="43" t="s">
        <v>691</v>
      </c>
      <c r="C441" s="162"/>
      <c r="D441" s="162"/>
      <c r="E441" s="162"/>
      <c r="F441" s="162"/>
      <c r="G441" s="206"/>
      <c r="H441" s="205">
        <v>2</v>
      </c>
      <c r="I441" s="204"/>
    </row>
    <row r="442" ht="13.5" thickBot="1"/>
    <row r="443" spans="1:9" ht="18" customHeight="1" thickBot="1">
      <c r="A443" s="292" t="s">
        <v>518</v>
      </c>
      <c r="B443" s="43" t="s">
        <v>691</v>
      </c>
      <c r="C443" s="162">
        <v>2</v>
      </c>
      <c r="D443" s="162">
        <v>9.5</v>
      </c>
      <c r="E443" s="162"/>
      <c r="F443" s="162"/>
      <c r="G443" s="206"/>
      <c r="H443" s="205">
        <f>+C443*D443</f>
        <v>19</v>
      </c>
      <c r="I443" s="204" t="s">
        <v>814</v>
      </c>
    </row>
    <row r="445" ht="13.5" thickBot="1"/>
    <row r="446" spans="1:9" ht="31.5" customHeight="1" thickBot="1">
      <c r="A446" s="291" t="s">
        <v>813</v>
      </c>
      <c r="B446" s="290"/>
      <c r="C446" s="290"/>
      <c r="D446" s="290"/>
      <c r="E446" s="290"/>
      <c r="F446" s="290"/>
      <c r="G446" s="290"/>
      <c r="H446" s="290"/>
      <c r="I446" s="289"/>
    </row>
    <row r="449" ht="15.75">
      <c r="A449" s="185" t="s">
        <v>812</v>
      </c>
    </row>
    <row r="450" ht="6" customHeight="1" thickBot="1">
      <c r="A450" s="185"/>
    </row>
    <row r="451" spans="1:9" ht="12.75">
      <c r="A451" s="202" t="s">
        <v>773</v>
      </c>
      <c r="B451" s="110" t="s">
        <v>31</v>
      </c>
      <c r="C451" s="110" t="s">
        <v>772</v>
      </c>
      <c r="D451" s="107"/>
      <c r="E451" s="107"/>
      <c r="F451" s="109"/>
      <c r="G451" s="107"/>
      <c r="H451" s="201" t="s">
        <v>772</v>
      </c>
      <c r="I451" s="201" t="s">
        <v>771</v>
      </c>
    </row>
    <row r="452" spans="1:9" ht="13.5" thickBot="1">
      <c r="A452" s="200"/>
      <c r="B452" s="199"/>
      <c r="C452" s="199" t="s">
        <v>760</v>
      </c>
      <c r="D452" s="198"/>
      <c r="E452" s="198"/>
      <c r="F452" s="197"/>
      <c r="G452" s="198"/>
      <c r="H452" s="196" t="s">
        <v>760</v>
      </c>
      <c r="I452" s="196"/>
    </row>
    <row r="453" spans="1:9" ht="21" customHeight="1">
      <c r="A453" s="288" t="s">
        <v>523</v>
      </c>
      <c r="B453" s="287" t="s">
        <v>760</v>
      </c>
      <c r="C453" s="286">
        <v>2</v>
      </c>
      <c r="D453" s="181"/>
      <c r="E453" s="181"/>
      <c r="F453" s="181"/>
      <c r="G453" s="220"/>
      <c r="H453" s="285">
        <v>2</v>
      </c>
      <c r="I453" s="284" t="s">
        <v>810</v>
      </c>
    </row>
    <row r="454" spans="1:9" ht="26.25" thickBot="1">
      <c r="A454" s="283" t="s">
        <v>811</v>
      </c>
      <c r="B454" s="282" t="s">
        <v>760</v>
      </c>
      <c r="C454" s="281">
        <v>2</v>
      </c>
      <c r="D454" s="265"/>
      <c r="E454" s="265"/>
      <c r="F454" s="265"/>
      <c r="G454" s="280"/>
      <c r="H454" s="279">
        <v>2</v>
      </c>
      <c r="I454" s="278" t="s">
        <v>810</v>
      </c>
    </row>
    <row r="455" spans="1:9" ht="23.25" customHeight="1" thickBot="1">
      <c r="A455" s="277" t="s">
        <v>809</v>
      </c>
      <c r="B455" s="186" t="s">
        <v>760</v>
      </c>
      <c r="C455" s="193">
        <v>2</v>
      </c>
      <c r="D455" s="162"/>
      <c r="E455" s="162"/>
      <c r="F455" s="162"/>
      <c r="G455" s="206"/>
      <c r="H455" s="205">
        <v>2</v>
      </c>
      <c r="I455" s="276" t="s">
        <v>808</v>
      </c>
    </row>
    <row r="458" ht="15.75">
      <c r="A458" s="185" t="s">
        <v>807</v>
      </c>
    </row>
    <row r="459" ht="8.25" customHeight="1" thickBot="1"/>
    <row r="460" spans="1:9" ht="12.75">
      <c r="A460" s="202" t="s">
        <v>773</v>
      </c>
      <c r="B460" s="110" t="s">
        <v>31</v>
      </c>
      <c r="C460" s="110" t="s">
        <v>772</v>
      </c>
      <c r="D460" s="107" t="s">
        <v>743</v>
      </c>
      <c r="E460" s="107"/>
      <c r="F460" s="109"/>
      <c r="G460" s="107"/>
      <c r="H460" s="109" t="s">
        <v>743</v>
      </c>
      <c r="I460" s="201" t="s">
        <v>771</v>
      </c>
    </row>
    <row r="461" spans="1:9" ht="13.5" thickBot="1">
      <c r="A461" s="200"/>
      <c r="B461" s="199"/>
      <c r="C461" s="199" t="s">
        <v>760</v>
      </c>
      <c r="D461" s="198" t="s">
        <v>733</v>
      </c>
      <c r="E461" s="198"/>
      <c r="F461" s="197"/>
      <c r="G461" s="198"/>
      <c r="H461" s="197" t="s">
        <v>733</v>
      </c>
      <c r="I461" s="196"/>
    </row>
    <row r="462" spans="1:9" ht="24" customHeight="1" thickBot="1">
      <c r="A462" s="275" t="s">
        <v>806</v>
      </c>
      <c r="B462" s="193" t="s">
        <v>733</v>
      </c>
      <c r="C462" s="193">
        <v>2</v>
      </c>
      <c r="D462" s="193">
        <f>9.9+2*0.2</f>
        <v>10.3</v>
      </c>
      <c r="E462" s="192"/>
      <c r="F462" s="192"/>
      <c r="G462" s="192"/>
      <c r="H462" s="274">
        <f>+C462*D462</f>
        <v>20.6</v>
      </c>
      <c r="I462" s="273" t="s">
        <v>805</v>
      </c>
    </row>
    <row r="465" ht="15.75">
      <c r="A465" s="185" t="s">
        <v>804</v>
      </c>
    </row>
    <row r="466" ht="6" customHeight="1" thickBot="1">
      <c r="A466" s="185"/>
    </row>
    <row r="467" spans="1:9" ht="12.75">
      <c r="A467" s="272" t="s">
        <v>773</v>
      </c>
      <c r="B467" s="110" t="s">
        <v>31</v>
      </c>
      <c r="C467" s="110" t="s">
        <v>772</v>
      </c>
      <c r="D467" s="107"/>
      <c r="E467" s="107"/>
      <c r="F467" s="109"/>
      <c r="G467" s="107"/>
      <c r="H467" s="106" t="s">
        <v>772</v>
      </c>
      <c r="I467" s="106" t="s">
        <v>771</v>
      </c>
    </row>
    <row r="468" spans="1:9" ht="13.5" thickBot="1">
      <c r="A468" s="271"/>
      <c r="B468" s="199"/>
      <c r="C468" s="199" t="s">
        <v>760</v>
      </c>
      <c r="D468" s="198"/>
      <c r="E468" s="198"/>
      <c r="F468" s="197"/>
      <c r="G468" s="198"/>
      <c r="H468" s="222" t="s">
        <v>760</v>
      </c>
      <c r="I468" s="222"/>
    </row>
    <row r="469" spans="1:9" ht="24" customHeight="1">
      <c r="A469" s="221" t="s">
        <v>534</v>
      </c>
      <c r="B469" s="270" t="s">
        <v>760</v>
      </c>
      <c r="C469" s="269">
        <v>6</v>
      </c>
      <c r="D469" s="181"/>
      <c r="E469" s="181"/>
      <c r="F469" s="181"/>
      <c r="G469" s="181"/>
      <c r="H469" s="268">
        <v>6</v>
      </c>
      <c r="I469" s="219" t="s">
        <v>803</v>
      </c>
    </row>
    <row r="470" spans="1:9" ht="23.25" customHeight="1" thickBot="1">
      <c r="A470" s="267" t="s">
        <v>537</v>
      </c>
      <c r="B470" s="266" t="s">
        <v>760</v>
      </c>
      <c r="C470" s="52">
        <v>12</v>
      </c>
      <c r="D470" s="265"/>
      <c r="E470" s="265"/>
      <c r="F470" s="265"/>
      <c r="G470" s="265"/>
      <c r="H470" s="264">
        <v>12</v>
      </c>
      <c r="I470" s="263" t="s">
        <v>802</v>
      </c>
    </row>
    <row r="473" ht="15.75">
      <c r="A473" s="185" t="s">
        <v>792</v>
      </c>
    </row>
    <row r="474" ht="13.5" thickBot="1"/>
    <row r="475" spans="1:9" ht="12.75">
      <c r="A475" s="145" t="s">
        <v>744</v>
      </c>
      <c r="B475" s="110" t="s">
        <v>31</v>
      </c>
      <c r="C475" s="110"/>
      <c r="D475" s="107" t="s">
        <v>743</v>
      </c>
      <c r="E475" s="107" t="s">
        <v>742</v>
      </c>
      <c r="F475" s="109" t="s">
        <v>741</v>
      </c>
      <c r="G475" s="107" t="s">
        <v>740</v>
      </c>
      <c r="H475" s="109" t="s">
        <v>739</v>
      </c>
      <c r="I475" s="106" t="s">
        <v>771</v>
      </c>
    </row>
    <row r="476" spans="1:9" ht="13.5" thickBot="1">
      <c r="A476" s="144"/>
      <c r="B476" s="143"/>
      <c r="C476" s="143"/>
      <c r="D476" s="140" t="s">
        <v>733</v>
      </c>
      <c r="E476" s="140" t="s">
        <v>733</v>
      </c>
      <c r="F476" s="142" t="s">
        <v>734</v>
      </c>
      <c r="G476" s="140" t="s">
        <v>733</v>
      </c>
      <c r="H476" s="142" t="s">
        <v>728</v>
      </c>
      <c r="I476" s="222"/>
    </row>
    <row r="477" spans="1:8" ht="15.75" thickBot="1">
      <c r="A477" s="138" t="s">
        <v>730</v>
      </c>
      <c r="B477" s="137"/>
      <c r="C477" s="137"/>
      <c r="D477" s="135"/>
      <c r="E477" s="135"/>
      <c r="F477" s="136"/>
      <c r="G477" s="135"/>
      <c r="H477" s="136"/>
    </row>
    <row r="478" spans="1:9" ht="14.25">
      <c r="A478" s="262" t="s">
        <v>801</v>
      </c>
      <c r="B478" s="183" t="s">
        <v>712</v>
      </c>
      <c r="C478" s="253"/>
      <c r="D478" s="252"/>
      <c r="E478" s="252"/>
      <c r="F478" s="252">
        <v>2.1</v>
      </c>
      <c r="G478" s="252">
        <v>6</v>
      </c>
      <c r="H478" s="251">
        <f>+F478*G478</f>
        <v>12.600000000000001</v>
      </c>
      <c r="I478" s="254"/>
    </row>
    <row r="479" spans="1:9" ht="15" thickBot="1">
      <c r="A479" s="261" t="s">
        <v>800</v>
      </c>
      <c r="B479" s="260" t="s">
        <v>712</v>
      </c>
      <c r="C479" s="259"/>
      <c r="D479" s="48"/>
      <c r="E479" s="48"/>
      <c r="F479" s="48">
        <v>2.1</v>
      </c>
      <c r="G479" s="48">
        <v>6</v>
      </c>
      <c r="H479" s="258">
        <f>+F479*G479</f>
        <v>12.600000000000001</v>
      </c>
      <c r="I479" s="244"/>
    </row>
    <row r="480" spans="1:9" ht="15" thickBot="1">
      <c r="A480" s="243" t="s">
        <v>799</v>
      </c>
      <c r="B480" s="242" t="s">
        <v>712</v>
      </c>
      <c r="C480" s="242"/>
      <c r="D480" s="240"/>
      <c r="E480" s="240"/>
      <c r="F480" s="241"/>
      <c r="G480" s="240"/>
      <c r="H480" s="239">
        <f>SUM(H478:H479)</f>
        <v>25.200000000000003</v>
      </c>
      <c r="I480" s="238"/>
    </row>
    <row r="481" spans="1:8" ht="13.5" thickBot="1">
      <c r="A481" s="146"/>
      <c r="B481" s="117"/>
      <c r="C481" s="117"/>
      <c r="D481" s="116"/>
      <c r="E481" s="116"/>
      <c r="F481" s="116"/>
      <c r="G481" s="116"/>
      <c r="H481" s="115"/>
    </row>
    <row r="482" spans="1:9" ht="15.75" thickBot="1">
      <c r="A482" s="111" t="s">
        <v>798</v>
      </c>
      <c r="B482" s="137"/>
      <c r="C482" s="257"/>
      <c r="D482" s="256"/>
      <c r="E482" s="256"/>
      <c r="F482" s="255"/>
      <c r="G482" s="256"/>
      <c r="H482" s="255"/>
      <c r="I482" s="254"/>
    </row>
    <row r="483" spans="1:9" ht="14.25">
      <c r="A483" s="105" t="s">
        <v>797</v>
      </c>
      <c r="B483" s="183" t="s">
        <v>712</v>
      </c>
      <c r="C483" s="253"/>
      <c r="D483" s="252">
        <v>3.7</v>
      </c>
      <c r="E483" s="252">
        <f>2*1.5</f>
        <v>3</v>
      </c>
      <c r="F483" s="129">
        <f>+E483*D483</f>
        <v>11.100000000000001</v>
      </c>
      <c r="G483" s="125">
        <v>2.46</v>
      </c>
      <c r="H483" s="251">
        <f>+F483*G483</f>
        <v>27.306000000000004</v>
      </c>
      <c r="I483" s="244"/>
    </row>
    <row r="484" spans="1:9" ht="14.25">
      <c r="A484" s="250" t="s">
        <v>796</v>
      </c>
      <c r="B484" s="178" t="s">
        <v>712</v>
      </c>
      <c r="C484" s="249"/>
      <c r="D484" s="57"/>
      <c r="E484" s="57"/>
      <c r="F484" s="60">
        <v>24</v>
      </c>
      <c r="G484" s="57">
        <v>2.77</v>
      </c>
      <c r="H484" s="248">
        <f>+F484*G484</f>
        <v>66.48</v>
      </c>
      <c r="I484" s="244"/>
    </row>
    <row r="485" spans="1:9" ht="14.25">
      <c r="A485" s="250" t="s">
        <v>795</v>
      </c>
      <c r="B485" s="178" t="s">
        <v>712</v>
      </c>
      <c r="C485" s="249"/>
      <c r="D485" s="57"/>
      <c r="E485" s="57"/>
      <c r="F485" s="60">
        <v>24</v>
      </c>
      <c r="G485" s="57">
        <v>1.43</v>
      </c>
      <c r="H485" s="248">
        <f>+F485*G485</f>
        <v>34.32</v>
      </c>
      <c r="I485" s="244"/>
    </row>
    <row r="486" spans="1:9" ht="15" thickBot="1">
      <c r="A486" s="247" t="s">
        <v>794</v>
      </c>
      <c r="B486" s="173" t="s">
        <v>712</v>
      </c>
      <c r="C486" s="246"/>
      <c r="D486" s="75">
        <v>4</v>
      </c>
      <c r="E486" s="75">
        <v>1.65</v>
      </c>
      <c r="F486" s="78">
        <f>+E486*D486</f>
        <v>6.6</v>
      </c>
      <c r="G486" s="245">
        <v>1.19</v>
      </c>
      <c r="H486" s="73">
        <f>+F486*G486</f>
        <v>7.853999999999999</v>
      </c>
      <c r="I486" s="244"/>
    </row>
    <row r="487" spans="1:9" ht="15" thickBot="1">
      <c r="A487" s="243" t="s">
        <v>793</v>
      </c>
      <c r="B487" s="242" t="s">
        <v>712</v>
      </c>
      <c r="C487" s="242"/>
      <c r="D487" s="240"/>
      <c r="E487" s="240"/>
      <c r="F487" s="241"/>
      <c r="G487" s="240"/>
      <c r="H487" s="239">
        <f>SUM(H483:H486)</f>
        <v>135.95999999999998</v>
      </c>
      <c r="I487" s="238"/>
    </row>
    <row r="489" ht="15.75">
      <c r="A489" s="185" t="s">
        <v>792</v>
      </c>
    </row>
    <row r="490" ht="4.5" customHeight="1" thickBot="1"/>
    <row r="491" spans="1:9" ht="12.75">
      <c r="A491" s="202" t="s">
        <v>773</v>
      </c>
      <c r="B491" s="110" t="s">
        <v>31</v>
      </c>
      <c r="C491" s="110" t="s">
        <v>772</v>
      </c>
      <c r="D491" s="107" t="s">
        <v>743</v>
      </c>
      <c r="E491" s="107"/>
      <c r="F491" s="109"/>
      <c r="G491" s="107"/>
      <c r="H491" s="109" t="s">
        <v>743</v>
      </c>
      <c r="I491" s="201" t="s">
        <v>771</v>
      </c>
    </row>
    <row r="492" spans="1:9" ht="13.5" thickBot="1">
      <c r="A492" s="200"/>
      <c r="B492" s="199"/>
      <c r="C492" s="199" t="s">
        <v>760</v>
      </c>
      <c r="D492" s="198" t="s">
        <v>733</v>
      </c>
      <c r="E492" s="198"/>
      <c r="F492" s="197"/>
      <c r="G492" s="198"/>
      <c r="H492" s="197" t="s">
        <v>733</v>
      </c>
      <c r="I492" s="196"/>
    </row>
    <row r="493" spans="1:9" ht="24" customHeight="1" thickBot="1">
      <c r="A493" s="195" t="s">
        <v>291</v>
      </c>
      <c r="B493" s="164" t="s">
        <v>733</v>
      </c>
      <c r="C493" s="237">
        <v>2</v>
      </c>
      <c r="D493" s="193">
        <v>47.7</v>
      </c>
      <c r="E493" s="162"/>
      <c r="F493" s="162"/>
      <c r="G493" s="206"/>
      <c r="H493" s="166">
        <f>+D493*C493</f>
        <v>95.4</v>
      </c>
      <c r="I493" s="190" t="s">
        <v>791</v>
      </c>
    </row>
    <row r="494" ht="17.25" customHeight="1"/>
    <row r="495" ht="15.75">
      <c r="A495" s="185" t="s">
        <v>790</v>
      </c>
    </row>
    <row r="496" ht="4.5" customHeight="1" thickBot="1"/>
    <row r="497" spans="1:9" ht="12.75">
      <c r="A497" s="202" t="s">
        <v>773</v>
      </c>
      <c r="B497" s="110" t="s">
        <v>31</v>
      </c>
      <c r="C497" s="236" t="s">
        <v>789</v>
      </c>
      <c r="D497" s="235" t="s">
        <v>743</v>
      </c>
      <c r="E497" s="235"/>
      <c r="F497" s="234"/>
      <c r="G497" s="233"/>
      <c r="H497" s="201" t="s">
        <v>741</v>
      </c>
      <c r="I497" s="106" t="s">
        <v>771</v>
      </c>
    </row>
    <row r="498" spans="1:9" ht="13.5" thickBot="1">
      <c r="A498" s="232"/>
      <c r="B498" s="143"/>
      <c r="C498" s="231" t="s">
        <v>733</v>
      </c>
      <c r="D498" s="230" t="s">
        <v>733</v>
      </c>
      <c r="E498" s="230"/>
      <c r="F498" s="229"/>
      <c r="G498" s="228"/>
      <c r="H498" s="227" t="s">
        <v>734</v>
      </c>
      <c r="I498" s="139"/>
    </row>
    <row r="499" spans="1:9" ht="41.25" customHeight="1" thickBot="1">
      <c r="A499" s="195" t="s">
        <v>788</v>
      </c>
      <c r="B499" s="224" t="s">
        <v>734</v>
      </c>
      <c r="C499" s="226">
        <v>0.8</v>
      </c>
      <c r="D499" s="192">
        <f>6.8+10.3</f>
        <v>17.1</v>
      </c>
      <c r="E499" s="162"/>
      <c r="F499" s="162"/>
      <c r="G499" s="206"/>
      <c r="H499" s="166">
        <f>+C499*D499</f>
        <v>13.680000000000001</v>
      </c>
      <c r="I499" s="204" t="s">
        <v>787</v>
      </c>
    </row>
    <row r="500" ht="17.25" customHeight="1" thickBot="1"/>
    <row r="501" spans="1:9" ht="17.25" customHeight="1" thickBot="1">
      <c r="A501" s="195" t="s">
        <v>786</v>
      </c>
      <c r="B501" s="164" t="s">
        <v>760</v>
      </c>
      <c r="C501" s="225">
        <v>2</v>
      </c>
      <c r="D501" s="162"/>
      <c r="E501" s="162"/>
      <c r="F501" s="162"/>
      <c r="G501" s="206"/>
      <c r="H501" s="205">
        <v>2</v>
      </c>
      <c r="I501" s="204" t="s">
        <v>785</v>
      </c>
    </row>
    <row r="502" ht="17.25" customHeight="1"/>
    <row r="503" ht="17.25" customHeight="1">
      <c r="A503" s="185" t="s">
        <v>784</v>
      </c>
    </row>
    <row r="504" ht="24.75" customHeight="1" thickBot="1">
      <c r="A504" s="185"/>
    </row>
    <row r="505" spans="1:9" ht="33" customHeight="1" thickBot="1">
      <c r="A505" s="195" t="s">
        <v>783</v>
      </c>
      <c r="B505" s="224" t="s">
        <v>782</v>
      </c>
      <c r="C505" s="163"/>
      <c r="D505" s="162"/>
      <c r="E505" s="162"/>
      <c r="F505" s="162"/>
      <c r="G505" s="162"/>
      <c r="H505" s="205">
        <f>9.8+7.5+11+4.2+14</f>
        <v>46.5</v>
      </c>
      <c r="I505" s="223" t="s">
        <v>781</v>
      </c>
    </row>
    <row r="506" ht="17.25" customHeight="1" thickBot="1"/>
    <row r="507" spans="1:9" ht="12.75">
      <c r="A507" s="202" t="s">
        <v>773</v>
      </c>
      <c r="B507" s="110" t="s">
        <v>31</v>
      </c>
      <c r="C507" s="110" t="s">
        <v>772</v>
      </c>
      <c r="D507" s="107" t="s">
        <v>743</v>
      </c>
      <c r="E507" s="107" t="s">
        <v>735</v>
      </c>
      <c r="F507" s="109"/>
      <c r="G507" s="107"/>
      <c r="H507" s="201" t="s">
        <v>735</v>
      </c>
      <c r="I507" s="106" t="s">
        <v>771</v>
      </c>
    </row>
    <row r="508" spans="1:9" ht="13.5" thickBot="1">
      <c r="A508" s="200"/>
      <c r="B508" s="199"/>
      <c r="C508" s="199" t="s">
        <v>760</v>
      </c>
      <c r="D508" s="198" t="s">
        <v>733</v>
      </c>
      <c r="E508" s="198" t="s">
        <v>780</v>
      </c>
      <c r="F508" s="197"/>
      <c r="G508" s="198"/>
      <c r="H508" s="196" t="s">
        <v>768</v>
      </c>
      <c r="I508" s="222"/>
    </row>
    <row r="509" spans="1:9" ht="34.5" customHeight="1">
      <c r="A509" s="221" t="s">
        <v>779</v>
      </c>
      <c r="B509" s="183" t="s">
        <v>768</v>
      </c>
      <c r="C509" s="182"/>
      <c r="D509" s="181"/>
      <c r="E509" s="181"/>
      <c r="F509" s="181"/>
      <c r="G509" s="220"/>
      <c r="H509" s="183"/>
      <c r="I509" s="219"/>
    </row>
    <row r="510" spans="1:9" ht="24" customHeight="1">
      <c r="A510" s="218" t="s">
        <v>778</v>
      </c>
      <c r="B510" s="178" t="s">
        <v>768</v>
      </c>
      <c r="C510" s="177">
        <v>8</v>
      </c>
      <c r="D510" s="176"/>
      <c r="E510" s="176">
        <v>5</v>
      </c>
      <c r="F510" s="176"/>
      <c r="G510" s="217"/>
      <c r="H510" s="178">
        <f>+C510*E510</f>
        <v>40</v>
      </c>
      <c r="I510" s="216"/>
    </row>
    <row r="511" spans="1:9" ht="24" customHeight="1">
      <c r="A511" s="218" t="s">
        <v>777</v>
      </c>
      <c r="B511" s="178" t="s">
        <v>768</v>
      </c>
      <c r="C511" s="177">
        <f>57*12</f>
        <v>684</v>
      </c>
      <c r="D511" s="176"/>
      <c r="E511" s="176">
        <v>0.2</v>
      </c>
      <c r="F511" s="176"/>
      <c r="G511" s="217"/>
      <c r="H511" s="178">
        <f>+C511*E511</f>
        <v>136.8</v>
      </c>
      <c r="I511" s="216"/>
    </row>
    <row r="512" spans="1:9" ht="24" customHeight="1">
      <c r="A512" s="215" t="s">
        <v>776</v>
      </c>
      <c r="B512" s="173" t="s">
        <v>768</v>
      </c>
      <c r="C512" s="172">
        <f>CEILING(95.4*2,1)</f>
        <v>191</v>
      </c>
      <c r="D512" s="171"/>
      <c r="E512" s="171">
        <v>1</v>
      </c>
      <c r="F512" s="171"/>
      <c r="G512" s="214"/>
      <c r="H512" s="178">
        <f>+E512*C512</f>
        <v>191</v>
      </c>
      <c r="I512" s="207"/>
    </row>
    <row r="513" spans="1:9" ht="24" customHeight="1" thickBot="1">
      <c r="A513" s="213" t="s">
        <v>775</v>
      </c>
      <c r="B513" s="212" t="s">
        <v>768</v>
      </c>
      <c r="C513" s="211">
        <v>2</v>
      </c>
      <c r="D513" s="210"/>
      <c r="E513" s="210">
        <v>5</v>
      </c>
      <c r="F513" s="210"/>
      <c r="G513" s="209"/>
      <c r="H513" s="208">
        <f>+E513*C513</f>
        <v>10</v>
      </c>
      <c r="I513" s="207"/>
    </row>
    <row r="514" spans="1:9" ht="19.5" customHeight="1" thickBot="1">
      <c r="A514" s="187" t="s">
        <v>774</v>
      </c>
      <c r="B514" s="164" t="s">
        <v>768</v>
      </c>
      <c r="C514" s="162"/>
      <c r="D514" s="162"/>
      <c r="E514" s="162"/>
      <c r="F514" s="162"/>
      <c r="G514" s="206"/>
      <c r="H514" s="205">
        <f>SUM(H510:H513)</f>
        <v>377.8</v>
      </c>
      <c r="I514" s="204"/>
    </row>
    <row r="515" spans="1:9" ht="34.5" customHeight="1" thickBot="1">
      <c r="A515" s="203"/>
      <c r="B515" s="146"/>
      <c r="C515" s="146"/>
      <c r="D515" s="146"/>
      <c r="E515" s="146"/>
      <c r="F515" s="146"/>
      <c r="G515" s="146"/>
      <c r="H515" s="146"/>
      <c r="I515" s="146"/>
    </row>
    <row r="516" spans="1:9" ht="12.75">
      <c r="A516" s="202" t="s">
        <v>773</v>
      </c>
      <c r="B516" s="110" t="s">
        <v>31</v>
      </c>
      <c r="C516" s="110" t="s">
        <v>772</v>
      </c>
      <c r="D516" s="107" t="s">
        <v>743</v>
      </c>
      <c r="E516" s="107" t="s">
        <v>735</v>
      </c>
      <c r="F516" s="109"/>
      <c r="G516" s="107"/>
      <c r="H516" s="109" t="s">
        <v>735</v>
      </c>
      <c r="I516" s="201" t="s">
        <v>771</v>
      </c>
    </row>
    <row r="517" spans="1:9" ht="13.5" thickBot="1">
      <c r="A517" s="200"/>
      <c r="B517" s="199"/>
      <c r="C517" s="199" t="s">
        <v>760</v>
      </c>
      <c r="D517" s="198" t="s">
        <v>733</v>
      </c>
      <c r="E517" s="198" t="s">
        <v>770</v>
      </c>
      <c r="F517" s="197"/>
      <c r="G517" s="198"/>
      <c r="H517" s="197" t="s">
        <v>768</v>
      </c>
      <c r="I517" s="196"/>
    </row>
    <row r="518" spans="1:9" ht="27.75" customHeight="1" thickBot="1">
      <c r="A518" s="195" t="s">
        <v>769</v>
      </c>
      <c r="B518" s="194" t="s">
        <v>768</v>
      </c>
      <c r="C518" s="162">
        <v>6</v>
      </c>
      <c r="D518" s="162">
        <v>9</v>
      </c>
      <c r="E518" s="162">
        <v>5</v>
      </c>
      <c r="F518" s="162"/>
      <c r="G518" s="162"/>
      <c r="H518" s="166">
        <f>+E518*D518*C518</f>
        <v>270</v>
      </c>
      <c r="I518" s="160" t="s">
        <v>767</v>
      </c>
    </row>
    <row r="519" ht="17.25" customHeight="1" thickBot="1">
      <c r="B519" s="188"/>
    </row>
    <row r="520" spans="1:9" ht="25.5" customHeight="1" thickBot="1">
      <c r="A520" s="187" t="s">
        <v>559</v>
      </c>
      <c r="B520" s="193" t="s">
        <v>760</v>
      </c>
      <c r="C520" s="192"/>
      <c r="D520" s="192"/>
      <c r="E520" s="192"/>
      <c r="F520" s="192"/>
      <c r="G520" s="191"/>
      <c r="H520" s="166">
        <v>1</v>
      </c>
      <c r="I520" s="190" t="s">
        <v>766</v>
      </c>
    </row>
    <row r="521" spans="1:2" ht="10.5" customHeight="1" thickBot="1">
      <c r="A521" s="189"/>
      <c r="B521" s="188"/>
    </row>
    <row r="522" spans="1:9" ht="29.25" customHeight="1" thickBot="1">
      <c r="A522" s="187" t="s">
        <v>765</v>
      </c>
      <c r="B522" s="186" t="s">
        <v>760</v>
      </c>
      <c r="C522" s="162"/>
      <c r="D522" s="162"/>
      <c r="E522" s="162"/>
      <c r="F522" s="162"/>
      <c r="G522" s="162"/>
      <c r="H522" s="166">
        <v>2</v>
      </c>
      <c r="I522" s="160" t="s">
        <v>764</v>
      </c>
    </row>
    <row r="523" spans="1:2" ht="10.5" customHeight="1" thickBot="1">
      <c r="A523" s="189"/>
      <c r="B523" s="188"/>
    </row>
    <row r="524" spans="1:9" ht="37.5" customHeight="1" thickBot="1">
      <c r="A524" s="187" t="s">
        <v>763</v>
      </c>
      <c r="B524" s="186" t="s">
        <v>760</v>
      </c>
      <c r="C524" s="162"/>
      <c r="D524" s="162"/>
      <c r="E524" s="162"/>
      <c r="F524" s="162"/>
      <c r="G524" s="162"/>
      <c r="H524" s="166">
        <v>14</v>
      </c>
      <c r="I524" s="160" t="s">
        <v>762</v>
      </c>
    </row>
    <row r="525" ht="9" customHeight="1" thickBot="1">
      <c r="B525" s="188"/>
    </row>
    <row r="526" spans="1:9" ht="24.75" customHeight="1" thickBot="1">
      <c r="A526" s="187" t="s">
        <v>761</v>
      </c>
      <c r="B526" s="186" t="s">
        <v>760</v>
      </c>
      <c r="C526" s="162"/>
      <c r="D526" s="162"/>
      <c r="E526" s="162"/>
      <c r="F526" s="162"/>
      <c r="G526" s="162"/>
      <c r="H526" s="166">
        <v>8</v>
      </c>
      <c r="I526" s="160" t="s">
        <v>759</v>
      </c>
    </row>
    <row r="528" ht="15.75">
      <c r="A528" s="185" t="s">
        <v>758</v>
      </c>
    </row>
    <row r="529" ht="13.5" thickBot="1"/>
    <row r="530" spans="1:9" ht="20.25" customHeight="1" thickBot="1">
      <c r="A530" s="184" t="s">
        <v>757</v>
      </c>
      <c r="B530" s="183" t="s">
        <v>733</v>
      </c>
      <c r="C530" s="182"/>
      <c r="D530" s="181"/>
      <c r="E530" s="181"/>
      <c r="F530" s="181"/>
      <c r="G530" s="181"/>
      <c r="H530" s="166">
        <f>4*(1+45.7+1)</f>
        <v>190.8</v>
      </c>
      <c r="I530" s="180" t="s">
        <v>756</v>
      </c>
    </row>
    <row r="531" spans="1:9" ht="26.25" thickBot="1">
      <c r="A531" s="179" t="s">
        <v>755</v>
      </c>
      <c r="B531" s="178" t="s">
        <v>733</v>
      </c>
      <c r="C531" s="177"/>
      <c r="D531" s="176"/>
      <c r="E531" s="176"/>
      <c r="F531" s="176"/>
      <c r="G531" s="176"/>
      <c r="H531" s="166">
        <f>2*(1+45.7+1)</f>
        <v>95.4</v>
      </c>
      <c r="I531" s="175" t="s">
        <v>754</v>
      </c>
    </row>
    <row r="532" spans="1:9" ht="39.75" customHeight="1" thickBot="1">
      <c r="A532" s="174" t="s">
        <v>753</v>
      </c>
      <c r="B532" s="173" t="s">
        <v>733</v>
      </c>
      <c r="C532" s="172"/>
      <c r="D532" s="171"/>
      <c r="E532" s="171"/>
      <c r="F532" s="171"/>
      <c r="G532" s="171"/>
      <c r="H532" s="170">
        <f>2*(1+45.7+1)+4*9.9</f>
        <v>135</v>
      </c>
      <c r="I532" s="169" t="s">
        <v>752</v>
      </c>
    </row>
    <row r="533" spans="1:9" ht="26.25" thickBot="1">
      <c r="A533" s="168" t="s">
        <v>751</v>
      </c>
      <c r="B533" s="167" t="s">
        <v>733</v>
      </c>
      <c r="C533" s="163"/>
      <c r="D533" s="162"/>
      <c r="E533" s="162"/>
      <c r="F533" s="162"/>
      <c r="G533" s="162"/>
      <c r="H533" s="166">
        <f>+H530</f>
        <v>190.8</v>
      </c>
      <c r="I533" s="160" t="s">
        <v>750</v>
      </c>
    </row>
    <row r="534" spans="1:9" ht="26.25" thickBot="1">
      <c r="A534" s="165" t="s">
        <v>749</v>
      </c>
      <c r="B534" s="164" t="s">
        <v>733</v>
      </c>
      <c r="C534" s="163">
        <v>8</v>
      </c>
      <c r="D534" s="162">
        <f>0.6+2.1</f>
        <v>2.7</v>
      </c>
      <c r="E534" s="162"/>
      <c r="F534" s="162"/>
      <c r="G534" s="162"/>
      <c r="H534" s="161">
        <f>+C534*D534</f>
        <v>21.6</v>
      </c>
      <c r="I534" s="160" t="s">
        <v>748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131"/>
  <sheetViews>
    <sheetView view="pageBreakPreview" zoomScaleSheetLayoutView="100" zoomScalePageLayoutView="0" workbookViewId="0" topLeftCell="A1">
      <pane ySplit="7" topLeftCell="A74" activePane="bottomLeft" state="frozen"/>
      <selection pane="topLeft" activeCell="G9" sqref="G9"/>
      <selection pane="bottomLeft" activeCell="E51" sqref="E51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0+O8+O17+O22+O67+O88+O105+O118+O123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85" t="s">
        <v>12</v>
      </c>
      <c r="D3" s="781"/>
      <c r="E3" s="11" t="s">
        <v>13</v>
      </c>
      <c r="F3" s="768">
        <v>43655</v>
      </c>
      <c r="G3" s="8"/>
      <c r="H3" s="7" t="s">
        <v>589</v>
      </c>
      <c r="I3" s="33">
        <f>0+I8+I17+I22+I67+I88+I105+I118+I123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86" t="s">
        <v>589</v>
      </c>
      <c r="D4" s="787"/>
      <c r="E4" s="14" t="s">
        <v>590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84" t="s">
        <v>23</v>
      </c>
      <c r="B5" s="784" t="s">
        <v>25</v>
      </c>
      <c r="C5" s="784" t="s">
        <v>27</v>
      </c>
      <c r="D5" s="784" t="s">
        <v>28</v>
      </c>
      <c r="E5" s="784" t="s">
        <v>29</v>
      </c>
      <c r="F5" s="784" t="s">
        <v>31</v>
      </c>
      <c r="G5" s="784" t="s">
        <v>33</v>
      </c>
      <c r="H5" s="784" t="s">
        <v>35</v>
      </c>
      <c r="I5" s="784"/>
      <c r="J5" s="784" t="s">
        <v>40</v>
      </c>
      <c r="O5" t="s">
        <v>18</v>
      </c>
      <c r="P5" t="s">
        <v>20</v>
      </c>
    </row>
    <row r="6" spans="1:10" ht="12.75" customHeight="1">
      <c r="A6" s="784"/>
      <c r="B6" s="784"/>
      <c r="C6" s="784"/>
      <c r="D6" s="784"/>
      <c r="E6" s="784"/>
      <c r="F6" s="784"/>
      <c r="G6" s="784"/>
      <c r="H6" s="12" t="s">
        <v>36</v>
      </c>
      <c r="I6" s="12" t="s">
        <v>38</v>
      </c>
      <c r="J6" s="784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0+I9+I13</f>
        <v>0</v>
      </c>
      <c r="R8">
        <f>0+O9+O13</f>
        <v>0</v>
      </c>
    </row>
    <row r="9" spans="1:16" ht="12.75">
      <c r="A9" s="18" t="s">
        <v>44</v>
      </c>
      <c r="B9" s="22" t="s">
        <v>26</v>
      </c>
      <c r="C9" s="22" t="s">
        <v>45</v>
      </c>
      <c r="D9" s="18" t="s">
        <v>46</v>
      </c>
      <c r="E9" s="23" t="s">
        <v>47</v>
      </c>
      <c r="F9" s="24" t="s">
        <v>48</v>
      </c>
      <c r="G9" s="25">
        <v>194.44</v>
      </c>
      <c r="H9" s="26"/>
      <c r="I9" s="26">
        <f>ROUND(ROUND(H9,2)*ROUND(G9,3),2)</f>
        <v>0</v>
      </c>
      <c r="J9" s="24" t="s">
        <v>49</v>
      </c>
      <c r="O9">
        <f>(I9*21)/100</f>
        <v>0</v>
      </c>
      <c r="P9" t="s">
        <v>20</v>
      </c>
    </row>
    <row r="10" spans="1:5" ht="12.75">
      <c r="A10" s="27" t="s">
        <v>50</v>
      </c>
      <c r="E10" s="28" t="s">
        <v>51</v>
      </c>
    </row>
    <row r="11" spans="1:5" ht="12.75">
      <c r="A11" s="29" t="s">
        <v>52</v>
      </c>
      <c r="E11" s="30" t="s">
        <v>46</v>
      </c>
    </row>
    <row r="12" spans="1:5" ht="25.5">
      <c r="A12" t="s">
        <v>54</v>
      </c>
      <c r="E12" s="28" t="s">
        <v>55</v>
      </c>
    </row>
    <row r="13" spans="1:16" ht="12.75">
      <c r="A13" s="18" t="s">
        <v>44</v>
      </c>
      <c r="B13" s="22" t="s">
        <v>20</v>
      </c>
      <c r="C13" s="22" t="s">
        <v>56</v>
      </c>
      <c r="D13" s="18" t="s">
        <v>19</v>
      </c>
      <c r="E13" s="23" t="s">
        <v>47</v>
      </c>
      <c r="F13" s="24" t="s">
        <v>57</v>
      </c>
      <c r="G13" s="25">
        <v>126.75</v>
      </c>
      <c r="H13" s="26"/>
      <c r="I13" s="26">
        <f>ROUND(ROUND(H13,2)*ROUND(G13,3),2)</f>
        <v>0</v>
      </c>
      <c r="J13" s="24" t="s">
        <v>49</v>
      </c>
      <c r="O13">
        <f>(I13*21)/100</f>
        <v>0</v>
      </c>
      <c r="P13" t="s">
        <v>20</v>
      </c>
    </row>
    <row r="14" spans="1:5" ht="12.75">
      <c r="A14" s="27" t="s">
        <v>50</v>
      </c>
      <c r="E14" s="28" t="s">
        <v>62</v>
      </c>
    </row>
    <row r="15" spans="1:5" ht="12.75">
      <c r="A15" s="29" t="s">
        <v>52</v>
      </c>
      <c r="E15" s="30" t="s">
        <v>591</v>
      </c>
    </row>
    <row r="16" spans="1:5" ht="25.5">
      <c r="A16" t="s">
        <v>54</v>
      </c>
      <c r="E16" s="28" t="s">
        <v>55</v>
      </c>
    </row>
    <row r="17" spans="1:18" ht="12.75" customHeight="1">
      <c r="A17" s="5" t="s">
        <v>42</v>
      </c>
      <c r="B17" s="5"/>
      <c r="C17" s="31" t="s">
        <v>26</v>
      </c>
      <c r="D17" s="5"/>
      <c r="E17" s="20" t="s">
        <v>64</v>
      </c>
      <c r="F17" s="5"/>
      <c r="G17" s="5"/>
      <c r="H17" s="5"/>
      <c r="I17" s="32">
        <f>0+Q17</f>
        <v>0</v>
      </c>
      <c r="J17" s="5"/>
      <c r="O17">
        <f>0+R17</f>
        <v>0</v>
      </c>
      <c r="Q17">
        <f>0+I18</f>
        <v>0</v>
      </c>
      <c r="R17">
        <f>0+O18</f>
        <v>0</v>
      </c>
    </row>
    <row r="18" spans="1:16" ht="12.75">
      <c r="A18" s="18" t="s">
        <v>44</v>
      </c>
      <c r="B18" s="22" t="s">
        <v>19</v>
      </c>
      <c r="C18" s="22" t="s">
        <v>301</v>
      </c>
      <c r="D18" s="18" t="s">
        <v>46</v>
      </c>
      <c r="E18" s="23" t="s">
        <v>302</v>
      </c>
      <c r="F18" s="24" t="s">
        <v>48</v>
      </c>
      <c r="G18" s="25">
        <v>194.44</v>
      </c>
      <c r="H18" s="26"/>
      <c r="I18" s="26">
        <f>ROUND(ROUND(H18,2)*ROUND(G18,3),2)</f>
        <v>0</v>
      </c>
      <c r="J18" s="24" t="s">
        <v>49</v>
      </c>
      <c r="O18">
        <f>(I18*21)/100</f>
        <v>0</v>
      </c>
      <c r="P18" t="s">
        <v>20</v>
      </c>
    </row>
    <row r="19" spans="1:5" ht="12.75">
      <c r="A19" s="27" t="s">
        <v>50</v>
      </c>
      <c r="E19" s="28" t="s">
        <v>46</v>
      </c>
    </row>
    <row r="20" spans="1:5" ht="12.75">
      <c r="A20" s="29" t="s">
        <v>52</v>
      </c>
      <c r="E20" s="30" t="s">
        <v>592</v>
      </c>
    </row>
    <row r="21" spans="1:5" ht="318.75">
      <c r="A21" t="s">
        <v>54</v>
      </c>
      <c r="E21" s="28" t="s">
        <v>303</v>
      </c>
    </row>
    <row r="22" spans="1:18" ht="12.75" customHeight="1">
      <c r="A22" s="5" t="s">
        <v>42</v>
      </c>
      <c r="B22" s="5"/>
      <c r="C22" s="31" t="s">
        <v>20</v>
      </c>
      <c r="D22" s="5"/>
      <c r="E22" s="20" t="s">
        <v>134</v>
      </c>
      <c r="F22" s="5"/>
      <c r="G22" s="5"/>
      <c r="H22" s="5"/>
      <c r="I22" s="32">
        <f>0+Q22</f>
        <v>0</v>
      </c>
      <c r="J22" s="5"/>
      <c r="O22">
        <f>0+R22</f>
        <v>0</v>
      </c>
      <c r="Q22">
        <f>0+I23+I27+I31+I35+I39+I43+I47+I51+I55+I59+I63</f>
        <v>0</v>
      </c>
      <c r="R22">
        <f>0+O23+O27+O31+O35+O39+O43+O47+O51+O55+O59+O63</f>
        <v>0</v>
      </c>
    </row>
    <row r="23" spans="1:16" ht="12.75">
      <c r="A23" s="18" t="s">
        <v>44</v>
      </c>
      <c r="B23" s="22" t="s">
        <v>30</v>
      </c>
      <c r="C23" s="22" t="s">
        <v>336</v>
      </c>
      <c r="D23" s="18" t="s">
        <v>46</v>
      </c>
      <c r="E23" s="23" t="s">
        <v>337</v>
      </c>
      <c r="F23" s="24" t="s">
        <v>106</v>
      </c>
      <c r="G23" s="25">
        <v>25.65</v>
      </c>
      <c r="H23" s="26"/>
      <c r="I23" s="26">
        <f>ROUND(ROUND(H23,2)*ROUND(G23,3),2)</f>
        <v>0</v>
      </c>
      <c r="J23" s="24" t="s">
        <v>49</v>
      </c>
      <c r="O23">
        <f>(I23*21)/100</f>
        <v>0</v>
      </c>
      <c r="P23" t="s">
        <v>20</v>
      </c>
    </row>
    <row r="24" spans="1:5" ht="12.75">
      <c r="A24" s="27" t="s">
        <v>50</v>
      </c>
      <c r="E24" s="28" t="s">
        <v>46</v>
      </c>
    </row>
    <row r="25" spans="1:5" ht="12.75">
      <c r="A25" s="29" t="s">
        <v>52</v>
      </c>
      <c r="E25" s="30" t="s">
        <v>593</v>
      </c>
    </row>
    <row r="26" spans="1:5" ht="102">
      <c r="A26" t="s">
        <v>54</v>
      </c>
      <c r="E26" s="28" t="s">
        <v>339</v>
      </c>
    </row>
    <row r="27" spans="1:16" ht="12.75">
      <c r="A27" s="18" t="s">
        <v>44</v>
      </c>
      <c r="B27" s="22" t="s">
        <v>32</v>
      </c>
      <c r="C27" s="22" t="s">
        <v>321</v>
      </c>
      <c r="D27" s="18" t="s">
        <v>46</v>
      </c>
      <c r="E27" s="23" t="s">
        <v>322</v>
      </c>
      <c r="F27" s="24" t="s">
        <v>48</v>
      </c>
      <c r="G27" s="25">
        <v>79.294</v>
      </c>
      <c r="H27" s="26"/>
      <c r="I27" s="26">
        <f>ROUND(ROUND(H27,2)*ROUND(G27,3),2)</f>
        <v>0</v>
      </c>
      <c r="J27" s="24" t="s">
        <v>49</v>
      </c>
      <c r="O27">
        <f>(I27*21)/100</f>
        <v>0</v>
      </c>
      <c r="P27" t="s">
        <v>20</v>
      </c>
    </row>
    <row r="28" spans="1:5" ht="12.75">
      <c r="A28" s="27" t="s">
        <v>50</v>
      </c>
      <c r="E28" s="28" t="s">
        <v>594</v>
      </c>
    </row>
    <row r="29" spans="1:5" ht="25.5">
      <c r="A29" s="29" t="s">
        <v>52</v>
      </c>
      <c r="E29" s="30" t="s">
        <v>595</v>
      </c>
    </row>
    <row r="30" spans="1:5" ht="51">
      <c r="A30" t="s">
        <v>54</v>
      </c>
      <c r="E30" s="28" t="s">
        <v>320</v>
      </c>
    </row>
    <row r="31" spans="1:16" ht="12.75">
      <c r="A31" s="18" t="s">
        <v>44</v>
      </c>
      <c r="B31" s="22" t="s">
        <v>34</v>
      </c>
      <c r="C31" s="22" t="s">
        <v>596</v>
      </c>
      <c r="D31" s="18" t="s">
        <v>46</v>
      </c>
      <c r="E31" s="23" t="s">
        <v>597</v>
      </c>
      <c r="F31" s="24" t="s">
        <v>48</v>
      </c>
      <c r="G31" s="25">
        <v>0.6</v>
      </c>
      <c r="H31" s="26"/>
      <c r="I31" s="26">
        <f>ROUND(ROUND(H31,2)*ROUND(G31,3),2)</f>
        <v>0</v>
      </c>
      <c r="J31" s="24" t="s">
        <v>49</v>
      </c>
      <c r="O31">
        <f>(I31*21)/100</f>
        <v>0</v>
      </c>
      <c r="P31" t="s">
        <v>20</v>
      </c>
    </row>
    <row r="32" spans="1:5" ht="12.75">
      <c r="A32" s="27" t="s">
        <v>50</v>
      </c>
      <c r="E32" s="28" t="s">
        <v>46</v>
      </c>
    </row>
    <row r="33" spans="1:5" ht="12.75">
      <c r="A33" s="29" t="s">
        <v>52</v>
      </c>
      <c r="E33" s="30" t="s">
        <v>46</v>
      </c>
    </row>
    <row r="34" spans="1:5" ht="369.75">
      <c r="A34" t="s">
        <v>54</v>
      </c>
      <c r="E34" s="28" t="s">
        <v>370</v>
      </c>
    </row>
    <row r="35" spans="1:16" ht="12.75">
      <c r="A35" s="18" t="s">
        <v>44</v>
      </c>
      <c r="B35" s="22" t="s">
        <v>73</v>
      </c>
      <c r="C35" s="22" t="s">
        <v>598</v>
      </c>
      <c r="D35" s="18" t="s">
        <v>46</v>
      </c>
      <c r="E35" s="23" t="s">
        <v>599</v>
      </c>
      <c r="F35" s="24" t="s">
        <v>57</v>
      </c>
      <c r="G35" s="25">
        <v>18.049</v>
      </c>
      <c r="H35" s="26"/>
      <c r="I35" s="26">
        <f>ROUND(ROUND(H35,2)*ROUND(G35,3),2)</f>
        <v>0</v>
      </c>
      <c r="J35" s="24" t="s">
        <v>49</v>
      </c>
      <c r="O35">
        <f>(I35*21)/100</f>
        <v>0</v>
      </c>
      <c r="P35" t="s">
        <v>20</v>
      </c>
    </row>
    <row r="36" spans="1:5" ht="12.75">
      <c r="A36" s="27" t="s">
        <v>50</v>
      </c>
      <c r="E36" s="28" t="s">
        <v>46</v>
      </c>
    </row>
    <row r="37" spans="1:5" ht="12.75">
      <c r="A37" s="29" t="s">
        <v>52</v>
      </c>
      <c r="E37" s="30" t="s">
        <v>600</v>
      </c>
    </row>
    <row r="38" spans="1:5" ht="38.25">
      <c r="A38" t="s">
        <v>54</v>
      </c>
      <c r="E38" s="28" t="s">
        <v>601</v>
      </c>
    </row>
    <row r="39" spans="1:16" ht="12.75">
      <c r="A39" s="18" t="s">
        <v>44</v>
      </c>
      <c r="B39" s="22" t="s">
        <v>77</v>
      </c>
      <c r="C39" s="22" t="s">
        <v>602</v>
      </c>
      <c r="D39" s="18" t="s">
        <v>46</v>
      </c>
      <c r="E39" s="23" t="s">
        <v>603</v>
      </c>
      <c r="F39" s="24" t="s">
        <v>48</v>
      </c>
      <c r="G39" s="25">
        <v>21.6</v>
      </c>
      <c r="H39" s="26"/>
      <c r="I39" s="26">
        <f>ROUND(ROUND(H39,2)*ROUND(G39,3),2)</f>
        <v>0</v>
      </c>
      <c r="J39" s="24" t="s">
        <v>49</v>
      </c>
      <c r="O39">
        <f>(I39*21)/100</f>
        <v>0</v>
      </c>
      <c r="P39" t="s">
        <v>20</v>
      </c>
    </row>
    <row r="40" spans="1:5" ht="12.75">
      <c r="A40" s="27" t="s">
        <v>50</v>
      </c>
      <c r="E40" s="28" t="s">
        <v>46</v>
      </c>
    </row>
    <row r="41" spans="1:5" ht="12.75">
      <c r="A41" s="29" t="s">
        <v>52</v>
      </c>
      <c r="E41" s="30" t="s">
        <v>604</v>
      </c>
    </row>
    <row r="42" spans="1:5" ht="12.75">
      <c r="A42" t="s">
        <v>54</v>
      </c>
      <c r="E42" s="28" t="s">
        <v>605</v>
      </c>
    </row>
    <row r="43" spans="1:16" ht="12.75">
      <c r="A43" s="18" t="s">
        <v>44</v>
      </c>
      <c r="B43" s="22" t="s">
        <v>37</v>
      </c>
      <c r="C43" s="22" t="s">
        <v>606</v>
      </c>
      <c r="D43" s="18" t="s">
        <v>46</v>
      </c>
      <c r="E43" s="23" t="s">
        <v>607</v>
      </c>
      <c r="F43" s="24" t="s">
        <v>80</v>
      </c>
      <c r="G43" s="25">
        <v>141.4</v>
      </c>
      <c r="H43" s="26"/>
      <c r="I43" s="26">
        <f>ROUND(ROUND(H43,2)*ROUND(G43,3),2)</f>
        <v>0</v>
      </c>
      <c r="J43" s="24" t="s">
        <v>49</v>
      </c>
      <c r="O43">
        <f>(I43*21)/100</f>
        <v>0</v>
      </c>
      <c r="P43" t="s">
        <v>20</v>
      </c>
    </row>
    <row r="44" spans="1:5" ht="12.75">
      <c r="A44" s="27" t="s">
        <v>50</v>
      </c>
      <c r="E44" s="28" t="s">
        <v>608</v>
      </c>
    </row>
    <row r="45" spans="1:5" ht="12.75">
      <c r="A45" s="29" t="s">
        <v>52</v>
      </c>
      <c r="E45" s="30" t="s">
        <v>609</v>
      </c>
    </row>
    <row r="46" spans="1:5" ht="63.75">
      <c r="A46" t="s">
        <v>54</v>
      </c>
      <c r="E46" s="28" t="s">
        <v>361</v>
      </c>
    </row>
    <row r="47" spans="1:16" ht="12.75">
      <c r="A47" s="18" t="s">
        <v>44</v>
      </c>
      <c r="B47" s="22" t="s">
        <v>39</v>
      </c>
      <c r="C47" s="22" t="s">
        <v>362</v>
      </c>
      <c r="D47" s="18" t="s">
        <v>46</v>
      </c>
      <c r="E47" s="23" t="s">
        <v>363</v>
      </c>
      <c r="F47" s="24" t="s">
        <v>80</v>
      </c>
      <c r="G47" s="25">
        <v>306</v>
      </c>
      <c r="H47" s="26"/>
      <c r="I47" s="26">
        <f>ROUND(ROUND(H47,2)*ROUND(G47,3),2)</f>
        <v>0</v>
      </c>
      <c r="J47" s="24" t="s">
        <v>364</v>
      </c>
      <c r="O47">
        <f>(I47*21)/100</f>
        <v>0</v>
      </c>
      <c r="P47" t="s">
        <v>20</v>
      </c>
    </row>
    <row r="48" spans="1:5" ht="12.75">
      <c r="A48" s="27" t="s">
        <v>50</v>
      </c>
      <c r="E48" s="28" t="s">
        <v>46</v>
      </c>
    </row>
    <row r="49" spans="1:5" ht="12.75">
      <c r="A49" s="29" t="s">
        <v>52</v>
      </c>
      <c r="E49" s="30" t="s">
        <v>609</v>
      </c>
    </row>
    <row r="50" spans="1:5" ht="25.5">
      <c r="A50" t="s">
        <v>54</v>
      </c>
      <c r="E50" s="28" t="s">
        <v>366</v>
      </c>
    </row>
    <row r="51" spans="1:16" ht="12.75">
      <c r="A51" s="18" t="s">
        <v>44</v>
      </c>
      <c r="B51" s="22" t="s">
        <v>41</v>
      </c>
      <c r="C51" s="766">
        <v>272325</v>
      </c>
      <c r="D51" s="18" t="s">
        <v>46</v>
      </c>
      <c r="E51" s="767" t="s">
        <v>368</v>
      </c>
      <c r="F51" s="24" t="s">
        <v>48</v>
      </c>
      <c r="G51" s="25">
        <v>36.5</v>
      </c>
      <c r="H51" s="26"/>
      <c r="I51" s="26">
        <f>ROUND(ROUND(H51,2)*ROUND(G51,3),2)</f>
        <v>0</v>
      </c>
      <c r="J51" s="24" t="s">
        <v>49</v>
      </c>
      <c r="O51">
        <f>(I51*21)/100</f>
        <v>0</v>
      </c>
      <c r="P51" t="s">
        <v>20</v>
      </c>
    </row>
    <row r="52" spans="1:5" ht="12.75">
      <c r="A52" s="27" t="s">
        <v>50</v>
      </c>
      <c r="E52" s="28" t="s">
        <v>46</v>
      </c>
    </row>
    <row r="53" spans="1:5" ht="12.75">
      <c r="A53" s="29" t="s">
        <v>52</v>
      </c>
      <c r="E53" s="30" t="s">
        <v>46</v>
      </c>
    </row>
    <row r="54" spans="1:5" ht="369.75">
      <c r="A54" t="s">
        <v>54</v>
      </c>
      <c r="E54" s="28" t="s">
        <v>370</v>
      </c>
    </row>
    <row r="55" spans="1:16" ht="12.75">
      <c r="A55" s="18" t="s">
        <v>44</v>
      </c>
      <c r="B55" s="22" t="s">
        <v>94</v>
      </c>
      <c r="C55" s="22" t="s">
        <v>371</v>
      </c>
      <c r="D55" s="18" t="s">
        <v>46</v>
      </c>
      <c r="E55" s="23" t="s">
        <v>372</v>
      </c>
      <c r="F55" s="24" t="s">
        <v>57</v>
      </c>
      <c r="G55" s="25">
        <v>3.468</v>
      </c>
      <c r="H55" s="26"/>
      <c r="I55" s="26">
        <f>ROUND(ROUND(H55,2)*ROUND(G55,3),2)</f>
        <v>0</v>
      </c>
      <c r="J55" s="24" t="s">
        <v>49</v>
      </c>
      <c r="O55">
        <f>(I55*21)/100</f>
        <v>0</v>
      </c>
      <c r="P55" t="s">
        <v>20</v>
      </c>
    </row>
    <row r="56" spans="1:5" ht="12.75">
      <c r="A56" s="27" t="s">
        <v>50</v>
      </c>
      <c r="E56" s="28" t="s">
        <v>46</v>
      </c>
    </row>
    <row r="57" spans="1:5" ht="12.75">
      <c r="A57" s="29" t="s">
        <v>52</v>
      </c>
      <c r="E57" s="30" t="s">
        <v>46</v>
      </c>
    </row>
    <row r="58" spans="1:5" ht="267.75">
      <c r="A58" t="s">
        <v>54</v>
      </c>
      <c r="E58" s="28" t="s">
        <v>373</v>
      </c>
    </row>
    <row r="59" spans="1:16" ht="12.75">
      <c r="A59" s="18" t="s">
        <v>44</v>
      </c>
      <c r="B59" s="22" t="s">
        <v>98</v>
      </c>
      <c r="C59" s="22" t="s">
        <v>610</v>
      </c>
      <c r="D59" s="18" t="s">
        <v>26</v>
      </c>
      <c r="E59" s="23" t="s">
        <v>611</v>
      </c>
      <c r="F59" s="24" t="s">
        <v>80</v>
      </c>
      <c r="G59" s="25">
        <v>88.77</v>
      </c>
      <c r="H59" s="26"/>
      <c r="I59" s="26">
        <f>ROUND(ROUND(H59,2)*ROUND(G59,3),2)</f>
        <v>0</v>
      </c>
      <c r="J59" s="24" t="s">
        <v>49</v>
      </c>
      <c r="O59">
        <f>(I59*21)/100</f>
        <v>0</v>
      </c>
      <c r="P59" t="s">
        <v>20</v>
      </c>
    </row>
    <row r="60" spans="1:5" ht="12.75">
      <c r="A60" s="27" t="s">
        <v>50</v>
      </c>
      <c r="E60" s="28" t="s">
        <v>612</v>
      </c>
    </row>
    <row r="61" spans="1:5" ht="12.75">
      <c r="A61" s="29" t="s">
        <v>52</v>
      </c>
      <c r="E61" s="30" t="s">
        <v>613</v>
      </c>
    </row>
    <row r="62" spans="1:5" ht="63.75">
      <c r="A62" t="s">
        <v>54</v>
      </c>
      <c r="E62" s="28" t="s">
        <v>361</v>
      </c>
    </row>
    <row r="63" spans="1:16" ht="12.75">
      <c r="A63" s="18" t="s">
        <v>44</v>
      </c>
      <c r="B63" s="22" t="s">
        <v>103</v>
      </c>
      <c r="C63" s="22" t="s">
        <v>610</v>
      </c>
      <c r="D63" s="18" t="s">
        <v>20</v>
      </c>
      <c r="E63" s="23" t="s">
        <v>611</v>
      </c>
      <c r="F63" s="24" t="s">
        <v>80</v>
      </c>
      <c r="G63" s="25">
        <v>161.4</v>
      </c>
      <c r="H63" s="26"/>
      <c r="I63" s="26">
        <f>ROUND(ROUND(H63,2)*ROUND(G63,3),2)</f>
        <v>0</v>
      </c>
      <c r="J63" s="24" t="s">
        <v>49</v>
      </c>
      <c r="O63">
        <f>(I63*21)/100</f>
        <v>0</v>
      </c>
      <c r="P63" t="s">
        <v>20</v>
      </c>
    </row>
    <row r="64" spans="1:5" ht="12.75">
      <c r="A64" s="27" t="s">
        <v>50</v>
      </c>
      <c r="E64" s="28" t="s">
        <v>614</v>
      </c>
    </row>
    <row r="65" spans="1:5" ht="12.75">
      <c r="A65" s="29" t="s">
        <v>52</v>
      </c>
      <c r="E65" s="30" t="s">
        <v>615</v>
      </c>
    </row>
    <row r="66" spans="1:5" ht="63.75">
      <c r="A66" t="s">
        <v>54</v>
      </c>
      <c r="E66" s="28" t="s">
        <v>361</v>
      </c>
    </row>
    <row r="67" spans="1:18" ht="12.75" customHeight="1">
      <c r="A67" s="5" t="s">
        <v>42</v>
      </c>
      <c r="B67" s="5"/>
      <c r="C67" s="31" t="s">
        <v>19</v>
      </c>
      <c r="D67" s="5"/>
      <c r="E67" s="20" t="s">
        <v>394</v>
      </c>
      <c r="F67" s="5"/>
      <c r="G67" s="5"/>
      <c r="H67" s="5"/>
      <c r="I67" s="32">
        <f>0+Q67</f>
        <v>0</v>
      </c>
      <c r="J67" s="5"/>
      <c r="O67">
        <f>0+R67</f>
        <v>0</v>
      </c>
      <c r="Q67">
        <f>0+I68+I72+I76+I80+I84</f>
        <v>0</v>
      </c>
      <c r="R67">
        <f>0+O68+O72+O76+O80+O84</f>
        <v>0</v>
      </c>
    </row>
    <row r="68" spans="1:16" ht="12.75">
      <c r="A68" s="18" t="s">
        <v>44</v>
      </c>
      <c r="B68" s="22" t="s">
        <v>109</v>
      </c>
      <c r="C68" s="22" t="s">
        <v>616</v>
      </c>
      <c r="D68" s="18" t="s">
        <v>46</v>
      </c>
      <c r="E68" s="23" t="s">
        <v>617</v>
      </c>
      <c r="F68" s="24" t="s">
        <v>48</v>
      </c>
      <c r="G68" s="25">
        <v>34.6</v>
      </c>
      <c r="H68" s="26"/>
      <c r="I68" s="26">
        <f>ROUND(ROUND(H68,2)*ROUND(G68,3),2)</f>
        <v>0</v>
      </c>
      <c r="J68" s="24" t="s">
        <v>49</v>
      </c>
      <c r="O68">
        <f>(I68*21)/100</f>
        <v>0</v>
      </c>
      <c r="P68" t="s">
        <v>20</v>
      </c>
    </row>
    <row r="69" spans="1:5" ht="12.75">
      <c r="A69" s="27" t="s">
        <v>50</v>
      </c>
      <c r="E69" s="28" t="s">
        <v>46</v>
      </c>
    </row>
    <row r="70" spans="1:5" ht="12.75">
      <c r="A70" s="29" t="s">
        <v>52</v>
      </c>
      <c r="E70" s="30" t="s">
        <v>46</v>
      </c>
    </row>
    <row r="71" spans="1:5" ht="369.75">
      <c r="A71" t="s">
        <v>54</v>
      </c>
      <c r="E71" s="28" t="s">
        <v>407</v>
      </c>
    </row>
    <row r="72" spans="1:16" ht="12.75">
      <c r="A72" s="18" t="s">
        <v>44</v>
      </c>
      <c r="B72" s="22" t="s">
        <v>114</v>
      </c>
      <c r="C72" s="22" t="s">
        <v>618</v>
      </c>
      <c r="D72" s="18" t="s">
        <v>46</v>
      </c>
      <c r="E72" s="23" t="s">
        <v>619</v>
      </c>
      <c r="F72" s="24" t="s">
        <v>57</v>
      </c>
      <c r="G72" s="25">
        <v>5.19</v>
      </c>
      <c r="H72" s="26"/>
      <c r="I72" s="26">
        <f>ROUND(ROUND(H72,2)*ROUND(G72,3),2)</f>
        <v>0</v>
      </c>
      <c r="J72" s="24" t="s">
        <v>49</v>
      </c>
      <c r="O72">
        <f>(I72*21)/100</f>
        <v>0</v>
      </c>
      <c r="P72" t="s">
        <v>20</v>
      </c>
    </row>
    <row r="73" spans="1:5" ht="12.75">
      <c r="A73" s="27" t="s">
        <v>50</v>
      </c>
      <c r="E73" s="28" t="s">
        <v>46</v>
      </c>
    </row>
    <row r="74" spans="1:5" ht="12.75">
      <c r="A74" s="29" t="s">
        <v>52</v>
      </c>
      <c r="E74" s="30" t="s">
        <v>46</v>
      </c>
    </row>
    <row r="75" spans="1:5" ht="267.75">
      <c r="A75" t="s">
        <v>54</v>
      </c>
      <c r="E75" s="28" t="s">
        <v>373</v>
      </c>
    </row>
    <row r="76" spans="1:16" ht="12.75">
      <c r="A76" s="18" t="s">
        <v>44</v>
      </c>
      <c r="B76" s="22" t="s">
        <v>118</v>
      </c>
      <c r="C76" s="22" t="s">
        <v>620</v>
      </c>
      <c r="D76" s="18" t="s">
        <v>26</v>
      </c>
      <c r="E76" s="23" t="s">
        <v>621</v>
      </c>
      <c r="F76" s="24" t="s">
        <v>48</v>
      </c>
      <c r="G76" s="25">
        <v>5.158</v>
      </c>
      <c r="H76" s="26"/>
      <c r="I76" s="26">
        <f>ROUND(ROUND(H76,2)*ROUND(G76,3),2)</f>
        <v>0</v>
      </c>
      <c r="J76" s="24" t="s">
        <v>49</v>
      </c>
      <c r="O76">
        <f>(I76*21)/100</f>
        <v>0</v>
      </c>
      <c r="P76" t="s">
        <v>20</v>
      </c>
    </row>
    <row r="77" spans="1:5" ht="12.75">
      <c r="A77" s="27" t="s">
        <v>50</v>
      </c>
      <c r="E77" s="28" t="s">
        <v>622</v>
      </c>
    </row>
    <row r="78" spans="1:5" ht="12.75">
      <c r="A78" s="29" t="s">
        <v>52</v>
      </c>
      <c r="E78" s="30" t="s">
        <v>623</v>
      </c>
    </row>
    <row r="79" spans="1:5" ht="38.25">
      <c r="A79" t="s">
        <v>54</v>
      </c>
      <c r="E79" s="28" t="s">
        <v>624</v>
      </c>
    </row>
    <row r="80" spans="1:16" ht="12.75">
      <c r="A80" s="18" t="s">
        <v>44</v>
      </c>
      <c r="B80" s="22" t="s">
        <v>122</v>
      </c>
      <c r="C80" s="22" t="s">
        <v>620</v>
      </c>
      <c r="D80" s="18" t="s">
        <v>20</v>
      </c>
      <c r="E80" s="23" t="s">
        <v>621</v>
      </c>
      <c r="F80" s="24" t="s">
        <v>48</v>
      </c>
      <c r="G80" s="25">
        <v>4.22</v>
      </c>
      <c r="H80" s="26"/>
      <c r="I80" s="26">
        <f>ROUND(ROUND(H80,2)*ROUND(G80,3),2)</f>
        <v>0</v>
      </c>
      <c r="J80" s="24" t="s">
        <v>49</v>
      </c>
      <c r="O80">
        <f>(I80*21)/100</f>
        <v>0</v>
      </c>
      <c r="P80" t="s">
        <v>20</v>
      </c>
    </row>
    <row r="81" spans="1:5" ht="12.75">
      <c r="A81" s="27" t="s">
        <v>50</v>
      </c>
      <c r="E81" s="28" t="s">
        <v>625</v>
      </c>
    </row>
    <row r="82" spans="1:5" ht="12.75">
      <c r="A82" s="29" t="s">
        <v>52</v>
      </c>
      <c r="E82" s="30" t="s">
        <v>626</v>
      </c>
    </row>
    <row r="83" spans="1:5" ht="38.25">
      <c r="A83" t="s">
        <v>54</v>
      </c>
      <c r="E83" s="28" t="s">
        <v>624</v>
      </c>
    </row>
    <row r="84" spans="1:16" ht="12.75">
      <c r="A84" s="18" t="s">
        <v>44</v>
      </c>
      <c r="B84" s="22" t="s">
        <v>126</v>
      </c>
      <c r="C84" s="22" t="s">
        <v>627</v>
      </c>
      <c r="D84" s="18" t="s">
        <v>46</v>
      </c>
      <c r="E84" s="23" t="s">
        <v>628</v>
      </c>
      <c r="F84" s="24" t="s">
        <v>48</v>
      </c>
      <c r="G84" s="25">
        <v>2.73</v>
      </c>
      <c r="H84" s="26"/>
      <c r="I84" s="26">
        <f>ROUND(ROUND(H84,2)*ROUND(G84,3),2)</f>
        <v>0</v>
      </c>
      <c r="J84" s="24" t="s">
        <v>49</v>
      </c>
      <c r="O84">
        <f>(I84*21)/100</f>
        <v>0</v>
      </c>
      <c r="P84" t="s">
        <v>20</v>
      </c>
    </row>
    <row r="85" spans="1:5" ht="12.75">
      <c r="A85" s="27" t="s">
        <v>50</v>
      </c>
      <c r="E85" s="28" t="s">
        <v>629</v>
      </c>
    </row>
    <row r="86" spans="1:5" ht="12.75">
      <c r="A86" s="29" t="s">
        <v>52</v>
      </c>
      <c r="E86" s="30" t="s">
        <v>630</v>
      </c>
    </row>
    <row r="87" spans="1:5" ht="25.5">
      <c r="A87" t="s">
        <v>54</v>
      </c>
      <c r="E87" s="28" t="s">
        <v>631</v>
      </c>
    </row>
    <row r="88" spans="1:18" ht="12.75" customHeight="1">
      <c r="A88" s="5" t="s">
        <v>42</v>
      </c>
      <c r="B88" s="5"/>
      <c r="C88" s="31" t="s">
        <v>30</v>
      </c>
      <c r="D88" s="5"/>
      <c r="E88" s="20" t="s">
        <v>140</v>
      </c>
      <c r="F88" s="5"/>
      <c r="G88" s="5"/>
      <c r="H88" s="5"/>
      <c r="I88" s="32">
        <f>0+Q88</f>
        <v>0</v>
      </c>
      <c r="J88" s="5"/>
      <c r="O88">
        <f>0+R88</f>
        <v>0</v>
      </c>
      <c r="Q88">
        <f>0+I89+I93+I97+I101</f>
        <v>0</v>
      </c>
      <c r="R88">
        <f>0+O89+O93+O97+O101</f>
        <v>0</v>
      </c>
    </row>
    <row r="89" spans="1:16" ht="12.75">
      <c r="A89" s="18" t="s">
        <v>44</v>
      </c>
      <c r="B89" s="22" t="s">
        <v>130</v>
      </c>
      <c r="C89" s="22" t="s">
        <v>423</v>
      </c>
      <c r="D89" s="18" t="s">
        <v>46</v>
      </c>
      <c r="E89" s="23" t="s">
        <v>424</v>
      </c>
      <c r="F89" s="24" t="s">
        <v>48</v>
      </c>
      <c r="G89" s="25">
        <v>7</v>
      </c>
      <c r="H89" s="26"/>
      <c r="I89" s="26">
        <f>ROUND(ROUND(H89,2)*ROUND(G89,3),2)</f>
        <v>0</v>
      </c>
      <c r="J89" s="24" t="s">
        <v>49</v>
      </c>
      <c r="O89">
        <f>(I89*21)/100</f>
        <v>0</v>
      </c>
      <c r="P89" t="s">
        <v>20</v>
      </c>
    </row>
    <row r="90" spans="1:5" ht="12.75">
      <c r="A90" s="27" t="s">
        <v>50</v>
      </c>
      <c r="E90" s="28" t="s">
        <v>632</v>
      </c>
    </row>
    <row r="91" spans="1:5" ht="12.75">
      <c r="A91" s="29" t="s">
        <v>52</v>
      </c>
      <c r="E91" s="30" t="s">
        <v>46</v>
      </c>
    </row>
    <row r="92" spans="1:5" ht="369.75">
      <c r="A92" t="s">
        <v>54</v>
      </c>
      <c r="E92" s="28" t="s">
        <v>150</v>
      </c>
    </row>
    <row r="93" spans="1:16" ht="12.75">
      <c r="A93" s="18" t="s">
        <v>44</v>
      </c>
      <c r="B93" s="22" t="s">
        <v>135</v>
      </c>
      <c r="C93" s="22" t="s">
        <v>426</v>
      </c>
      <c r="D93" s="18" t="s">
        <v>30</v>
      </c>
      <c r="E93" s="23" t="s">
        <v>427</v>
      </c>
      <c r="F93" s="24" t="s">
        <v>48</v>
      </c>
      <c r="G93" s="25">
        <v>1.8</v>
      </c>
      <c r="H93" s="26"/>
      <c r="I93" s="26">
        <f>ROUND(ROUND(H93,2)*ROUND(G93,3),2)</f>
        <v>0</v>
      </c>
      <c r="J93" s="24" t="s">
        <v>49</v>
      </c>
      <c r="O93">
        <f>(I93*21)/100</f>
        <v>0</v>
      </c>
      <c r="P93" t="s">
        <v>20</v>
      </c>
    </row>
    <row r="94" spans="1:5" ht="12.75">
      <c r="A94" s="27" t="s">
        <v>50</v>
      </c>
      <c r="E94" s="28" t="s">
        <v>633</v>
      </c>
    </row>
    <row r="95" spans="1:5" ht="12.75">
      <c r="A95" s="29" t="s">
        <v>52</v>
      </c>
      <c r="E95" s="30" t="s">
        <v>634</v>
      </c>
    </row>
    <row r="96" spans="1:5" ht="369.75">
      <c r="A96" t="s">
        <v>54</v>
      </c>
      <c r="E96" s="28" t="s">
        <v>150</v>
      </c>
    </row>
    <row r="97" spans="1:16" ht="12.75">
      <c r="A97" s="18" t="s">
        <v>44</v>
      </c>
      <c r="B97" s="22" t="s">
        <v>141</v>
      </c>
      <c r="C97" s="22" t="s">
        <v>426</v>
      </c>
      <c r="D97" s="18" t="s">
        <v>32</v>
      </c>
      <c r="E97" s="23" t="s">
        <v>427</v>
      </c>
      <c r="F97" s="24" t="s">
        <v>48</v>
      </c>
      <c r="G97" s="25">
        <v>30.642</v>
      </c>
      <c r="H97" s="26"/>
      <c r="I97" s="26">
        <f>ROUND(ROUND(H97,2)*ROUND(G97,3),2)</f>
        <v>0</v>
      </c>
      <c r="J97" s="24" t="s">
        <v>49</v>
      </c>
      <c r="O97">
        <f>(I97*21)/100</f>
        <v>0</v>
      </c>
      <c r="P97" t="s">
        <v>20</v>
      </c>
    </row>
    <row r="98" spans="1:5" ht="12.75">
      <c r="A98" s="27" t="s">
        <v>50</v>
      </c>
      <c r="E98" s="28" t="s">
        <v>46</v>
      </c>
    </row>
    <row r="99" spans="1:5" ht="25.5">
      <c r="A99" s="29" t="s">
        <v>52</v>
      </c>
      <c r="E99" s="30" t="s">
        <v>635</v>
      </c>
    </row>
    <row r="100" spans="1:5" ht="369.75">
      <c r="A100" t="s">
        <v>54</v>
      </c>
      <c r="E100" s="28" t="s">
        <v>150</v>
      </c>
    </row>
    <row r="101" spans="1:16" ht="12.75">
      <c r="A101" s="18" t="s">
        <v>44</v>
      </c>
      <c r="B101" s="22" t="s">
        <v>146</v>
      </c>
      <c r="C101" s="22" t="s">
        <v>636</v>
      </c>
      <c r="D101" s="18" t="s">
        <v>46</v>
      </c>
      <c r="E101" s="23" t="s">
        <v>637</v>
      </c>
      <c r="F101" s="24" t="s">
        <v>106</v>
      </c>
      <c r="G101" s="25">
        <v>18</v>
      </c>
      <c r="H101" s="26"/>
      <c r="I101" s="26">
        <f>ROUND(ROUND(H101,2)*ROUND(G101,3),2)</f>
        <v>0</v>
      </c>
      <c r="J101" s="24" t="s">
        <v>49</v>
      </c>
      <c r="O101">
        <f>(I101*21)/100</f>
        <v>0</v>
      </c>
      <c r="P101" t="s">
        <v>20</v>
      </c>
    </row>
    <row r="102" spans="1:5" ht="12.75">
      <c r="A102" s="27" t="s">
        <v>50</v>
      </c>
      <c r="E102" s="28" t="s">
        <v>638</v>
      </c>
    </row>
    <row r="103" spans="1:5" ht="12.75">
      <c r="A103" s="29" t="s">
        <v>52</v>
      </c>
      <c r="E103" s="30" t="s">
        <v>46</v>
      </c>
    </row>
    <row r="104" spans="1:5" ht="127.5">
      <c r="A104" t="s">
        <v>54</v>
      </c>
      <c r="E104" s="28" t="s">
        <v>639</v>
      </c>
    </row>
    <row r="105" spans="1:18" ht="12.75" customHeight="1">
      <c r="A105" s="5" t="s">
        <v>42</v>
      </c>
      <c r="B105" s="5"/>
      <c r="C105" s="31" t="s">
        <v>73</v>
      </c>
      <c r="D105" s="5"/>
      <c r="E105" s="20" t="s">
        <v>466</v>
      </c>
      <c r="F105" s="5"/>
      <c r="G105" s="5"/>
      <c r="H105" s="5"/>
      <c r="I105" s="32">
        <f>0+Q105</f>
        <v>0</v>
      </c>
      <c r="J105" s="5"/>
      <c r="O105">
        <f>0+R105</f>
        <v>0</v>
      </c>
      <c r="Q105">
        <f>0+I106+I110+I114</f>
        <v>0</v>
      </c>
      <c r="R105">
        <f>0+O106+O110+O114</f>
        <v>0</v>
      </c>
    </row>
    <row r="106" spans="1:16" ht="25.5">
      <c r="A106" s="18" t="s">
        <v>44</v>
      </c>
      <c r="B106" s="22" t="s">
        <v>152</v>
      </c>
      <c r="C106" s="22" t="s">
        <v>640</v>
      </c>
      <c r="D106" s="18" t="s">
        <v>46</v>
      </c>
      <c r="E106" s="23" t="s">
        <v>641</v>
      </c>
      <c r="F106" s="24" t="s">
        <v>106</v>
      </c>
      <c r="G106" s="744">
        <v>60.6</v>
      </c>
      <c r="H106" s="26"/>
      <c r="I106" s="26">
        <f>ROUND(ROUND(H106,2)*ROUND(G106,3),2)</f>
        <v>0</v>
      </c>
      <c r="J106" s="24" t="s">
        <v>49</v>
      </c>
      <c r="O106">
        <f>(I106*21)/100</f>
        <v>0</v>
      </c>
      <c r="P106" t="s">
        <v>20</v>
      </c>
    </row>
    <row r="107" spans="1:5" ht="12.75">
      <c r="A107" s="27" t="s">
        <v>50</v>
      </c>
      <c r="E107" s="28" t="s">
        <v>46</v>
      </c>
    </row>
    <row r="108" spans="1:5" ht="12.75">
      <c r="A108" s="29" t="s">
        <v>52</v>
      </c>
      <c r="E108" s="30" t="s">
        <v>46</v>
      </c>
    </row>
    <row r="109" spans="1:5" ht="191.25">
      <c r="A109" t="s">
        <v>54</v>
      </c>
      <c r="E109" s="28" t="s">
        <v>469</v>
      </c>
    </row>
    <row r="110" spans="1:16" ht="12.75">
      <c r="A110" s="18" t="s">
        <v>44</v>
      </c>
      <c r="B110" s="22" t="s">
        <v>157</v>
      </c>
      <c r="C110" s="22" t="s">
        <v>642</v>
      </c>
      <c r="D110" s="18" t="s">
        <v>46</v>
      </c>
      <c r="E110" s="23" t="s">
        <v>643</v>
      </c>
      <c r="F110" s="24" t="s">
        <v>106</v>
      </c>
      <c r="G110" s="25">
        <v>60.8</v>
      </c>
      <c r="H110" s="26"/>
      <c r="I110" s="26">
        <f>ROUND(ROUND(H110,2)*ROUND(G110,3),2)</f>
        <v>0</v>
      </c>
      <c r="J110" s="24" t="s">
        <v>49</v>
      </c>
      <c r="O110">
        <f>(I110*21)/100</f>
        <v>0</v>
      </c>
      <c r="P110" t="s">
        <v>20</v>
      </c>
    </row>
    <row r="111" spans="1:5" ht="12.75">
      <c r="A111" s="27" t="s">
        <v>50</v>
      </c>
      <c r="E111" s="28" t="s">
        <v>644</v>
      </c>
    </row>
    <row r="112" spans="1:5" ht="25.5">
      <c r="A112" s="29" t="s">
        <v>52</v>
      </c>
      <c r="E112" s="30" t="s">
        <v>645</v>
      </c>
    </row>
    <row r="113" spans="1:5" ht="51">
      <c r="A113" t="s">
        <v>54</v>
      </c>
      <c r="E113" s="28" t="s">
        <v>646</v>
      </c>
    </row>
    <row r="114" spans="1:16" ht="12.75">
      <c r="A114" s="18" t="s">
        <v>44</v>
      </c>
      <c r="B114" s="22" t="s">
        <v>161</v>
      </c>
      <c r="C114" s="22" t="s">
        <v>647</v>
      </c>
      <c r="D114" s="18" t="s">
        <v>46</v>
      </c>
      <c r="E114" s="23" t="s">
        <v>648</v>
      </c>
      <c r="F114" s="24" t="s">
        <v>106</v>
      </c>
      <c r="G114" s="25">
        <v>6.4</v>
      </c>
      <c r="H114" s="26"/>
      <c r="I114" s="26">
        <f>ROUND(ROUND(H114,2)*ROUND(G114,3),2)</f>
        <v>0</v>
      </c>
      <c r="J114" s="24" t="s">
        <v>49</v>
      </c>
      <c r="O114">
        <f>(I114*21)/100</f>
        <v>0</v>
      </c>
      <c r="P114" t="s">
        <v>20</v>
      </c>
    </row>
    <row r="115" spans="1:5" ht="12.75">
      <c r="A115" s="27" t="s">
        <v>50</v>
      </c>
      <c r="E115" s="28" t="s">
        <v>649</v>
      </c>
    </row>
    <row r="116" spans="1:5" ht="12.75">
      <c r="A116" s="29" t="s">
        <v>52</v>
      </c>
      <c r="E116" s="30" t="s">
        <v>650</v>
      </c>
    </row>
    <row r="117" spans="1:5" ht="89.25">
      <c r="A117" t="s">
        <v>54</v>
      </c>
      <c r="E117" s="28" t="s">
        <v>651</v>
      </c>
    </row>
    <row r="118" spans="1:18" ht="12.75" customHeight="1">
      <c r="A118" s="5" t="s">
        <v>42</v>
      </c>
      <c r="B118" s="5"/>
      <c r="C118" s="31" t="s">
        <v>77</v>
      </c>
      <c r="D118" s="5"/>
      <c r="E118" s="20" t="s">
        <v>206</v>
      </c>
      <c r="F118" s="5"/>
      <c r="G118" s="5"/>
      <c r="H118" s="5"/>
      <c r="I118" s="32">
        <f>0+Q118</f>
        <v>0</v>
      </c>
      <c r="J118" s="5"/>
      <c r="O118">
        <f>0+R118</f>
        <v>0</v>
      </c>
      <c r="Q118">
        <f>0+I119</f>
        <v>0</v>
      </c>
      <c r="R118">
        <f>0+O119</f>
        <v>0</v>
      </c>
    </row>
    <row r="119" spans="1:16" ht="12.75">
      <c r="A119" s="18" t="s">
        <v>44</v>
      </c>
      <c r="B119" s="22" t="s">
        <v>165</v>
      </c>
      <c r="C119" s="22" t="s">
        <v>652</v>
      </c>
      <c r="D119" s="18" t="s">
        <v>46</v>
      </c>
      <c r="E119" s="23" t="s">
        <v>653</v>
      </c>
      <c r="F119" s="24" t="s">
        <v>80</v>
      </c>
      <c r="G119" s="25">
        <v>26</v>
      </c>
      <c r="H119" s="26"/>
      <c r="I119" s="26">
        <f>ROUND(ROUND(H119,2)*ROUND(G119,3),2)</f>
        <v>0</v>
      </c>
      <c r="J119" s="24" t="s">
        <v>49</v>
      </c>
      <c r="O119">
        <f>(I119*21)/100</f>
        <v>0</v>
      </c>
      <c r="P119" t="s">
        <v>20</v>
      </c>
    </row>
    <row r="120" spans="1:5" ht="12.75">
      <c r="A120" s="27" t="s">
        <v>50</v>
      </c>
      <c r="E120" s="28" t="s">
        <v>46</v>
      </c>
    </row>
    <row r="121" spans="1:5" ht="12.75">
      <c r="A121" s="29" t="s">
        <v>52</v>
      </c>
      <c r="E121" s="30" t="s">
        <v>46</v>
      </c>
    </row>
    <row r="122" spans="1:5" ht="242.25">
      <c r="A122" t="s">
        <v>54</v>
      </c>
      <c r="E122" s="28" t="s">
        <v>216</v>
      </c>
    </row>
    <row r="123" spans="1:18" ht="12.75" customHeight="1">
      <c r="A123" s="5" t="s">
        <v>42</v>
      </c>
      <c r="B123" s="5"/>
      <c r="C123" s="31" t="s">
        <v>37</v>
      </c>
      <c r="D123" s="5"/>
      <c r="E123" s="20" t="s">
        <v>217</v>
      </c>
      <c r="F123" s="5"/>
      <c r="G123" s="5"/>
      <c r="H123" s="5"/>
      <c r="I123" s="32">
        <f>0+Q123</f>
        <v>0</v>
      </c>
      <c r="J123" s="5"/>
      <c r="O123">
        <f>0+R123</f>
        <v>0</v>
      </c>
      <c r="Q123">
        <f>0+I124+I128</f>
        <v>0</v>
      </c>
      <c r="R123">
        <f>0+O124+O128</f>
        <v>0</v>
      </c>
    </row>
    <row r="124" spans="1:16" ht="12.75">
      <c r="A124" s="18" t="s">
        <v>44</v>
      </c>
      <c r="B124" s="22" t="s">
        <v>168</v>
      </c>
      <c r="C124" s="22" t="s">
        <v>654</v>
      </c>
      <c r="D124" s="18" t="s">
        <v>46</v>
      </c>
      <c r="E124" s="23" t="s">
        <v>655</v>
      </c>
      <c r="F124" s="24" t="s">
        <v>210</v>
      </c>
      <c r="G124" s="25">
        <v>1100</v>
      </c>
      <c r="H124" s="26"/>
      <c r="I124" s="26">
        <f>ROUND(ROUND(H124,2)*ROUND(G124,3),2)</f>
        <v>0</v>
      </c>
      <c r="J124" s="24" t="s">
        <v>364</v>
      </c>
      <c r="O124">
        <f>(I124*21)/100</f>
        <v>0</v>
      </c>
      <c r="P124" t="s">
        <v>20</v>
      </c>
    </row>
    <row r="125" spans="1:5" ht="12.75">
      <c r="A125" s="27" t="s">
        <v>50</v>
      </c>
      <c r="E125" s="28" t="s">
        <v>46</v>
      </c>
    </row>
    <row r="126" spans="1:5" ht="12.75">
      <c r="A126" s="29" t="s">
        <v>52</v>
      </c>
      <c r="E126" s="30" t="s">
        <v>46</v>
      </c>
    </row>
    <row r="127" spans="1:5" ht="12.75">
      <c r="A127" t="s">
        <v>54</v>
      </c>
      <c r="E127" s="28" t="s">
        <v>656</v>
      </c>
    </row>
    <row r="128" spans="1:16" ht="12.75">
      <c r="A128" s="18" t="s">
        <v>44</v>
      </c>
      <c r="B128" s="22" t="s">
        <v>173</v>
      </c>
      <c r="C128" s="22" t="s">
        <v>520</v>
      </c>
      <c r="D128" s="18" t="s">
        <v>46</v>
      </c>
      <c r="E128" s="23" t="s">
        <v>521</v>
      </c>
      <c r="F128" s="24" t="s">
        <v>48</v>
      </c>
      <c r="G128" s="25">
        <v>50.7</v>
      </c>
      <c r="H128" s="26"/>
      <c r="I128" s="26">
        <f>ROUND(ROUND(H128,2)*ROUND(G128,3),2)</f>
        <v>0</v>
      </c>
      <c r="J128" s="24" t="s">
        <v>49</v>
      </c>
      <c r="O128">
        <f>(I128*21)/100</f>
        <v>0</v>
      </c>
      <c r="P128" t="s">
        <v>20</v>
      </c>
    </row>
    <row r="129" spans="1:5" ht="12.75">
      <c r="A129" s="27" t="s">
        <v>50</v>
      </c>
      <c r="E129" s="28" t="s">
        <v>46</v>
      </c>
    </row>
    <row r="130" spans="1:5" ht="12.75">
      <c r="A130" s="29" t="s">
        <v>52</v>
      </c>
      <c r="E130" s="30" t="s">
        <v>657</v>
      </c>
    </row>
    <row r="131" spans="1:5" ht="114.75">
      <c r="A131" t="s">
        <v>54</v>
      </c>
      <c r="E131" s="28" t="s">
        <v>255</v>
      </c>
    </row>
  </sheetData>
  <sheetProtection/>
  <mergeCells count="11"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63"/>
  <sheetViews>
    <sheetView view="pageBreakPreview" zoomScaleSheetLayoutView="100" zoomScalePageLayoutView="0" workbookViewId="0" topLeftCell="A1">
      <pane ySplit="7" topLeftCell="A39" activePane="bottomLeft" state="frozen"/>
      <selection pane="topLeft" activeCell="G9" sqref="G9"/>
      <selection pane="bottomLeft" activeCell="F3" sqref="F3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0+O8+O13+O30+O39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85" t="s">
        <v>12</v>
      </c>
      <c r="D3" s="781"/>
      <c r="E3" s="11" t="s">
        <v>13</v>
      </c>
      <c r="F3" s="747">
        <v>43550</v>
      </c>
      <c r="G3" s="8"/>
      <c r="H3" s="7" t="s">
        <v>658</v>
      </c>
      <c r="I3" s="33">
        <f>0+I8+I13+I30+I39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86" t="s">
        <v>658</v>
      </c>
      <c r="D4" s="787"/>
      <c r="E4" s="14" t="s">
        <v>659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84" t="s">
        <v>23</v>
      </c>
      <c r="B5" s="784" t="s">
        <v>25</v>
      </c>
      <c r="C5" s="784" t="s">
        <v>27</v>
      </c>
      <c r="D5" s="784" t="s">
        <v>28</v>
      </c>
      <c r="E5" s="784" t="s">
        <v>29</v>
      </c>
      <c r="F5" s="784" t="s">
        <v>31</v>
      </c>
      <c r="G5" s="784" t="s">
        <v>33</v>
      </c>
      <c r="H5" s="784" t="s">
        <v>35</v>
      </c>
      <c r="I5" s="784"/>
      <c r="J5" s="784" t="s">
        <v>40</v>
      </c>
      <c r="O5" t="s">
        <v>18</v>
      </c>
      <c r="P5" t="s">
        <v>20</v>
      </c>
    </row>
    <row r="6" spans="1:10" ht="12.75" customHeight="1">
      <c r="A6" s="784"/>
      <c r="B6" s="784"/>
      <c r="C6" s="784"/>
      <c r="D6" s="784"/>
      <c r="E6" s="784"/>
      <c r="F6" s="784"/>
      <c r="G6" s="784"/>
      <c r="H6" s="12" t="s">
        <v>36</v>
      </c>
      <c r="I6" s="12" t="s">
        <v>38</v>
      </c>
      <c r="J6" s="784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6" ht="12.75">
      <c r="A9" s="18" t="s">
        <v>44</v>
      </c>
      <c r="B9" s="22" t="s">
        <v>26</v>
      </c>
      <c r="C9" s="22" t="s">
        <v>45</v>
      </c>
      <c r="D9" s="18" t="s">
        <v>46</v>
      </c>
      <c r="E9" s="23" t="s">
        <v>47</v>
      </c>
      <c r="F9" s="24" t="s">
        <v>48</v>
      </c>
      <c r="G9" s="25">
        <v>129.05</v>
      </c>
      <c r="H9" s="26"/>
      <c r="I9" s="26">
        <f>ROUND(ROUND(H9,2)*ROUND(G9,3),2)</f>
        <v>0</v>
      </c>
      <c r="J9" s="24" t="s">
        <v>49</v>
      </c>
      <c r="O9">
        <f>(I9*21)/100</f>
        <v>0</v>
      </c>
      <c r="P9" t="s">
        <v>20</v>
      </c>
    </row>
    <row r="10" spans="1:5" ht="12.75">
      <c r="A10" s="27" t="s">
        <v>50</v>
      </c>
      <c r="E10" s="28" t="s">
        <v>51</v>
      </c>
    </row>
    <row r="11" spans="1:5" ht="12.75">
      <c r="A11" s="29" t="s">
        <v>52</v>
      </c>
      <c r="E11" s="30" t="s">
        <v>660</v>
      </c>
    </row>
    <row r="12" spans="1:5" ht="25.5">
      <c r="A12" t="s">
        <v>54</v>
      </c>
      <c r="E12" s="28" t="s">
        <v>55</v>
      </c>
    </row>
    <row r="13" spans="1:18" ht="12.75" customHeight="1">
      <c r="A13" s="5" t="s">
        <v>42</v>
      </c>
      <c r="B13" s="5"/>
      <c r="C13" s="31" t="s">
        <v>26</v>
      </c>
      <c r="D13" s="5"/>
      <c r="E13" s="20" t="s">
        <v>64</v>
      </c>
      <c r="F13" s="5"/>
      <c r="G13" s="5"/>
      <c r="H13" s="5"/>
      <c r="I13" s="32">
        <f>0+Q13</f>
        <v>0</v>
      </c>
      <c r="J13" s="5"/>
      <c r="O13">
        <f>0+R13</f>
        <v>0</v>
      </c>
      <c r="Q13">
        <f>0+I14+I18+I22+I26</f>
        <v>0</v>
      </c>
      <c r="R13">
        <f>0+O14+O18+O22+O26</f>
        <v>0</v>
      </c>
    </row>
    <row r="14" spans="1:16" ht="12.75">
      <c r="A14" s="18" t="s">
        <v>44</v>
      </c>
      <c r="B14" s="22" t="s">
        <v>20</v>
      </c>
      <c r="C14" s="22" t="s">
        <v>306</v>
      </c>
      <c r="D14" s="18" t="s">
        <v>46</v>
      </c>
      <c r="E14" s="23" t="s">
        <v>307</v>
      </c>
      <c r="F14" s="24" t="s">
        <v>48</v>
      </c>
      <c r="G14" s="25">
        <v>58.15</v>
      </c>
      <c r="H14" s="26"/>
      <c r="I14" s="26">
        <f>ROUND(ROUND(H14,2)*ROUND(G14,3),2)</f>
        <v>0</v>
      </c>
      <c r="J14" s="24" t="s">
        <v>49</v>
      </c>
      <c r="O14">
        <f>(I14*21)/100</f>
        <v>0</v>
      </c>
      <c r="P14" t="s">
        <v>20</v>
      </c>
    </row>
    <row r="15" spans="1:5" ht="12.75">
      <c r="A15" s="27" t="s">
        <v>50</v>
      </c>
      <c r="E15" s="28" t="s">
        <v>46</v>
      </c>
    </row>
    <row r="16" spans="1:5" ht="12.75">
      <c r="A16" s="29" t="s">
        <v>52</v>
      </c>
      <c r="E16" s="30" t="s">
        <v>46</v>
      </c>
    </row>
    <row r="17" spans="1:5" ht="306">
      <c r="A17" t="s">
        <v>54</v>
      </c>
      <c r="E17" s="28" t="s">
        <v>308</v>
      </c>
    </row>
    <row r="18" spans="1:16" ht="12.75">
      <c r="A18" s="18" t="s">
        <v>44</v>
      </c>
      <c r="B18" s="22" t="s">
        <v>19</v>
      </c>
      <c r="C18" s="22" t="s">
        <v>661</v>
      </c>
      <c r="D18" s="18" t="s">
        <v>46</v>
      </c>
      <c r="E18" s="23" t="s">
        <v>662</v>
      </c>
      <c r="F18" s="24" t="s">
        <v>48</v>
      </c>
      <c r="G18" s="25">
        <v>187.2</v>
      </c>
      <c r="H18" s="26"/>
      <c r="I18" s="26">
        <f>ROUND(ROUND(H18,2)*ROUND(G18,3),2)</f>
        <v>0</v>
      </c>
      <c r="J18" s="24" t="s">
        <v>49</v>
      </c>
      <c r="O18">
        <f>(I18*21)/100</f>
        <v>0</v>
      </c>
      <c r="P18" t="s">
        <v>20</v>
      </c>
    </row>
    <row r="19" spans="1:5" ht="12.75">
      <c r="A19" s="27" t="s">
        <v>50</v>
      </c>
      <c r="E19" s="28" t="s">
        <v>46</v>
      </c>
    </row>
    <row r="20" spans="1:5" ht="12.75">
      <c r="A20" s="29" t="s">
        <v>52</v>
      </c>
      <c r="E20" s="30" t="s">
        <v>663</v>
      </c>
    </row>
    <row r="21" spans="1:5" ht="318.75">
      <c r="A21" t="s">
        <v>54</v>
      </c>
      <c r="E21" s="28" t="s">
        <v>664</v>
      </c>
    </row>
    <row r="22" spans="1:16" ht="12.75">
      <c r="A22" s="18" t="s">
        <v>44</v>
      </c>
      <c r="B22" s="22" t="s">
        <v>30</v>
      </c>
      <c r="C22" s="22" t="s">
        <v>665</v>
      </c>
      <c r="D22" s="18" t="s">
        <v>46</v>
      </c>
      <c r="E22" s="23" t="s">
        <v>666</v>
      </c>
      <c r="F22" s="24" t="s">
        <v>48</v>
      </c>
      <c r="G22" s="25">
        <v>58.15</v>
      </c>
      <c r="H22" s="26"/>
      <c r="I22" s="26">
        <f>ROUND(ROUND(H22,2)*ROUND(G22,3),2)</f>
        <v>0</v>
      </c>
      <c r="J22" s="24" t="s">
        <v>49</v>
      </c>
      <c r="O22">
        <f>(I22*21)/100</f>
        <v>0</v>
      </c>
      <c r="P22" t="s">
        <v>20</v>
      </c>
    </row>
    <row r="23" spans="1:5" ht="12.75">
      <c r="A23" s="27" t="s">
        <v>50</v>
      </c>
      <c r="E23" s="28" t="s">
        <v>46</v>
      </c>
    </row>
    <row r="24" spans="1:5" ht="12.75">
      <c r="A24" s="29" t="s">
        <v>52</v>
      </c>
      <c r="E24" s="30" t="s">
        <v>667</v>
      </c>
    </row>
    <row r="25" spans="1:5" ht="229.5">
      <c r="A25" t="s">
        <v>54</v>
      </c>
      <c r="E25" s="28" t="s">
        <v>668</v>
      </c>
    </row>
    <row r="26" spans="1:16" ht="12.75">
      <c r="A26" s="18" t="s">
        <v>44</v>
      </c>
      <c r="B26" s="22" t="s">
        <v>32</v>
      </c>
      <c r="C26" s="22" t="s">
        <v>99</v>
      </c>
      <c r="D26" s="18" t="s">
        <v>46</v>
      </c>
      <c r="E26" s="23" t="s">
        <v>100</v>
      </c>
      <c r="F26" s="24" t="s">
        <v>48</v>
      </c>
      <c r="G26" s="25">
        <v>60.12</v>
      </c>
      <c r="H26" s="26"/>
      <c r="I26" s="26">
        <f>ROUND(ROUND(H26,2)*ROUND(G26,3),2)</f>
        <v>0</v>
      </c>
      <c r="J26" s="24" t="s">
        <v>49</v>
      </c>
      <c r="O26">
        <f>(I26*21)/100</f>
        <v>0</v>
      </c>
      <c r="P26" t="s">
        <v>20</v>
      </c>
    </row>
    <row r="27" spans="1:5" ht="12.75">
      <c r="A27" s="27" t="s">
        <v>50</v>
      </c>
      <c r="E27" s="28" t="s">
        <v>46</v>
      </c>
    </row>
    <row r="28" spans="1:5" ht="12.75">
      <c r="A28" s="29" t="s">
        <v>52</v>
      </c>
      <c r="E28" s="30" t="s">
        <v>669</v>
      </c>
    </row>
    <row r="29" spans="1:5" ht="293.25">
      <c r="A29" t="s">
        <v>54</v>
      </c>
      <c r="E29" s="28" t="s">
        <v>102</v>
      </c>
    </row>
    <row r="30" spans="1:18" ht="12.75" customHeight="1">
      <c r="A30" s="5" t="s">
        <v>42</v>
      </c>
      <c r="B30" s="5"/>
      <c r="C30" s="31" t="s">
        <v>30</v>
      </c>
      <c r="D30" s="5"/>
      <c r="E30" s="20" t="s">
        <v>140</v>
      </c>
      <c r="F30" s="5"/>
      <c r="G30" s="5"/>
      <c r="H30" s="5"/>
      <c r="I30" s="32">
        <f>0+Q30</f>
        <v>0</v>
      </c>
      <c r="J30" s="5"/>
      <c r="O30">
        <f>0+R30</f>
        <v>0</v>
      </c>
      <c r="Q30">
        <f>0+I31+I35</f>
        <v>0</v>
      </c>
      <c r="R30">
        <f>0+O31+O35</f>
        <v>0</v>
      </c>
    </row>
    <row r="31" spans="1:16" ht="12.75">
      <c r="A31" s="18" t="s">
        <v>44</v>
      </c>
      <c r="B31" s="22" t="s">
        <v>34</v>
      </c>
      <c r="C31" s="22" t="s">
        <v>142</v>
      </c>
      <c r="D31" s="18" t="s">
        <v>46</v>
      </c>
      <c r="E31" s="23" t="s">
        <v>143</v>
      </c>
      <c r="F31" s="24" t="s">
        <v>48</v>
      </c>
      <c r="G31" s="25">
        <v>0.25</v>
      </c>
      <c r="H31" s="26"/>
      <c r="I31" s="26">
        <f>ROUND(ROUND(H31,2)*ROUND(G31,3),2)</f>
        <v>0</v>
      </c>
      <c r="J31" s="24" t="s">
        <v>49</v>
      </c>
      <c r="O31">
        <f>(I31*21)/100</f>
        <v>0</v>
      </c>
      <c r="P31" t="s">
        <v>20</v>
      </c>
    </row>
    <row r="32" spans="1:5" ht="12.75">
      <c r="A32" s="27" t="s">
        <v>50</v>
      </c>
      <c r="E32" s="28" t="s">
        <v>670</v>
      </c>
    </row>
    <row r="33" spans="1:5" ht="12.75">
      <c r="A33" s="29" t="s">
        <v>52</v>
      </c>
      <c r="E33" s="30" t="s">
        <v>671</v>
      </c>
    </row>
    <row r="34" spans="1:5" ht="102">
      <c r="A34" t="s">
        <v>54</v>
      </c>
      <c r="E34" s="28" t="s">
        <v>145</v>
      </c>
    </row>
    <row r="35" spans="1:16" ht="12.75">
      <c r="A35" s="18" t="s">
        <v>44</v>
      </c>
      <c r="B35" s="22" t="s">
        <v>73</v>
      </c>
      <c r="C35" s="22" t="s">
        <v>426</v>
      </c>
      <c r="D35" s="18" t="s">
        <v>46</v>
      </c>
      <c r="E35" s="23" t="s">
        <v>427</v>
      </c>
      <c r="F35" s="24" t="s">
        <v>48</v>
      </c>
      <c r="G35" s="25">
        <v>0.15</v>
      </c>
      <c r="H35" s="26"/>
      <c r="I35" s="26">
        <f>ROUND(ROUND(H35,2)*ROUND(G35,3),2)</f>
        <v>0</v>
      </c>
      <c r="J35" s="24" t="s">
        <v>49</v>
      </c>
      <c r="O35">
        <f>(I35*21)/100</f>
        <v>0</v>
      </c>
      <c r="P35" t="s">
        <v>20</v>
      </c>
    </row>
    <row r="36" spans="1:5" ht="12.75">
      <c r="A36" s="27" t="s">
        <v>50</v>
      </c>
      <c r="E36" s="28" t="s">
        <v>672</v>
      </c>
    </row>
    <row r="37" spans="1:5" ht="12.75">
      <c r="A37" s="29" t="s">
        <v>52</v>
      </c>
      <c r="E37" s="30" t="s">
        <v>671</v>
      </c>
    </row>
    <row r="38" spans="1:5" ht="369.75">
      <c r="A38" t="s">
        <v>54</v>
      </c>
      <c r="E38" s="28" t="s">
        <v>150</v>
      </c>
    </row>
    <row r="39" spans="1:18" ht="12.75" customHeight="1">
      <c r="A39" s="5" t="s">
        <v>42</v>
      </c>
      <c r="B39" s="5"/>
      <c r="C39" s="31" t="s">
        <v>77</v>
      </c>
      <c r="D39" s="5"/>
      <c r="E39" s="20" t="s">
        <v>206</v>
      </c>
      <c r="F39" s="5"/>
      <c r="G39" s="5"/>
      <c r="H39" s="5"/>
      <c r="I39" s="32">
        <f>0+Q39</f>
        <v>0</v>
      </c>
      <c r="J39" s="5"/>
      <c r="O39">
        <f>0+R39</f>
        <v>0</v>
      </c>
      <c r="Q39">
        <f>0+I40+I44+I48+I52+I56+I60</f>
        <v>0</v>
      </c>
      <c r="R39">
        <f>0+O40+O44+O48+O52+O56+O60</f>
        <v>0</v>
      </c>
    </row>
    <row r="40" spans="1:16" ht="12.75">
      <c r="A40" s="18" t="s">
        <v>44</v>
      </c>
      <c r="B40" s="22" t="s">
        <v>77</v>
      </c>
      <c r="C40" s="22">
        <v>87434</v>
      </c>
      <c r="D40" s="18" t="s">
        <v>46</v>
      </c>
      <c r="E40" s="23" t="s">
        <v>673</v>
      </c>
      <c r="F40" s="24" t="s">
        <v>80</v>
      </c>
      <c r="G40" s="744">
        <v>18.9</v>
      </c>
      <c r="H40" s="26"/>
      <c r="I40" s="26">
        <f>ROUND(ROUND(H40,2)*ROUND(G40,3),2)</f>
        <v>0</v>
      </c>
      <c r="J40" s="24" t="s">
        <v>49</v>
      </c>
      <c r="O40">
        <f>(I40*21)/100</f>
        <v>0</v>
      </c>
      <c r="P40" t="s">
        <v>20</v>
      </c>
    </row>
    <row r="41" spans="1:5" ht="25.5">
      <c r="A41" s="27" t="s">
        <v>50</v>
      </c>
      <c r="E41" s="745" t="s">
        <v>678</v>
      </c>
    </row>
    <row r="42" spans="1:5" ht="12.75">
      <c r="A42" s="29" t="s">
        <v>52</v>
      </c>
      <c r="E42" s="746" t="s">
        <v>679</v>
      </c>
    </row>
    <row r="43" spans="1:5" ht="255">
      <c r="A43" t="s">
        <v>54</v>
      </c>
      <c r="E43" s="28" t="s">
        <v>675</v>
      </c>
    </row>
    <row r="44" spans="1:16" ht="12.75">
      <c r="A44" s="18" t="s">
        <v>44</v>
      </c>
      <c r="B44" s="22" t="s">
        <v>37</v>
      </c>
      <c r="C44" s="22" t="s">
        <v>676</v>
      </c>
      <c r="D44" s="18" t="s">
        <v>46</v>
      </c>
      <c r="E44" s="23" t="s">
        <v>677</v>
      </c>
      <c r="F44" s="24" t="s">
        <v>80</v>
      </c>
      <c r="G44" s="744">
        <v>55</v>
      </c>
      <c r="H44" s="26"/>
      <c r="I44" s="26">
        <f>ROUND(ROUND(H44,2)*ROUND(G44,3),2)</f>
        <v>0</v>
      </c>
      <c r="J44" s="24" t="s">
        <v>49</v>
      </c>
      <c r="O44">
        <f>(I44*21)/100</f>
        <v>0</v>
      </c>
      <c r="P44" t="s">
        <v>20</v>
      </c>
    </row>
    <row r="45" spans="1:5" ht="25.5">
      <c r="A45" s="27" t="s">
        <v>50</v>
      </c>
      <c r="E45" s="745" t="s">
        <v>674</v>
      </c>
    </row>
    <row r="46" spans="1:5" ht="12.75">
      <c r="A46" s="29" t="s">
        <v>52</v>
      </c>
      <c r="E46" s="30"/>
    </row>
    <row r="47" spans="1:5" ht="255">
      <c r="A47" t="s">
        <v>54</v>
      </c>
      <c r="E47" s="28" t="s">
        <v>675</v>
      </c>
    </row>
    <row r="48" spans="1:16" ht="12.75">
      <c r="A48" s="18" t="s">
        <v>44</v>
      </c>
      <c r="B48" s="22" t="s">
        <v>39</v>
      </c>
      <c r="C48" s="22" t="s">
        <v>680</v>
      </c>
      <c r="D48" s="18" t="s">
        <v>26</v>
      </c>
      <c r="E48" s="23" t="s">
        <v>681</v>
      </c>
      <c r="F48" s="24" t="s">
        <v>210</v>
      </c>
      <c r="G48" s="25">
        <v>2</v>
      </c>
      <c r="H48" s="26"/>
      <c r="I48" s="26">
        <f>ROUND(ROUND(H48,2)*ROUND(G48,3),2)</f>
        <v>0</v>
      </c>
      <c r="J48" s="24" t="s">
        <v>49</v>
      </c>
      <c r="O48">
        <f>(I48*21)/100</f>
        <v>0</v>
      </c>
      <c r="P48" t="s">
        <v>20</v>
      </c>
    </row>
    <row r="49" spans="1:5" ht="12.75">
      <c r="A49" s="27" t="s">
        <v>50</v>
      </c>
      <c r="E49" s="28" t="s">
        <v>682</v>
      </c>
    </row>
    <row r="50" spans="1:5" ht="12.75">
      <c r="A50" s="29" t="s">
        <v>52</v>
      </c>
      <c r="E50" s="30" t="s">
        <v>46</v>
      </c>
    </row>
    <row r="51" spans="1:5" ht="255">
      <c r="A51" t="s">
        <v>54</v>
      </c>
      <c r="E51" s="28" t="s">
        <v>683</v>
      </c>
    </row>
    <row r="52" spans="1:16" ht="12.75">
      <c r="A52" s="18" t="s">
        <v>44</v>
      </c>
      <c r="B52" s="22" t="s">
        <v>41</v>
      </c>
      <c r="C52" s="22" t="s">
        <v>680</v>
      </c>
      <c r="D52" s="18" t="s">
        <v>20</v>
      </c>
      <c r="E52" s="23" t="s">
        <v>681</v>
      </c>
      <c r="F52" s="24" t="s">
        <v>210</v>
      </c>
      <c r="G52" s="25">
        <v>1</v>
      </c>
      <c r="H52" s="26"/>
      <c r="I52" s="26">
        <f>ROUND(ROUND(H52,2)*ROUND(G52,3),2)</f>
        <v>0</v>
      </c>
      <c r="J52" s="24" t="s">
        <v>49</v>
      </c>
      <c r="O52">
        <f>(I52*21)/100</f>
        <v>0</v>
      </c>
      <c r="P52" t="s">
        <v>20</v>
      </c>
    </row>
    <row r="53" spans="1:5" ht="12.75">
      <c r="A53" s="27" t="s">
        <v>50</v>
      </c>
      <c r="E53" s="28" t="s">
        <v>684</v>
      </c>
    </row>
    <row r="54" spans="1:5" ht="12.75">
      <c r="A54" s="29" t="s">
        <v>52</v>
      </c>
      <c r="E54" s="30" t="s">
        <v>46</v>
      </c>
    </row>
    <row r="55" spans="1:5" ht="255">
      <c r="A55" t="s">
        <v>54</v>
      </c>
      <c r="E55" s="28" t="s">
        <v>683</v>
      </c>
    </row>
    <row r="56" spans="1:16" ht="12.75">
      <c r="A56" s="18" t="s">
        <v>44</v>
      </c>
      <c r="B56" s="22" t="s">
        <v>94</v>
      </c>
      <c r="C56" s="22" t="s">
        <v>208</v>
      </c>
      <c r="D56" s="18" t="s">
        <v>46</v>
      </c>
      <c r="E56" s="23" t="s">
        <v>209</v>
      </c>
      <c r="F56" s="24" t="s">
        <v>210</v>
      </c>
      <c r="G56" s="25">
        <v>2</v>
      </c>
      <c r="H56" s="26"/>
      <c r="I56" s="26">
        <f>ROUND(ROUND(H56,2)*ROUND(G56,3),2)</f>
        <v>0</v>
      </c>
      <c r="J56" s="24" t="s">
        <v>49</v>
      </c>
      <c r="O56">
        <f>(I56*21)/100</f>
        <v>0</v>
      </c>
      <c r="P56" t="s">
        <v>20</v>
      </c>
    </row>
    <row r="57" spans="1:5" ht="12.75">
      <c r="A57" s="27" t="s">
        <v>50</v>
      </c>
      <c r="E57" s="28" t="s">
        <v>46</v>
      </c>
    </row>
    <row r="58" spans="1:5" ht="12.75">
      <c r="A58" s="29" t="s">
        <v>52</v>
      </c>
      <c r="E58" s="30" t="s">
        <v>46</v>
      </c>
    </row>
    <row r="59" spans="1:5" ht="76.5">
      <c r="A59" t="s">
        <v>54</v>
      </c>
      <c r="E59" s="28" t="s">
        <v>211</v>
      </c>
    </row>
    <row r="60" spans="1:16" ht="12.75">
      <c r="A60" s="18" t="s">
        <v>44</v>
      </c>
      <c r="B60" s="22" t="s">
        <v>98</v>
      </c>
      <c r="C60" s="22" t="s">
        <v>685</v>
      </c>
      <c r="D60" s="18" t="s">
        <v>46</v>
      </c>
      <c r="E60" s="23" t="s">
        <v>686</v>
      </c>
      <c r="F60" s="24" t="s">
        <v>80</v>
      </c>
      <c r="G60" s="25">
        <v>75</v>
      </c>
      <c r="H60" s="26"/>
      <c r="I60" s="26">
        <f>ROUND(ROUND(H60,2)*ROUND(G60,3),2)</f>
        <v>0</v>
      </c>
      <c r="J60" s="24" t="s">
        <v>364</v>
      </c>
      <c r="O60">
        <f>(I60*21)/100</f>
        <v>0</v>
      </c>
      <c r="P60" t="s">
        <v>20</v>
      </c>
    </row>
    <row r="61" spans="1:5" ht="12.75">
      <c r="A61" s="27" t="s">
        <v>50</v>
      </c>
      <c r="E61" s="28" t="s">
        <v>46</v>
      </c>
    </row>
    <row r="62" spans="1:5" ht="12.75">
      <c r="A62" s="29" t="s">
        <v>52</v>
      </c>
      <c r="E62" s="30" t="s">
        <v>46</v>
      </c>
    </row>
    <row r="63" spans="1:5" ht="12.75">
      <c r="A63" t="s">
        <v>54</v>
      </c>
      <c r="E63" s="28" t="s">
        <v>687</v>
      </c>
    </row>
  </sheetData>
  <sheetProtection/>
  <mergeCells count="11"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view="pageBreakPreview" zoomScaleSheetLayoutView="100" zoomScalePageLayoutView="0" workbookViewId="0" topLeftCell="B1">
      <pane ySplit="7" topLeftCell="A8" activePane="bottomLeft" state="frozen"/>
      <selection pane="topLeft" activeCell="G9" sqref="G9"/>
      <selection pane="bottomLeft" activeCell="G9" sqref="G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  <col min="19" max="19" width="0" style="0" hidden="1" customWidth="1"/>
  </cols>
  <sheetData>
    <row r="1" spans="1:16" ht="12.75" customHeight="1">
      <c r="A1" t="s">
        <v>9</v>
      </c>
      <c r="B1" s="1"/>
      <c r="C1" s="1"/>
      <c r="D1" s="1"/>
      <c r="E1" s="1"/>
      <c r="F1" s="1"/>
      <c r="G1" s="1"/>
      <c r="H1" s="1"/>
      <c r="I1" s="1"/>
      <c r="J1" s="1"/>
      <c r="P1" t="s">
        <v>19</v>
      </c>
    </row>
    <row r="2" spans="2:16" ht="24.75" customHeight="1">
      <c r="B2" s="1"/>
      <c r="C2" s="1"/>
      <c r="D2" s="1"/>
      <c r="E2" s="2" t="s">
        <v>1202</v>
      </c>
      <c r="F2" s="1"/>
      <c r="G2" s="1"/>
      <c r="H2" s="5"/>
      <c r="I2" s="5"/>
      <c r="J2" s="1"/>
      <c r="O2">
        <f>0+O8</f>
        <v>0</v>
      </c>
      <c r="P2" t="s">
        <v>19</v>
      </c>
    </row>
    <row r="3" spans="1:16" ht="15" customHeight="1">
      <c r="A3" t="s">
        <v>10</v>
      </c>
      <c r="B3" s="10" t="s">
        <v>11</v>
      </c>
      <c r="C3" s="785" t="s">
        <v>12</v>
      </c>
      <c r="D3" s="781"/>
      <c r="E3" s="11" t="s">
        <v>13</v>
      </c>
      <c r="F3" s="1"/>
      <c r="G3" s="8"/>
      <c r="H3" s="7" t="s">
        <v>688</v>
      </c>
      <c r="I3" s="33">
        <f>0+I8</f>
        <v>0</v>
      </c>
      <c r="J3" s="9"/>
      <c r="O3" t="s">
        <v>16</v>
      </c>
      <c r="P3" t="s">
        <v>20</v>
      </c>
    </row>
    <row r="4" spans="1:16" ht="15" customHeight="1">
      <c r="A4" t="s">
        <v>14</v>
      </c>
      <c r="B4" s="13" t="s">
        <v>15</v>
      </c>
      <c r="C4" s="786" t="s">
        <v>688</v>
      </c>
      <c r="D4" s="787"/>
      <c r="E4" s="14" t="s">
        <v>689</v>
      </c>
      <c r="F4" s="5"/>
      <c r="G4" s="5"/>
      <c r="H4" s="15"/>
      <c r="I4" s="15"/>
      <c r="J4" s="5"/>
      <c r="O4" t="s">
        <v>17</v>
      </c>
      <c r="P4" t="s">
        <v>20</v>
      </c>
    </row>
    <row r="5" spans="1:16" ht="12.75" customHeight="1">
      <c r="A5" s="784" t="s">
        <v>23</v>
      </c>
      <c r="B5" s="784" t="s">
        <v>25</v>
      </c>
      <c r="C5" s="784" t="s">
        <v>27</v>
      </c>
      <c r="D5" s="784" t="s">
        <v>28</v>
      </c>
      <c r="E5" s="784" t="s">
        <v>29</v>
      </c>
      <c r="F5" s="784" t="s">
        <v>31</v>
      </c>
      <c r="G5" s="784" t="s">
        <v>33</v>
      </c>
      <c r="H5" s="784" t="s">
        <v>35</v>
      </c>
      <c r="I5" s="784"/>
      <c r="J5" s="784" t="s">
        <v>40</v>
      </c>
      <c r="O5" t="s">
        <v>18</v>
      </c>
      <c r="P5" t="s">
        <v>20</v>
      </c>
    </row>
    <row r="6" spans="1:10" ht="12.75" customHeight="1">
      <c r="A6" s="784"/>
      <c r="B6" s="784"/>
      <c r="C6" s="784"/>
      <c r="D6" s="784"/>
      <c r="E6" s="784"/>
      <c r="F6" s="784"/>
      <c r="G6" s="784"/>
      <c r="H6" s="12" t="s">
        <v>36</v>
      </c>
      <c r="I6" s="12" t="s">
        <v>38</v>
      </c>
      <c r="J6" s="784"/>
    </row>
    <row r="7" spans="1:10" ht="12.75" customHeight="1">
      <c r="A7" s="12" t="s">
        <v>24</v>
      </c>
      <c r="B7" s="12" t="s">
        <v>26</v>
      </c>
      <c r="C7" s="12" t="s">
        <v>20</v>
      </c>
      <c r="D7" s="12" t="s">
        <v>19</v>
      </c>
      <c r="E7" s="12" t="s">
        <v>30</v>
      </c>
      <c r="F7" s="12" t="s">
        <v>32</v>
      </c>
      <c r="G7" s="12" t="s">
        <v>34</v>
      </c>
      <c r="H7" s="12" t="s">
        <v>37</v>
      </c>
      <c r="I7" s="12" t="s">
        <v>39</v>
      </c>
      <c r="J7" s="12" t="s">
        <v>41</v>
      </c>
    </row>
    <row r="8" spans="1:18" ht="12.75" customHeight="1">
      <c r="A8" s="15" t="s">
        <v>42</v>
      </c>
      <c r="B8" s="15"/>
      <c r="C8" s="19" t="s">
        <v>24</v>
      </c>
      <c r="D8" s="15"/>
      <c r="E8" s="20" t="s">
        <v>43</v>
      </c>
      <c r="F8" s="15"/>
      <c r="G8" s="15"/>
      <c r="H8" s="15"/>
      <c r="I8" s="21">
        <f>0+Q8</f>
        <v>0</v>
      </c>
      <c r="J8" s="15"/>
      <c r="O8">
        <f>0+R8</f>
        <v>0</v>
      </c>
      <c r="Q8">
        <f>0+I9</f>
        <v>0</v>
      </c>
      <c r="R8">
        <f>0+O9</f>
        <v>0</v>
      </c>
    </row>
    <row r="9" spans="1:16" ht="12.75">
      <c r="A9" s="18" t="s">
        <v>44</v>
      </c>
      <c r="B9" s="22" t="s">
        <v>26</v>
      </c>
      <c r="C9" s="22" t="s">
        <v>1168</v>
      </c>
      <c r="D9" s="18"/>
      <c r="E9" s="23" t="s">
        <v>1169</v>
      </c>
      <c r="F9" s="24" t="s">
        <v>692</v>
      </c>
      <c r="G9" s="25">
        <v>1</v>
      </c>
      <c r="H9" s="26"/>
      <c r="I9" s="26">
        <f>ROUND(ROUND(H9,2)*ROUND(G9,3),2)</f>
        <v>0</v>
      </c>
      <c r="J9" s="24"/>
      <c r="O9">
        <f>(I9*21)/100</f>
        <v>0</v>
      </c>
      <c r="P9" t="s">
        <v>20</v>
      </c>
    </row>
    <row r="10" spans="1:5" ht="12.75">
      <c r="A10" s="27" t="s">
        <v>50</v>
      </c>
      <c r="E10" s="28" t="s">
        <v>1183</v>
      </c>
    </row>
    <row r="11" spans="1:5" ht="12.75">
      <c r="A11" s="29" t="s">
        <v>52</v>
      </c>
      <c r="E11" s="30"/>
    </row>
    <row r="12" spans="1:5" ht="12.75">
      <c r="A12" t="s">
        <v>54</v>
      </c>
      <c r="E12" s="28" t="s">
        <v>1170</v>
      </c>
    </row>
  </sheetData>
  <sheetProtection/>
  <mergeCells count="11">
    <mergeCell ref="G5:G6"/>
    <mergeCell ref="H5:I5"/>
    <mergeCell ref="J5:J6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480314960629921" right="0.7480314960629921" top="0.984251968503937" bottom="0.984251968503937" header="0.5118110236220472" footer="0.5118110236220472"/>
  <pageSetup fitToHeight="99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Kubíček Martin</dc:creator>
  <cp:keywords/>
  <dc:description/>
  <cp:lastModifiedBy>sabina.kolocova</cp:lastModifiedBy>
  <dcterms:created xsi:type="dcterms:W3CDTF">2018-10-26T10:49:47Z</dcterms:created>
  <dcterms:modified xsi:type="dcterms:W3CDTF">2019-07-18T05:59:29Z</dcterms:modified>
  <cp:category/>
  <cp:version/>
  <cp:contentType/>
  <cp:contentStatus/>
</cp:coreProperties>
</file>