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>
    <definedName name="_xlnm.Print_Area" localSheetId="3">'Krycí list rozpočtu'!$A$1:$I$38</definedName>
    <definedName name="_xlnm.Print_Area" localSheetId="0">'Stavební rozpočet'!$A$1:$M$128</definedName>
    <definedName name="_xlnm.Print_Area" localSheetId="1">'Stavební rozpočet - součet'!$A$1:$G$32</definedName>
    <definedName name="_xlnm.Print_Area" localSheetId="2">'Výkaz výměr'!$A$1:$H$151</definedName>
  </definedNames>
  <calcPr fullCalcOnLoad="1"/>
</workbook>
</file>

<file path=xl/sharedStrings.xml><?xml version="1.0" encoding="utf-8"?>
<sst xmlns="http://schemas.openxmlformats.org/spreadsheetml/2006/main" count="1209" uniqueCount="434">
  <si>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</si>
  <si>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</si>
  <si>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</si>
  <si>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</si>
  <si>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</si>
  <si>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</si>
  <si>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</si>
  <si>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</si>
  <si>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</si>
  <si>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</si>
  <si>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</si>
  <si>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</si>
  <si>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</si>
  <si>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</si>
  <si>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</si>
  <si>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</si>
  <si>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</si>
  <si>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</si>
  <si>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</si>
  <si>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</si>
  <si>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</si>
  <si>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</si>
  <si>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</si>
  <si>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</si>
  <si>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</si>
  <si>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</si>
  <si>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</si>
  <si>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</si>
  <si>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</si>
  <si>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</si>
  <si>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</si>
  <si>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</si>
  <si>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</si>
  <si>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</si>
  <si>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</si>
  <si>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</si>
  <si>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</si>
  <si>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</si>
  <si>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</si>
  <si>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</si>
  <si>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</si>
  <si>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</si>
  <si>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</si>
  <si>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</si>
  <si>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</si>
  <si>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</si>
  <si>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</si>
  <si>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</si>
  <si>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</si>
  <si>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</si>
  <si>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</si>
  <si>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</si>
  <si>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</si>
  <si>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</si>
  <si>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</si>
  <si>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</si>
  <si>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</si>
  <si>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</si>
  <si>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</si>
  <si>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</si>
  <si>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</si>
  <si>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</si>
  <si>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</si>
  <si>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</si>
  <si>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</si>
  <si>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</si>
  <si>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</si>
  <si>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</si>
  <si>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</si>
  <si>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</si>
  <si>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</si>
  <si>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</si>
  <si>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</si>
  <si>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</si>
  <si>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</si>
  <si>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</si>
  <si>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</si>
  <si>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</si>
  <si>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</si>
  <si>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</si>
  <si>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</si>
  <si>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</si>
  <si>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</si>
  <si>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</si>
  <si>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</si>
  <si>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</si>
  <si>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</si>
  <si>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Poznámka:</t>
  </si>
  <si>
    <t>Objekt</t>
  </si>
  <si>
    <t>Kód</t>
  </si>
  <si>
    <t>764</t>
  </si>
  <si>
    <t>766</t>
  </si>
  <si>
    <t>767</t>
  </si>
  <si>
    <t>781</t>
  </si>
  <si>
    <t>783</t>
  </si>
  <si>
    <t>784</t>
  </si>
  <si>
    <t>90</t>
  </si>
  <si>
    <t>94</t>
  </si>
  <si>
    <t>95</t>
  </si>
  <si>
    <t>96</t>
  </si>
  <si>
    <t>97</t>
  </si>
  <si>
    <t>H99</t>
  </si>
  <si>
    <t>M21</t>
  </si>
  <si>
    <t>M22</t>
  </si>
  <si>
    <t>S</t>
  </si>
  <si>
    <t>Zkrácený popis</t>
  </si>
  <si>
    <t>Rozměry</t>
  </si>
  <si>
    <t>Úprava povrchů vnitřní</t>
  </si>
  <si>
    <t>D+M Omítka vápenná štuková vnitřního ostění a nadpraží - štuk 100% - oprava po osazení oken a parapetů, vč.kompletní přípravy a penetrace podkladu</t>
  </si>
  <si>
    <t>Úprava povrchů vnější</t>
  </si>
  <si>
    <t>D+M Oprava vnějších omítek složitosti 6, do 40%, štuk na 100% plochy, vč.kompletní přípravy a penetrace podkladu</t>
  </si>
  <si>
    <t>D+M Oprava vnějších omítek složitosti 6, do 60%, štuk na 100% plochy, vč.kompletní přípravy a penetrace podkladu</t>
  </si>
  <si>
    <t>D+M Oprava vnějších omítek špalet po osazení nových výplní otvorů, štuk na 100% plochy, vč.kompletní přípravy a penetrace podkladu</t>
  </si>
  <si>
    <t>Očištění fasád tlakovou vodou složitost 6 - 7 - potřebné omytí pro realizaci nové fasády</t>
  </si>
  <si>
    <t>Podlahy a podlahové konstrukce</t>
  </si>
  <si>
    <t>D+M Vyrovnávací betonový potěr ze suchých směsí pod nové klempířské konstrukce, vč.potřebného zřízení a odstranění bednění  z prken</t>
  </si>
  <si>
    <t>D+M Oprava podlah interiétru a exteriéru po osazení nových vstupních dveří - doplnění podkladních a konečných ploch u dveří</t>
  </si>
  <si>
    <t>Výplně otvorů</t>
  </si>
  <si>
    <t>Konstrukce klempířské</t>
  </si>
  <si>
    <t>D+M Oplechování parapetů včetně rohů Pz, rš do 330 mm lepením, vč.přípravy a penetrace podkladu</t>
  </si>
  <si>
    <t>D+M Oplechování parapetů včetně rohů Pz, rš do 500 mm lepením, vč.přípravy a penetrace podkladu</t>
  </si>
  <si>
    <t>Demontáž oplechování parapetů,rš do 600 mm, vč.odvozu a likvidace</t>
  </si>
  <si>
    <t>D+M Oplechování říms z Pz, rš do 250 mm lepením, vč.přípravy a penetrace podkladu</t>
  </si>
  <si>
    <t>D+M Oplechování říms z Pz, rš do 600 mm lepením, vč.přípravy a penetrace podkladu</t>
  </si>
  <si>
    <t>Demontáž oplechování říms,rš do 600 mm, vč.odvozu a likvidace</t>
  </si>
  <si>
    <t>Oprava oplechování říms u střešní roviny z Pz plechu,rš do 800 mm</t>
  </si>
  <si>
    <t>D+M Odpadní trouby z Pz plechu, kruhové, D 200 mm, vč.napojení a vodotěsného utěsnění na nástřešní žlab a na odpadní troubu ve zdivu</t>
  </si>
  <si>
    <t>Demontáž odpadních trub kruhových,D 200 mm, vč.odvozu a likvidace</t>
  </si>
  <si>
    <t>Přesun hmot pro klempířské konstr., výšky do 12 m</t>
  </si>
  <si>
    <t>Konstrukce truhlářské</t>
  </si>
  <si>
    <t>D+M Parapetních desek dřevěných š. do 30 cm s protaženým čelem přes hranu parapetu a profilací dle stávajícíh parapetů, vč. nátěrů</t>
  </si>
  <si>
    <t>Přesun hmot pro truhlářské konstr., výšky do 12 m</t>
  </si>
  <si>
    <t>Konstrukce doplňkové stavební (zámečnické)</t>
  </si>
  <si>
    <t>Oprava fasádního vlajkového držáku - kompletní repase a nátěr v barvě fasády</t>
  </si>
  <si>
    <t>Oprava fasádního držáku kamery - kompletní repase a nátěr v barvě fasády</t>
  </si>
  <si>
    <t>Výroba a montáž kov. atypických konstr. do 30 kg - nové stříšky nad okny v 1.NP, vč.gumolátkového pláště - 4 ks</t>
  </si>
  <si>
    <t>Demontáž doplňků staveb o hmotnosti do 50 kg - fasádní vlajkový držák, vč. likvidace odpadu</t>
  </si>
  <si>
    <t>Demontáž doplňků staveb o hmotnosti do 50 kg - stříška nad oknem v 1.NP - 3ks, vč. likvidace odpadu</t>
  </si>
  <si>
    <t>Přesun hmot pro zámečnické konstr., výšky do 12 m</t>
  </si>
  <si>
    <t>Obklady (keramické)</t>
  </si>
  <si>
    <t>Keramický obklad - dle stávajícího obkladu 15x15 cm, barva</t>
  </si>
  <si>
    <t>D+M Penetrace podkladu pod obklady</t>
  </si>
  <si>
    <t>D+M Keramických obkladů stěn, porovin., do tmele, 15x15 cm - oprava špalet po osazení nových oken a parapetů</t>
  </si>
  <si>
    <t>D+M Spárovací hmoty pro keramické obklady - plošně</t>
  </si>
  <si>
    <t>Přesun hmot pro obklady keramické, výšky do 12 m</t>
  </si>
  <si>
    <t>Nátěry</t>
  </si>
  <si>
    <t>D+M Nátěr syntet. klempířských konstrukcí, Z + 2 x - barva dle barevnosti fasády</t>
  </si>
  <si>
    <t>Malby</t>
  </si>
  <si>
    <t>D+M Penetrace podkladu hloubková 1x - penetrace ke zvolenému systému malby - oprava po osazení výplní</t>
  </si>
  <si>
    <t>D+M Malba tekutá - barva dle dané místnosti ve které je provedena oprava, 2 x - Otěruvzdorný tekutý malířský vnitřní nátěr s výbornou kryvostí</t>
  </si>
  <si>
    <t>Ostatní práce</t>
  </si>
  <si>
    <t>Představení jednoho kusu vzorového špaletového okna v samostatném správním řízení příslušnému Odboru památkové péče</t>
  </si>
  <si>
    <t>Servisní prohlídka a seřízení ovládání/kování okenních výplní a žaluzií po 6 měsících od předání stavby</t>
  </si>
  <si>
    <t>Spolupráce s investorem, DOSS a správci sítí technické a dopravní infrastruktury během provádění stavby, zaškolení a předání stavby</t>
  </si>
  <si>
    <t>Návrh, projednání na DOSS a správcích dopravní  infrastruktury a realizace DIO po celou dobu realizace stavby</t>
  </si>
  <si>
    <t>Vyřízení dočasného záboru veřejných ploch s DOSS včetně zpracování potřebné dokumentace</t>
  </si>
  <si>
    <t>Poplatek za zábor veřejných ploch chodníku pro lešení - 2,5 měsíce</t>
  </si>
  <si>
    <t>Poplatek za zábor veřejných ploch parkoviště před objektem pro zařízení staveniště (5x10 m) - 2,5 měsíce</t>
  </si>
  <si>
    <t>Potřebný úklid veřejných ploch během celé realizace stavby</t>
  </si>
  <si>
    <t>Lešení a stavební výtahy</t>
  </si>
  <si>
    <t>Montáž lešení leh.řad.s podlahami,š.do 1 m, H 30 m</t>
  </si>
  <si>
    <t>Příplatek za každý měsíc použití lešení - 2,5 měsíce</t>
  </si>
  <si>
    <t>Demontáž lešení leh.řad.s podlahami,š.1 m, H 30 m</t>
  </si>
  <si>
    <t>Lešení lehké pomocné, výška podlahy do 2,5 m - potřebná montáž a demontáž po celou dobu realizace stavby - v interiéru objektu</t>
  </si>
  <si>
    <t>Montáž ochranné sítě z umělých vláken</t>
  </si>
  <si>
    <t>Příplatek za každý měsíc použití sítí - 2,5 měsíce</t>
  </si>
  <si>
    <t>Demontáž ochranné sítě z umělých vláken</t>
  </si>
  <si>
    <t>Zřízení a následná demontáž ochranné konstrukce střechy - ochrana střechy proti poškození při opravě bočních stěn rizalitu do náměstí</t>
  </si>
  <si>
    <t>Různé dokončovací konstrukce a práce na pozemních stavbách</t>
  </si>
  <si>
    <t>Čištění mytím vnějších a vnitřních ploch oken a dveří, vč. všech prvků oken - rámů, špalet, atd.</t>
  </si>
  <si>
    <t>Potřebné zakrytí výplní otvorů (ochrana proti jejich poškození) - po celou dobu realizace stavby</t>
  </si>
  <si>
    <t>Vyčištění budov o výšce podlaží do 4 m - kompletní úklid budovy před předáním, vč.všech příplatků - úklid místností zasažených výměnou oken</t>
  </si>
  <si>
    <t>Bourání konstrukcí</t>
  </si>
  <si>
    <t>Vyvěšení dřevěných okenních křídel pl. nad 1,5 m2</t>
  </si>
  <si>
    <t>Vybourání dřevěných rámů oken špaletových, vč.všech potřebných prvků ostění a nadpřaží potřebných pro osazení nivých oken dle PD</t>
  </si>
  <si>
    <t>Vyvěšení, zavěšení kovových křídel dveří nad 2 m2</t>
  </si>
  <si>
    <t>Vybourání kovových dveřních zárubní pl. nad 2 m2 - stávající vstupní AL dveře</t>
  </si>
  <si>
    <t>Vybourání parapetů dřevěných š. do 50 cm</t>
  </si>
  <si>
    <t>Prorážení otvorů a ostatní bourací práce</t>
  </si>
  <si>
    <t>Otlučení omítek vnitřních stěn - špalet a nadpraží v rozsahu nutném pro demontáž a osazení nových oken</t>
  </si>
  <si>
    <t>Otlučení omítek vnějších MVC v složit.5-7 do 40 %</t>
  </si>
  <si>
    <t>Otlučení omítek vnějších MVC v složit.5-7 do 60 %</t>
  </si>
  <si>
    <t>Odsekání vnitřních obkladů stěn do 1 m2 - špalet v rozsahu nutném pro demontáž a osazení nových oken</t>
  </si>
  <si>
    <t>Ostatní přesuny hmot</t>
  </si>
  <si>
    <t>Přesun hmot pro opravy a údržbu</t>
  </si>
  <si>
    <t>Elektromontáže</t>
  </si>
  <si>
    <t>D+M Vyrovnání stávajících svodových vodičů hromosvodů, jejich očištění a nový nátěr v barvě fasády</t>
  </si>
  <si>
    <t>Montáže sdělovací a zabezpečovací techniky</t>
  </si>
  <si>
    <t>D+M Nového panelu se zvonky a domácím telefonem - přesun ze stávajícíh dveří do zdiva, vč.potřebné úpravy kabeláže a plného zprovoznění</t>
  </si>
  <si>
    <t>Přesuny sutí</t>
  </si>
  <si>
    <t>Kompletní vnitrostaveništní svislá doprava suti a vybour. hmot za 3.NP</t>
  </si>
  <si>
    <t>Odvoz suti a vybouraných hmot na skládku do 1 km</t>
  </si>
  <si>
    <t>Příplatek k odvozu za každý další 1 km - skládka AVE do 3 km</t>
  </si>
  <si>
    <t>Kompletní vnitrostaveništní vodorovná doprava suti a vybouraných hmot</t>
  </si>
  <si>
    <t>Nakládání nebo překládání suti a vybouraných hmot</t>
  </si>
  <si>
    <t>Nakládání suti  a vybouraných hmot na dopravní prostředky</t>
  </si>
  <si>
    <t>Poplatek za skládku stavební suti a vybouraných hmot</t>
  </si>
  <si>
    <t>Doba výstavby:</t>
  </si>
  <si>
    <t>Začátek výstavby:</t>
  </si>
  <si>
    <t>Konec výstavby:</t>
  </si>
  <si>
    <t>Zpracováno dne:</t>
  </si>
  <si>
    <t>M.j.</t>
  </si>
  <si>
    <t>m2</t>
  </si>
  <si>
    <t>kus</t>
  </si>
  <si>
    <t>m</t>
  </si>
  <si>
    <t>t</t>
  </si>
  <si>
    <t>kg</t>
  </si>
  <si>
    <t>soubor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</si>
  <si>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</si>
  <si>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</si>
  <si>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</si>
  <si>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</si>
  <si>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</si>
  <si>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</si>
  <si>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</si>
  <si>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</si>
  <si>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</si>
  <si>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</si>
  <si>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</si>
  <si>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</si>
  <si>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</si>
  <si>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</si>
  <si>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</si>
  <si>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</si>
  <si>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</si>
  <si>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</si>
  <si>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</si>
  <si>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</si>
  <si>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</si>
  <si>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</si>
  <si>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</si>
  <si>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</si>
  <si>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</si>
  <si>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62_</t>
  </si>
  <si>
    <t>63_</t>
  </si>
  <si>
    <t>64_</t>
  </si>
  <si>
    <t>764_</t>
  </si>
  <si>
    <t>766_</t>
  </si>
  <si>
    <t>767_</t>
  </si>
  <si>
    <t>781_</t>
  </si>
  <si>
    <t>783_</t>
  </si>
  <si>
    <t>784_</t>
  </si>
  <si>
    <t>90_</t>
  </si>
  <si>
    <t>94_</t>
  </si>
  <si>
    <t>95_</t>
  </si>
  <si>
    <t>96_</t>
  </si>
  <si>
    <t>97_</t>
  </si>
  <si>
    <t>H99_</t>
  </si>
  <si>
    <t>M21_</t>
  </si>
  <si>
    <t>M22_</t>
  </si>
  <si>
    <t>S_</t>
  </si>
  <si>
    <t>6_</t>
  </si>
  <si>
    <t>76_</t>
  </si>
  <si>
    <t>78_</t>
  </si>
  <si>
    <t>9_</t>
  </si>
  <si>
    <t>_</t>
  </si>
  <si>
    <t>Náklady (Kč) - dodávka</t>
  </si>
  <si>
    <t>Náklady (Kč) - Montáž</t>
  </si>
  <si>
    <t>Náklady (Kč) - celkem</t>
  </si>
  <si>
    <t>Celková hmotnost (t)</t>
  </si>
  <si>
    <t>T</t>
  </si>
  <si>
    <t>(2,5+2,5+1+1+1,45+1,45)*0,55*11   okna 1.NP</t>
  </si>
  <si>
    <t>(3,2+3,8+3,8)*0,8   vrata</t>
  </si>
  <si>
    <t>(2,5+2,5+1+1+1,45+1,45)*0,42*12   okna 2.NP</t>
  </si>
  <si>
    <t>(2,5+2,5+1+1+1,45+1,45)*0,2*12   okna 3.NP</t>
  </si>
  <si>
    <t>(1,3+1,3+1,3+0,9+0,9+1,3)*0,25*4   okna 4.NP</t>
  </si>
  <si>
    <t>156,6+369,1+43,2</t>
  </si>
  <si>
    <t>13,5*13,6   fasáda ulice</t>
  </si>
  <si>
    <t>4,85*2   boky rizalitu</t>
  </si>
  <si>
    <t>-(1,33*2,5)*4   odpočet okna 1.NP</t>
  </si>
  <si>
    <t>-(1,33*2,2)*8   odpočet okna 2.NP+3.NP</t>
  </si>
  <si>
    <t>31,5*13,6   fasáda náměstí</t>
  </si>
  <si>
    <t>17,3*2,2   rizalit 4.NP</t>
  </si>
  <si>
    <t>-(3,2*3,7)   odpočet vrata</t>
  </si>
  <si>
    <t>-(1,33*2,5)*8   odpočet okna 1.NP</t>
  </si>
  <si>
    <t>-(1,33*2,2)*18   odpočet okna 2.NP+3.NP</t>
  </si>
  <si>
    <t>-(1,25*1,25)*4   odpočet okna 4.NP</t>
  </si>
  <si>
    <t>(2,5+1,33+2,5)*0,15*38   okna</t>
  </si>
  <si>
    <t>(1,25+1,25+1,25)*0,25*4   okna 4.NP</t>
  </si>
  <si>
    <t>(3,9+3,2+3,9)*0,3   vrata</t>
  </si>
  <si>
    <t>1,7*0,25*23</t>
  </si>
  <si>
    <t>(31,5+13,5)*0,15</t>
  </si>
  <si>
    <t>(32+14)*0,55</t>
  </si>
  <si>
    <t>2,5*0,3*5</t>
  </si>
  <si>
    <t>(10,5+7,6+13,5)*0,25</t>
  </si>
  <si>
    <t>1,3*0,3*4</t>
  </si>
  <si>
    <t>2,6*0,3*5</t>
  </si>
  <si>
    <t>3,2*0,5*2</t>
  </si>
  <si>
    <t>1,8*12   okna 1.NP</t>
  </si>
  <si>
    <t>(1,8*10)+(2,5*3)   okna 2.NP</t>
  </si>
  <si>
    <t>2*13   okna 3.NP</t>
  </si>
  <si>
    <t>1,3*4   okna 4.NP</t>
  </si>
  <si>
    <t>47,1+31,2</t>
  </si>
  <si>
    <t>10,5+0,35+0,35+10,5+13,6+7</t>
  </si>
  <si>
    <t>32+14+(2,8*5)+2,3+1,3+4+0,5+1,3+1,3+1,9+1,9</t>
  </si>
  <si>
    <t>42,3+74,5</t>
  </si>
  <si>
    <t>7,9+17,3+0,2+0,2+7,5+13,1+5,2+5,2</t>
  </si>
  <si>
    <t>3*2,5</t>
  </si>
  <si>
    <t>2,5*3</t>
  </si>
  <si>
    <t>1,552</t>
  </si>
  <si>
    <t>1,5*31</t>
  </si>
  <si>
    <t>1,3*4</t>
  </si>
  <si>
    <t>0,5682</t>
  </si>
  <si>
    <t>4*30</t>
  </si>
  <si>
    <t>3*25</t>
  </si>
  <si>
    <t>0,2538</t>
  </si>
  <si>
    <t>18,59*1,2</t>
  </si>
  <si>
    <t>18,59</t>
  </si>
  <si>
    <t>(2,5+2,5+1+1+1,45)*0,55*4</t>
  </si>
  <si>
    <t>0,4170</t>
  </si>
  <si>
    <t>47,1*0,33</t>
  </si>
  <si>
    <t>31,2*0,5</t>
  </si>
  <si>
    <t>42,3*0,25</t>
  </si>
  <si>
    <t>74,5*0,6</t>
  </si>
  <si>
    <t>7,5*0,6</t>
  </si>
  <si>
    <t>149,191*1,5</t>
  </si>
  <si>
    <t>((14,5*1,5)+(33*1,5))*75</t>
  </si>
  <si>
    <t>(5*10)*75</t>
  </si>
  <si>
    <t>(31,5+1)*13,8   náměstí</t>
  </si>
  <si>
    <t>(17+1+1)*2,6   rizalit náměstí</t>
  </si>
  <si>
    <t>13,5*14   ulice</t>
  </si>
  <si>
    <t>686,9*2,5</t>
  </si>
  <si>
    <t>686,9</t>
  </si>
  <si>
    <t>(2,5*1,2)*39   okna</t>
  </si>
  <si>
    <t>3,2*1,2   vrata</t>
  </si>
  <si>
    <t>686,9   plocha lešení</t>
  </si>
  <si>
    <t>((1+1)*13,8)+((1+1)*2,6)+(1*14)   boky lešení</t>
  </si>
  <si>
    <t>733,7*2,5</t>
  </si>
  <si>
    <t>733,7</t>
  </si>
  <si>
    <t>1,5*5,5*2</t>
  </si>
  <si>
    <t>3,2*3,8*2   vrata</t>
  </si>
  <si>
    <t>(1,35*2,5)*4*35   špaletová okna</t>
  </si>
  <si>
    <t>(1,25*1,25)*2*4   jednoduchá okna</t>
  </si>
  <si>
    <t>3,2*3,8   vrata</t>
  </si>
  <si>
    <t>(1,35*2,5)*2*35   špaletová okna</t>
  </si>
  <si>
    <t>200   1.NP</t>
  </si>
  <si>
    <t>215   2.NP</t>
  </si>
  <si>
    <t>215   3.NP</t>
  </si>
  <si>
    <t>72   4.NP</t>
  </si>
  <si>
    <t>(24+4+7)*6</t>
  </si>
  <si>
    <t>4*4</t>
  </si>
  <si>
    <t>1,4*2,5*(24+4+7)</t>
  </si>
  <si>
    <t>1,3*1,3*4</t>
  </si>
  <si>
    <t>3,2*4</t>
  </si>
  <si>
    <t>51,7</t>
  </si>
  <si>
    <t>149,2</t>
  </si>
  <si>
    <t>156,6</t>
  </si>
  <si>
    <t>369,1+43,13</t>
  </si>
  <si>
    <t>44,9778</t>
  </si>
  <si>
    <t>2*15</t>
  </si>
  <si>
    <t>48,1</t>
  </si>
  <si>
    <t>48,1*3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</si>
  <si>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</si>
  <si>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</si>
  <si>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</si>
  <si>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</si>
  <si>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</si>
  <si>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</si>
  <si>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</si>
  <si>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</si>
  <si>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</si>
  <si>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</si>
  <si>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</si>
  <si>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</si>
  <si>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</si>
  <si>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</si>
  <si>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</si>
  <si>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</si>
  <si>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</si>
  <si>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</si>
  <si>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</si>
  <si>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</si>
  <si>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</si>
  <si>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</si>
  <si>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</si>
  <si>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</si>
  <si>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</si>
  <si>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</si>
  <si>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</si>
  <si>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</si>
  <si>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</si>
  <si>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</si>
  <si>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</si>
  <si>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</si>
  <si>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</si>
  <si>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</si>
  <si>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</si>
  <si>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</si>
  <si>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</si>
  <si>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</si>
  <si>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</si>
  <si>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</si>
  <si>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</si>
  <si>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</si>
  <si>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</si>
  <si>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</si>
  <si>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SOUPIS STAVEBNÍCH PRACÍ, DODÁVEK A SLUŽEB - Krycí list rozpočtu</t>
  </si>
  <si>
    <t>SOUPIS STAVEBNÍCH PRACÍ, DODÁVEK A SLUŽEB - Výkaz výměr</t>
  </si>
  <si>
    <t>SOUPIS STAVEBNÍCH PRACÍ, DODÁVEK A SLUŽEB - Stavební rozpočet - rekapitulace</t>
  </si>
  <si>
    <t>SOUPIS STAVEBNÍCH PRACÍ, DODÁVEK A SLUŽEB - Stavební rozpočet</t>
  </si>
  <si>
    <t>VÝMĚNA OKEN A OPRAVA FASÁDY V OBJEKTU SOU ČÁSLAV</t>
  </si>
  <si>
    <t>NÁMĚSTÍ JANA ŽIŽKY Z TROCNOVA Č.P. 75/12, 286 01 ČÁSLAV</t>
  </si>
  <si>
    <r>
      <rPr>
        <b/>
        <sz val="10"/>
        <color indexed="8"/>
        <rFont val="Arial"/>
        <family val="2"/>
      </rPr>
      <t>Bauplan s.r.o.</t>
    </r>
    <r>
      <rPr>
        <sz val="10"/>
        <color indexed="8"/>
        <rFont val="Arial"/>
        <family val="2"/>
      </rPr>
      <t>, Ječná 505/2, 120 00 Praha 2</t>
    </r>
  </si>
  <si>
    <t>Ing. Martin Ivan</t>
  </si>
  <si>
    <t xml:space="preserve">NÁMĚSTÍ JANA ŽIŽKY Z TROCNOVA Č.P. 75/12, 286 01 ČÁSLAV
</t>
  </si>
  <si>
    <t>v položkách rozpočtu</t>
  </si>
  <si>
    <r>
      <rPr>
        <b/>
        <sz val="10"/>
        <color indexed="8"/>
        <rFont val="Arial"/>
        <family val="2"/>
      </rPr>
      <t>STŘEDNÍ ODBORNÉ UČILIŠTĚ ČÁSLAV,</t>
    </r>
    <r>
      <rPr>
        <sz val="10"/>
        <color indexed="8"/>
        <rFont val="Arial"/>
        <family val="2"/>
      </rPr>
      <t>Náměstí Jana Žižky z Trocnova 75/12, 286 01 Čáslav</t>
    </r>
  </si>
  <si>
    <r>
      <rPr>
        <b/>
        <sz val="10"/>
        <color indexed="8"/>
        <rFont val="Arial"/>
        <family val="2"/>
      </rPr>
      <t>STŘEDNÍ ODBORNÉ UČILIŠTĚ ČÁSLAV</t>
    </r>
    <r>
      <rPr>
        <sz val="10"/>
        <color indexed="8"/>
        <rFont val="Arial"/>
        <family val="2"/>
      </rPr>
      <t>, Náměstí Jana Žižky z Trocnova 75/12, 286 01 Čáslav</t>
    </r>
  </si>
  <si>
    <r>
      <rPr>
        <b/>
        <sz val="10"/>
        <color indexed="8"/>
        <rFont val="Arial"/>
        <family val="2"/>
      </rPr>
      <t xml:space="preserve">STŘEDNÍ ODBORNÉ UČILIŠTĚ ČÁSLAV, </t>
    </r>
    <r>
      <rPr>
        <sz val="10"/>
        <color indexed="8"/>
        <rFont val="Arial"/>
        <family val="2"/>
      </rPr>
      <t>Náměstí Jana Žižky z Trocnova 75/12, 286 01 Čáslav</t>
    </r>
  </si>
  <si>
    <t>Dodavatel předloží vzorky všech předmětů a vybraných konstrukcí či materiálů - ke schválení před vlastním použitím.</t>
  </si>
  <si>
    <t>Všechny použité materiály a výrobky budou 1. jakostní třídy, musí mít příslušné atesty, homologace - prohlášení o shodě a certifikáty pro použití v ČR dle platných předpisů.</t>
  </si>
  <si>
    <t>Stavební materiály nebudou používány, pokud jejich hmotnostní aktivita radonu je větší než hodnoty dané platnými právními předpisy v době výstavby.</t>
  </si>
  <si>
    <t>V případě vzniklých škod zaviněných dodavatelem na veřejném či soukromém majetku - v souvislosti s pracemi na vlastní stavbě, uhradí tyto škody plně dodavatel.</t>
  </si>
  <si>
    <t>Dodavatel provede a zajistí na svůj účet veškeré potřebné pomocné a ochranné konstrukce.</t>
  </si>
  <si>
    <t>Součástí každé jednotkové ceny v následujících rozpočtech budou náklady na potřebné pomocné a zdvihací mechanismy, lešení a další potřebná zařízení nutná ke zhotovení komplexní dodávky, pokud nejsou</t>
  </si>
  <si>
    <t>v daném rozpočtu uvedeny samostatně.</t>
  </si>
  <si>
    <t>Součástí každé jednotkové ceny v následujících rozpočtech budou náklady na potřebná opatření proti nežádoucím klimatickým a povětrnostním podmínkám.</t>
  </si>
  <si>
    <t>Všechny rozvody a vedení budou barevně označeny dle platných předpisů -  opatřeny příslušnými plastovými štítky s fóliovým popisem.</t>
  </si>
  <si>
    <t>Veškerými bezpečnostními normami stanovené nápisy a značení jsou součástí dodávky.</t>
  </si>
  <si>
    <t>Součástí každé jednotkové ceny v následujících rozpočtech budou náklady za spotřebované energie, plyn a vodu v době výstavby.</t>
  </si>
  <si>
    <t>Součástí každé dodávky je i funkční odzkoušení jednotlivých částí zařízení a zařízení jako celku.</t>
  </si>
  <si>
    <t>Veškeré zařízení a dodávky budou dokompletovány, nainstalovány, přikotveny a propojeny tak, aby byly při předání plně funkční.</t>
  </si>
  <si>
    <t>Projednání finální barevnosti s příslušným Odborem památkové péče v samostatném správním řízení na základě plné moci, vč. nanesení barevných vzorků na fasádu objektu</t>
  </si>
  <si>
    <t>Výrobní dokumentace prvků vč. technologického předpisu pro provádění činnosti a podrobného zaměření stávajících výplní pro potřeby výroby truhlářských prvků</t>
  </si>
  <si>
    <r>
      <t xml:space="preserve">D+M Kompletní okenní výplně (dřevěné špaletové okno) včetně kování, ovládacích prvků a detailů osazení (XPS, těsnění připojovací spáry, krycích lišt a začištění) - dle PD - D.09-Legenda výplní otvorů </t>
    </r>
    <r>
      <rPr>
        <b/>
        <sz val="10"/>
        <color indexed="8"/>
        <rFont val="Arial"/>
        <family val="2"/>
      </rPr>
      <t>- výplň W01</t>
    </r>
  </si>
  <si>
    <r>
      <t xml:space="preserve">D+M Kompletní okenní výplně (dřevěné špaletové okno) včetně kování, ovládacích prvků a detailů osazení (XPS, těsnění připojovací spáry, krycích lišt a začištění) - dle PD - D.09-Legenda výplní otvorů </t>
    </r>
    <r>
      <rPr>
        <b/>
        <sz val="10"/>
        <color indexed="8"/>
        <rFont val="Arial"/>
        <family val="2"/>
      </rPr>
      <t>- výplň W02</t>
    </r>
  </si>
  <si>
    <r>
      <t xml:space="preserve">D+M Kompletní okenní výplně (dřevěné špaletové okno) včetně kování, ovládacích prvků a detailů osazení (XPS, těsnění připojovací spáry, krycích lišt a začištění) - dle PD - D.09-Legenda výplní otvorů </t>
    </r>
    <r>
      <rPr>
        <b/>
        <sz val="10"/>
        <color indexed="8"/>
        <rFont val="Arial"/>
        <family val="2"/>
      </rPr>
      <t>- výplň W03</t>
    </r>
  </si>
  <si>
    <r>
      <t xml:space="preserve">D+M Kompletní okenní výplně (dřevěné jednoduché okno) včetně kování, ovládacích prvků a detailů osazení (XPS, těsnění připojovací spáry, krycích lišt a začištění) - dle PD - D.09-Legenda výplní otvorů </t>
    </r>
    <r>
      <rPr>
        <b/>
        <sz val="10"/>
        <color indexed="8"/>
        <rFont val="Arial"/>
        <family val="2"/>
      </rPr>
      <t>- výplň W04</t>
    </r>
  </si>
  <si>
    <r>
      <t>D+M Vstupních dřevěných dubových dveří</t>
    </r>
    <r>
      <rPr>
        <b/>
        <sz val="10"/>
        <color indexed="61"/>
        <rFont val="Arial"/>
        <family val="2"/>
      </rPr>
      <t xml:space="preserve"> W05 </t>
    </r>
    <r>
      <rPr>
        <sz val="10"/>
        <color indexed="61"/>
        <rFont val="Arial"/>
        <family val="0"/>
      </rPr>
      <t>3,2x4,0 m - provedených jako replika původních dveří dle dochovaných fotografií - dle PD</t>
    </r>
  </si>
  <si>
    <t>Vybourání dřevěných rámů oken špaletových, vč.všech potřebných prvků ostění a nadpřaží potřebných pro osazení nových oken dle PD</t>
  </si>
  <si>
    <r>
      <t>STŘEDNÍ ODBORNÉ UČILIŠTĚ ČÁSLAV,</t>
    </r>
    <r>
      <rPr>
        <sz val="10"/>
        <color indexed="8"/>
        <rFont val="Arial"/>
        <family val="2"/>
      </rPr>
      <t>Náměstí Jana Žižky z Trocnova 75/12, 286 01 Čáslav</t>
    </r>
  </si>
  <si>
    <t>D+M Nátěr stěn vnějších, slož.6 na minerální bázi - vápenná báze (popř.báze silikátu), vč.penetrace podkladu systémového k fasádnímu nátěru - barva dle sondážního průzkumu barevnosti</t>
  </si>
  <si>
    <t>Restaurátorský průzkum barevnosti uliční fasády, výplní otvorů a zámečnických prvků stavby</t>
  </si>
  <si>
    <t>Demontáž, kompletní repase (v restaurátorském režimu) a nový nátěr dle průzkumu barevnosti + montáž stávající mříže vstupního portálu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</si>
</sst>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4">
    <xf numFmtId="0" fontId="1" fillId="0" borderId="0" xfId="0" applyFont="1" applyAlignment="1">
      <alignment vertical="center"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33" borderId="1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16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16" xfId="0" applyNumberFormat="1" applyFont="1" applyFill="1" applyBorder="1" applyAlignment="1" applyProtection="1">
      <alignment vertical="center"/>
      <protection locked="0"/>
    </xf>
    <xf numFmtId="0" fontId="1" fillId="0" borderId="17" xfId="0" applyNumberFormat="1" applyFont="1" applyFill="1" applyBorder="1" applyAlignment="1" applyProtection="1">
      <alignment vertical="center"/>
      <protection locked="0"/>
    </xf>
    <xf numFmtId="49" fontId="7" fillId="33" borderId="0" xfId="0" applyNumberFormat="1" applyFont="1" applyFill="1" applyBorder="1" applyAlignment="1" applyProtection="1">
      <alignment horizontal="right" vertical="center"/>
      <protection locked="0"/>
    </xf>
    <xf numFmtId="4" fontId="7" fillId="33" borderId="10" xfId="0" applyNumberFormat="1" applyFont="1" applyFill="1" applyBorder="1" applyAlignment="1" applyProtection="1">
      <alignment horizontal="right" vertical="center"/>
      <protection locked="0"/>
    </xf>
    <xf numFmtId="49" fontId="7" fillId="33" borderId="10" xfId="0" applyNumberFormat="1" applyFont="1" applyFill="1" applyBorder="1" applyAlignment="1" applyProtection="1">
      <alignment horizontal="right" vertical="center"/>
      <protection locked="0"/>
    </xf>
    <xf numFmtId="4" fontId="7" fillId="33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53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8" xfId="0" applyNumberFormat="1" applyFont="1" applyFill="1" applyBorder="1" applyAlignment="1" applyProtection="1">
      <alignment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11" fillId="0" borderId="15" xfId="0" applyNumberFormat="1" applyFont="1" applyFill="1" applyBorder="1" applyAlignment="1" applyProtection="1">
      <alignment horizontal="right" vertical="center"/>
      <protection locked="0"/>
    </xf>
    <xf numFmtId="4" fontId="54" fillId="0" borderId="15" xfId="0" applyNumberFormat="1" applyFont="1" applyFill="1" applyBorder="1" applyAlignment="1" applyProtection="1">
      <alignment horizontal="right" vertical="center"/>
      <protection locked="0"/>
    </xf>
    <xf numFmtId="49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NumberFormat="1" applyFont="1" applyFill="1" applyBorder="1" applyAlignment="1" applyProtection="1">
      <alignment vertical="center"/>
      <protection locked="0"/>
    </xf>
    <xf numFmtId="4" fontId="1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NumberFormat="1" applyFont="1" applyFill="1" applyBorder="1" applyAlignment="1" applyProtection="1">
      <alignment vertical="center"/>
      <protection locked="0"/>
    </xf>
    <xf numFmtId="0" fontId="1" fillId="0" borderId="22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4" fontId="10" fillId="34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24" xfId="0" applyNumberFormat="1" applyFont="1" applyFill="1" applyBorder="1" applyAlignment="1" applyProtection="1">
      <alignment vertical="center"/>
      <protection locked="0"/>
    </xf>
    <xf numFmtId="0" fontId="1" fillId="0" borderId="25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49" fontId="13" fillId="0" borderId="11" xfId="0" applyNumberFormat="1" applyFont="1" applyFill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35" borderId="18" xfId="0" applyNumberFormat="1" applyFont="1" applyFill="1" applyBorder="1" applyAlignment="1" applyProtection="1">
      <alignment horizontal="left" vertical="center"/>
      <protection locked="0"/>
    </xf>
    <xf numFmtId="0" fontId="1" fillId="35" borderId="0" xfId="0" applyNumberFormat="1" applyFont="1" applyFill="1" applyBorder="1" applyAlignment="1" applyProtection="1">
      <alignment horizontal="left" vertical="center"/>
      <protection locked="0"/>
    </xf>
    <xf numFmtId="49" fontId="1" fillId="35" borderId="18" xfId="0" applyNumberFormat="1" applyFont="1" applyFill="1" applyBorder="1" applyAlignment="1" applyProtection="1">
      <alignment horizontal="left" vertical="center"/>
      <protection locked="0"/>
    </xf>
    <xf numFmtId="0" fontId="1" fillId="35" borderId="22" xfId="0" applyNumberFormat="1" applyFont="1" applyFill="1" applyBorder="1" applyAlignment="1" applyProtection="1">
      <alignment horizontal="left" vertical="center"/>
      <protection locked="0"/>
    </xf>
    <xf numFmtId="14" fontId="1" fillId="35" borderId="0" xfId="0" applyNumberFormat="1" applyFont="1" applyFill="1" applyBorder="1" applyAlignment="1" applyProtection="1">
      <alignment horizontal="left" vertical="center"/>
      <protection locked="0"/>
    </xf>
    <xf numFmtId="0" fontId="1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26" xfId="0" applyNumberFormat="1" applyFont="1" applyFill="1" applyBorder="1" applyAlignment="1" applyProtection="1">
      <alignment horizontal="left" vertical="center"/>
      <protection locked="0"/>
    </xf>
    <xf numFmtId="0" fontId="2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" fillId="35" borderId="27" xfId="0" applyNumberFormat="1" applyFont="1" applyFill="1" applyBorder="1" applyAlignment="1" applyProtection="1">
      <alignment horizontal="left" vertical="center" wrapText="1"/>
      <protection/>
    </xf>
    <xf numFmtId="0" fontId="1" fillId="35" borderId="16" xfId="0" applyNumberFormat="1" applyFont="1" applyFill="1" applyBorder="1" applyAlignment="1" applyProtection="1">
      <alignment horizontal="left" vertical="center"/>
      <protection/>
    </xf>
    <xf numFmtId="0" fontId="2" fillId="35" borderId="18" xfId="0" applyNumberFormat="1" applyFont="1" applyFill="1" applyBorder="1" applyAlignment="1" applyProtection="1">
      <alignment horizontal="left" vertical="center" wrapText="1"/>
      <protection/>
    </xf>
    <xf numFmtId="0" fontId="2" fillId="35" borderId="18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1" fillId="35" borderId="18" xfId="0" applyNumberFormat="1" applyFont="1" applyFill="1" applyBorder="1" applyAlignment="1" applyProtection="1">
      <alignment horizontal="left" vertical="center" wrapText="1"/>
      <protection/>
    </xf>
    <xf numFmtId="0" fontId="1" fillId="35" borderId="0" xfId="0" applyNumberFormat="1" applyFont="1" applyFill="1" applyBorder="1" applyAlignment="1" applyProtection="1">
      <alignment horizontal="left" vertical="center"/>
      <protection/>
    </xf>
    <xf numFmtId="0" fontId="1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19" xfId="0" applyNumberFormat="1" applyFont="1" applyFill="1" applyBorder="1" applyAlignment="1" applyProtection="1">
      <alignment horizontal="left" vertical="center"/>
      <protection/>
    </xf>
    <xf numFmtId="0" fontId="1" fillId="35" borderId="22" xfId="0" applyNumberFormat="1" applyFont="1" applyFill="1" applyBorder="1" applyAlignment="1" applyProtection="1">
      <alignment horizontal="left" vertical="center"/>
      <protection/>
    </xf>
    <xf numFmtId="0" fontId="1" fillId="35" borderId="16" xfId="0" applyNumberFormat="1" applyFont="1" applyFill="1" applyBorder="1" applyAlignment="1" applyProtection="1">
      <alignment horizontal="left" vertical="center" wrapText="1"/>
      <protection/>
    </xf>
    <xf numFmtId="0" fontId="2" fillId="35" borderId="0" xfId="0" applyNumberFormat="1" applyFont="1" applyFill="1" applyBorder="1" applyAlignment="1" applyProtection="1">
      <alignment horizontal="left" vertical="center" wrapText="1"/>
      <protection/>
    </xf>
    <xf numFmtId="0" fontId="1" fillId="35" borderId="0" xfId="0" applyNumberFormat="1" applyFont="1" applyFill="1" applyBorder="1" applyAlignment="1" applyProtection="1">
      <alignment horizontal="left" vertical="center" wrapText="1"/>
      <protection/>
    </xf>
    <xf numFmtId="0" fontId="1" fillId="35" borderId="28" xfId="0" applyNumberFormat="1" applyFont="1" applyFill="1" applyBorder="1" applyAlignment="1" applyProtection="1">
      <alignment horizontal="left" vertical="center"/>
      <protection/>
    </xf>
    <xf numFmtId="0" fontId="1" fillId="35" borderId="26" xfId="0" applyNumberFormat="1" applyFont="1" applyFill="1" applyBorder="1" applyAlignment="1" applyProtection="1">
      <alignment horizontal="left" vertical="center"/>
      <protection/>
    </xf>
    <xf numFmtId="49" fontId="1" fillId="35" borderId="0" xfId="0" applyNumberFormat="1" applyFont="1" applyFill="1" applyBorder="1" applyAlignment="1" applyProtection="1">
      <alignment horizontal="left" vertical="center"/>
      <protection/>
    </xf>
    <xf numFmtId="14" fontId="1" fillId="35" borderId="0" xfId="0" applyNumberFormat="1" applyFont="1" applyFill="1" applyBorder="1" applyAlignment="1" applyProtection="1">
      <alignment horizontal="left" vertical="center"/>
      <protection/>
    </xf>
    <xf numFmtId="0" fontId="1" fillId="35" borderId="29" xfId="0" applyNumberFormat="1" applyFont="1" applyFill="1" applyBorder="1" applyAlignment="1" applyProtection="1">
      <alignment horizontal="left" vertical="center"/>
      <protection/>
    </xf>
    <xf numFmtId="0" fontId="10" fillId="35" borderId="18" xfId="0" applyNumberFormat="1" applyFont="1" applyFill="1" applyBorder="1" applyAlignment="1" applyProtection="1">
      <alignment horizontal="left" vertical="center" wrapText="1"/>
      <protection/>
    </xf>
    <xf numFmtId="0" fontId="15" fillId="35" borderId="18" xfId="0" applyNumberFormat="1" applyFont="1" applyFill="1" applyBorder="1" applyAlignment="1" applyProtection="1">
      <alignment horizontal="left" vertical="center" wrapText="1"/>
      <protection/>
    </xf>
    <xf numFmtId="0" fontId="15" fillId="35" borderId="0" xfId="0" applyNumberFormat="1" applyFont="1" applyFill="1" applyBorder="1" applyAlignment="1" applyProtection="1">
      <alignment horizontal="left" vertical="center" wrapText="1"/>
      <protection/>
    </xf>
    <xf numFmtId="49" fontId="1" fillId="35" borderId="22" xfId="0" applyNumberFormat="1" applyFont="1" applyFill="1" applyBorder="1" applyAlignment="1" applyProtection="1">
      <alignment horizontal="left" vertical="center"/>
      <protection locked="0"/>
    </xf>
    <xf numFmtId="0" fontId="1" fillId="35" borderId="11" xfId="0" applyNumberFormat="1" applyFont="1" applyFill="1" applyBorder="1" applyAlignment="1" applyProtection="1">
      <alignment horizontal="left" vertical="center"/>
      <protection locked="0"/>
    </xf>
    <xf numFmtId="14" fontId="1" fillId="35" borderId="22" xfId="0" applyNumberFormat="1" applyFont="1" applyFill="1" applyBorder="1" applyAlignment="1" applyProtection="1">
      <alignment horizontal="left" vertical="center"/>
      <protection locked="0"/>
    </xf>
    <xf numFmtId="0" fontId="1" fillId="35" borderId="30" xfId="0" applyNumberFormat="1" applyFont="1" applyFill="1" applyBorder="1" applyAlignment="1" applyProtection="1">
      <alignment horizontal="left" vertical="center"/>
      <protection locked="0"/>
    </xf>
    <xf numFmtId="49" fontId="11" fillId="0" borderId="31" xfId="0" applyNumberFormat="1" applyFont="1" applyFill="1" applyBorder="1" applyAlignment="1" applyProtection="1">
      <alignment horizontal="left" vertical="center"/>
      <protection locked="0"/>
    </xf>
    <xf numFmtId="0" fontId="11" fillId="0" borderId="23" xfId="0" applyNumberFormat="1" applyFont="1" applyFill="1" applyBorder="1" applyAlignment="1" applyProtection="1">
      <alignment horizontal="left" vertical="center"/>
      <protection locked="0"/>
    </xf>
    <xf numFmtId="49" fontId="11" fillId="0" borderId="32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/>
      <protection locked="0"/>
    </xf>
    <xf numFmtId="49" fontId="11" fillId="0" borderId="17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3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35" xfId="0" applyNumberFormat="1" applyFont="1" applyFill="1" applyBorder="1" applyAlignment="1" applyProtection="1">
      <alignment horizontal="left" vertical="center"/>
      <protection locked="0"/>
    </xf>
    <xf numFmtId="0" fontId="11" fillId="0" borderId="26" xfId="0" applyNumberFormat="1" applyFont="1" applyFill="1" applyBorder="1" applyAlignment="1" applyProtection="1">
      <alignment horizontal="left" vertical="center"/>
      <protection locked="0"/>
    </xf>
    <xf numFmtId="0" fontId="11" fillId="0" borderId="36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7" fillId="33" borderId="0" xfId="0" applyNumberFormat="1" applyFont="1" applyFill="1" applyBorder="1" applyAlignment="1" applyProtection="1">
      <alignment horizontal="left" vertical="center"/>
      <protection locked="0"/>
    </xf>
    <xf numFmtId="49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NumberFormat="1" applyFont="1" applyFill="1" applyBorder="1" applyAlignment="1" applyProtection="1">
      <alignment horizontal="left" vertical="center"/>
      <protection locked="0"/>
    </xf>
    <xf numFmtId="49" fontId="1" fillId="35" borderId="18" xfId="0" applyNumberFormat="1" applyFont="1" applyFill="1" applyBorder="1" applyAlignment="1" applyProtection="1">
      <alignment horizontal="left" vertical="center"/>
      <protection/>
    </xf>
    <xf numFmtId="0" fontId="15" fillId="35" borderId="0" xfId="0" applyNumberFormat="1" applyFont="1" applyFill="1" applyBorder="1" applyAlignment="1" applyProtection="1">
      <alignment horizontal="left" vertical="center"/>
      <protection/>
    </xf>
    <xf numFmtId="0" fontId="12" fillId="35" borderId="0" xfId="0" applyNumberFormat="1" applyFont="1" applyFill="1" applyBorder="1" applyAlignment="1" applyProtection="1">
      <alignment horizontal="left" vertical="center" wrapText="1"/>
      <protection/>
    </xf>
    <xf numFmtId="0" fontId="12" fillId="35" borderId="0" xfId="0" applyNumberFormat="1" applyFont="1" applyFill="1" applyBorder="1" applyAlignment="1" applyProtection="1">
      <alignment horizontal="left" vertical="center"/>
      <protection/>
    </xf>
    <xf numFmtId="49" fontId="2" fillId="0" borderId="37" xfId="0" applyNumberFormat="1" applyFont="1" applyFill="1" applyBorder="1" applyAlignment="1" applyProtection="1">
      <alignment horizontal="left" vertical="center"/>
      <protection/>
    </xf>
    <xf numFmtId="49" fontId="2" fillId="0" borderId="38" xfId="0" applyNumberFormat="1" applyFont="1" applyFill="1" applyBorder="1" applyAlignment="1" applyProtection="1">
      <alignment horizontal="left"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45" xfId="0" applyNumberFormat="1" applyFont="1" applyFill="1" applyBorder="1" applyAlignment="1" applyProtection="1">
      <alignment horizontal="left" vertical="center"/>
      <protection/>
    </xf>
    <xf numFmtId="49" fontId="2" fillId="0" borderId="45" xfId="0" applyNumberFormat="1" applyFont="1" applyFill="1" applyBorder="1" applyAlignment="1" applyProtection="1">
      <alignment horizontal="left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1" fillId="35" borderId="29" xfId="0" applyNumberFormat="1" applyFont="1" applyFill="1" applyBorder="1" applyAlignment="1" applyProtection="1">
      <alignment horizontal="lef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35" borderId="19" xfId="0" applyNumberFormat="1" applyFont="1" applyFill="1" applyBorder="1" applyAlignment="1" applyProtection="1">
      <alignment horizontal="left" vertical="center"/>
      <protection/>
    </xf>
    <xf numFmtId="49" fontId="1" fillId="35" borderId="22" xfId="0" applyNumberFormat="1" applyFont="1" applyFill="1" applyBorder="1" applyAlignment="1" applyProtection="1">
      <alignment horizontal="left" vertical="center"/>
      <protection/>
    </xf>
    <xf numFmtId="0" fontId="14" fillId="35" borderId="0" xfId="0" applyNumberFormat="1" applyFont="1" applyFill="1" applyBorder="1" applyAlignment="1" applyProtection="1">
      <alignment horizontal="left" vertical="top" wrapText="1"/>
      <protection/>
    </xf>
    <xf numFmtId="0" fontId="1" fillId="35" borderId="24" xfId="0" applyNumberFormat="1" applyFont="1" applyFill="1" applyBorder="1" applyAlignment="1" applyProtection="1">
      <alignment horizontal="left" vertical="center"/>
      <protection/>
    </xf>
    <xf numFmtId="0" fontId="1" fillId="35" borderId="11" xfId="0" applyNumberFormat="1" applyFont="1" applyFill="1" applyBorder="1" applyAlignment="1" applyProtection="1">
      <alignment horizontal="left" vertical="center"/>
      <protection/>
    </xf>
    <xf numFmtId="49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49" fontId="9" fillId="34" borderId="15" xfId="0" applyNumberFormat="1" applyFont="1" applyFill="1" applyBorder="1" applyAlignment="1" applyProtection="1">
      <alignment horizontal="center" vertical="center"/>
      <protection/>
    </xf>
    <xf numFmtId="49" fontId="12" fillId="0" borderId="31" xfId="0" applyNumberFormat="1" applyFont="1" applyFill="1" applyBorder="1" applyAlignment="1" applyProtection="1">
      <alignment horizontal="left" vertical="center"/>
      <protection/>
    </xf>
    <xf numFmtId="0" fontId="12" fillId="0" borderId="23" xfId="0" applyNumberFormat="1" applyFont="1" applyFill="1" applyBorder="1" applyAlignment="1" applyProtection="1">
      <alignment horizontal="left" vertical="center"/>
      <protection/>
    </xf>
    <xf numFmtId="49" fontId="10" fillId="0" borderId="51" xfId="0" applyNumberFormat="1" applyFont="1" applyFill="1" applyBorder="1" applyAlignment="1" applyProtection="1">
      <alignment horizontal="left" vertical="center"/>
      <protection/>
    </xf>
    <xf numFmtId="49" fontId="11" fillId="0" borderId="15" xfId="0" applyNumberFormat="1" applyFont="1" applyFill="1" applyBorder="1" applyAlignment="1" applyProtection="1">
      <alignment horizontal="left" vertical="center"/>
      <protection/>
    </xf>
    <xf numFmtId="49" fontId="10" fillId="0" borderId="52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23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1" fillId="0" borderId="23" xfId="0" applyNumberFormat="1" applyFont="1" applyFill="1" applyBorder="1" applyAlignment="1" applyProtection="1">
      <alignment horizontal="left" vertical="center"/>
      <protection/>
    </xf>
    <xf numFmtId="49" fontId="11" fillId="0" borderId="15" xfId="0" applyNumberFormat="1" applyFont="1" applyFill="1" applyBorder="1" applyAlignment="1" applyProtection="1">
      <alignment horizontal="right" vertical="center"/>
      <protection/>
    </xf>
    <xf numFmtId="49" fontId="10" fillId="34" borderId="31" xfId="0" applyNumberFormat="1" applyFont="1" applyFill="1" applyBorder="1" applyAlignment="1" applyProtection="1">
      <alignment horizontal="left" vertical="center"/>
      <protection/>
    </xf>
    <xf numFmtId="0" fontId="10" fillId="34" borderId="5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7"/>
  <sheetViews>
    <sheetView zoomScalePageLayoutView="0" workbookViewId="0" topLeftCell="A1">
      <selection activeCell="A1" sqref="A1:M1"/>
    </sheetView>
  </sheetViews>
  <sheetFormatPr defaultColWidth="11.57421875" defaultRowHeight="12.75"/>
  <cols>
    <col min="1" max="1" width="3.7109375" style="34" customWidth="1"/>
    <col min="2" max="2" width="6.8515625" style="34" customWidth="1"/>
    <col min="3" max="3" width="13.28125" style="34" customWidth="1"/>
    <col min="4" max="4" width="82.140625" style="34" customWidth="1"/>
    <col min="5" max="5" width="7.00390625" style="34" customWidth="1"/>
    <col min="6" max="6" width="12.8515625" style="34" customWidth="1"/>
    <col min="7" max="7" width="12.00390625" style="34" customWidth="1"/>
    <col min="8" max="10" width="14.28125" style="34" customWidth="1"/>
    <col min="11" max="13" width="11.7109375" style="34" customWidth="1"/>
    <col min="14" max="14" width="0" style="34" hidden="1" customWidth="1"/>
    <col min="15" max="48" width="12.140625" style="34" hidden="1" customWidth="1"/>
    <col min="49" max="16384" width="11.57421875" style="34" customWidth="1"/>
  </cols>
  <sheetData>
    <row r="1" spans="1:13" ht="30.75" customHeight="1">
      <c r="A1" s="83" t="s">
        <v>399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4" ht="23.25" customHeight="1">
      <c r="A2" s="85" t="s">
        <v>0</v>
      </c>
      <c r="B2" s="92"/>
      <c r="C2" s="92"/>
      <c r="D2" s="104" t="s">
        <v>400</v>
      </c>
      <c r="E2" s="127" t="s">
        <v>197</v>
      </c>
      <c r="F2" s="92"/>
      <c r="G2" s="71"/>
      <c r="H2" s="69"/>
      <c r="I2" s="90" t="s">
        <v>214</v>
      </c>
      <c r="J2" s="87" t="s">
        <v>430</v>
      </c>
      <c r="K2" s="92"/>
      <c r="L2" s="92"/>
      <c r="M2" s="93"/>
      <c r="N2" s="35"/>
    </row>
    <row r="3" spans="1:14" ht="12.75">
      <c r="A3" s="86"/>
      <c r="B3" s="91"/>
      <c r="C3" s="91"/>
      <c r="D3" s="128"/>
      <c r="E3" s="91"/>
      <c r="F3" s="91"/>
      <c r="G3" s="70"/>
      <c r="H3" s="70"/>
      <c r="I3" s="91"/>
      <c r="J3" s="91"/>
      <c r="K3" s="91"/>
      <c r="L3" s="91"/>
      <c r="M3" s="94"/>
      <c r="N3" s="35"/>
    </row>
    <row r="4" spans="1:14" ht="12.75" customHeight="1">
      <c r="A4" s="95" t="s">
        <v>1</v>
      </c>
      <c r="B4" s="91"/>
      <c r="C4" s="91"/>
      <c r="D4" s="129"/>
      <c r="E4" s="100" t="s">
        <v>198</v>
      </c>
      <c r="F4" s="91"/>
      <c r="G4" s="73"/>
      <c r="H4" s="70"/>
      <c r="I4" s="97" t="s">
        <v>215</v>
      </c>
      <c r="J4" s="97" t="s">
        <v>402</v>
      </c>
      <c r="K4" s="91"/>
      <c r="L4" s="91"/>
      <c r="M4" s="94"/>
      <c r="N4" s="35"/>
    </row>
    <row r="5" spans="1:14" ht="12.75">
      <c r="A5" s="86"/>
      <c r="B5" s="91"/>
      <c r="C5" s="91"/>
      <c r="D5" s="130"/>
      <c r="E5" s="91"/>
      <c r="F5" s="91"/>
      <c r="G5" s="70"/>
      <c r="H5" s="70"/>
      <c r="I5" s="91"/>
      <c r="J5" s="91"/>
      <c r="K5" s="91"/>
      <c r="L5" s="91"/>
      <c r="M5" s="94"/>
      <c r="N5" s="35"/>
    </row>
    <row r="6" spans="1:14" ht="12.75" customHeight="1">
      <c r="A6" s="95" t="s">
        <v>2</v>
      </c>
      <c r="B6" s="91"/>
      <c r="C6" s="91"/>
      <c r="D6" s="97" t="s">
        <v>401</v>
      </c>
      <c r="E6" s="100" t="s">
        <v>199</v>
      </c>
      <c r="F6" s="91"/>
      <c r="G6" s="70"/>
      <c r="H6" s="70"/>
      <c r="I6" s="97" t="s">
        <v>216</v>
      </c>
      <c r="J6" s="74"/>
      <c r="K6" s="70"/>
      <c r="L6" s="70"/>
      <c r="M6" s="72"/>
      <c r="N6" s="35"/>
    </row>
    <row r="7" spans="1:14" ht="12.75">
      <c r="A7" s="86"/>
      <c r="B7" s="91"/>
      <c r="C7" s="91"/>
      <c r="D7" s="91"/>
      <c r="E7" s="91"/>
      <c r="F7" s="91"/>
      <c r="G7" s="70"/>
      <c r="H7" s="70"/>
      <c r="I7" s="91"/>
      <c r="J7" s="70"/>
      <c r="K7" s="70"/>
      <c r="L7" s="70"/>
      <c r="M7" s="72"/>
      <c r="N7" s="35"/>
    </row>
    <row r="8" spans="1:14" ht="12.75" customHeight="1">
      <c r="A8" s="95" t="s">
        <v>3</v>
      </c>
      <c r="B8" s="91"/>
      <c r="C8" s="91"/>
      <c r="D8" s="97"/>
      <c r="E8" s="100" t="s">
        <v>200</v>
      </c>
      <c r="F8" s="91"/>
      <c r="G8" s="73"/>
      <c r="H8" s="70"/>
      <c r="I8" s="97" t="s">
        <v>217</v>
      </c>
      <c r="J8" s="76"/>
      <c r="K8" s="70"/>
      <c r="L8" s="70"/>
      <c r="M8" s="72"/>
      <c r="N8" s="35"/>
    </row>
    <row r="9" spans="1:14" ht="12.75">
      <c r="A9" s="98"/>
      <c r="B9" s="99"/>
      <c r="C9" s="99"/>
      <c r="D9" s="99"/>
      <c r="E9" s="99"/>
      <c r="F9" s="99"/>
      <c r="G9" s="75"/>
      <c r="H9" s="75"/>
      <c r="I9" s="99"/>
      <c r="J9" s="70"/>
      <c r="K9" s="70"/>
      <c r="L9" s="70"/>
      <c r="M9" s="72"/>
      <c r="N9" s="35"/>
    </row>
    <row r="10" spans="1:14" ht="12.75">
      <c r="A10" s="131" t="s">
        <v>4</v>
      </c>
      <c r="B10" s="132" t="s">
        <v>88</v>
      </c>
      <c r="C10" s="132" t="s">
        <v>89</v>
      </c>
      <c r="D10" s="132" t="s">
        <v>105</v>
      </c>
      <c r="E10" s="132" t="s">
        <v>201</v>
      </c>
      <c r="F10" s="133" t="s">
        <v>208</v>
      </c>
      <c r="G10" s="134" t="s">
        <v>209</v>
      </c>
      <c r="H10" s="135" t="s">
        <v>211</v>
      </c>
      <c r="I10" s="136"/>
      <c r="J10" s="137"/>
      <c r="K10" s="135" t="s">
        <v>220</v>
      </c>
      <c r="L10" s="137"/>
      <c r="M10" s="138" t="s">
        <v>221</v>
      </c>
      <c r="N10" s="36"/>
    </row>
    <row r="11" spans="1:24" ht="12.75">
      <c r="A11" s="139" t="s">
        <v>5</v>
      </c>
      <c r="B11" s="140" t="s">
        <v>5</v>
      </c>
      <c r="C11" s="140" t="s">
        <v>5</v>
      </c>
      <c r="D11" s="141" t="s">
        <v>106</v>
      </c>
      <c r="E11" s="140" t="s">
        <v>5</v>
      </c>
      <c r="F11" s="140" t="s">
        <v>5</v>
      </c>
      <c r="G11" s="142" t="s">
        <v>210</v>
      </c>
      <c r="H11" s="143" t="s">
        <v>212</v>
      </c>
      <c r="I11" s="144" t="s">
        <v>218</v>
      </c>
      <c r="J11" s="145" t="s">
        <v>219</v>
      </c>
      <c r="K11" s="143" t="s">
        <v>209</v>
      </c>
      <c r="L11" s="145" t="s">
        <v>219</v>
      </c>
      <c r="M11" s="146" t="s">
        <v>222</v>
      </c>
      <c r="N11" s="36"/>
      <c r="P11" s="37" t="s">
        <v>223</v>
      </c>
      <c r="Q11" s="37" t="s">
        <v>224</v>
      </c>
      <c r="R11" s="37" t="s">
        <v>225</v>
      </c>
      <c r="S11" s="37" t="s">
        <v>226</v>
      </c>
      <c r="T11" s="37" t="s">
        <v>227</v>
      </c>
      <c r="U11" s="37" t="s">
        <v>228</v>
      </c>
      <c r="V11" s="37" t="s">
        <v>229</v>
      </c>
      <c r="W11" s="37" t="s">
        <v>230</v>
      </c>
      <c r="X11" s="37" t="s">
        <v>231</v>
      </c>
    </row>
    <row r="12" spans="1:37" ht="12.75">
      <c r="A12" s="1"/>
      <c r="B12" s="7"/>
      <c r="C12" s="7" t="s">
        <v>66</v>
      </c>
      <c r="D12" s="77" t="s">
        <v>107</v>
      </c>
      <c r="E12" s="78"/>
      <c r="F12" s="78"/>
      <c r="G12" s="78"/>
      <c r="H12" s="38">
        <f>SUM(H13:H13)</f>
        <v>0</v>
      </c>
      <c r="I12" s="38">
        <f>SUM(I13:I13)</f>
        <v>0</v>
      </c>
      <c r="J12" s="38">
        <f>H12+I12</f>
        <v>0</v>
      </c>
      <c r="K12" s="39"/>
      <c r="L12" s="38">
        <f>SUM(L13:L13)</f>
        <v>8.54715239</v>
      </c>
      <c r="M12" s="39"/>
      <c r="Y12" s="37"/>
      <c r="AI12" s="40">
        <f>SUM(Z13:Z13)</f>
        <v>0</v>
      </c>
      <c r="AJ12" s="40">
        <f>SUM(AA13:AA13)</f>
        <v>0</v>
      </c>
      <c r="AK12" s="40">
        <f>SUM(AB13:AB13)</f>
        <v>0</v>
      </c>
    </row>
    <row r="13" spans="1:48" ht="25.5">
      <c r="A13" s="2" t="s">
        <v>6</v>
      </c>
      <c r="B13" s="2"/>
      <c r="C13" s="2"/>
      <c r="D13" s="28" t="s">
        <v>108</v>
      </c>
      <c r="E13" s="2" t="s">
        <v>202</v>
      </c>
      <c r="F13" s="10">
        <v>149.191</v>
      </c>
      <c r="G13" s="42">
        <v>0</v>
      </c>
      <c r="H13" s="41">
        <f>F13*AE13</f>
        <v>0</v>
      </c>
      <c r="I13" s="41">
        <f>J13-H13</f>
        <v>0</v>
      </c>
      <c r="J13" s="41">
        <f>F13*G13</f>
        <v>0</v>
      </c>
      <c r="K13" s="41">
        <v>0.05729</v>
      </c>
      <c r="L13" s="41">
        <f>F13*K13</f>
        <v>8.54715239</v>
      </c>
      <c r="M13" s="43"/>
      <c r="P13" s="44">
        <f>IF(AG13="5",J13,0)</f>
        <v>0</v>
      </c>
      <c r="R13" s="44">
        <f>IF(AG13="1",H13,0)</f>
        <v>0</v>
      </c>
      <c r="S13" s="44">
        <f>IF(AG13="1",I13,0)</f>
        <v>0</v>
      </c>
      <c r="T13" s="44">
        <f>IF(AG13="7",H13,0)</f>
        <v>0</v>
      </c>
      <c r="U13" s="44">
        <f>IF(AG13="7",I13,0)</f>
        <v>0</v>
      </c>
      <c r="V13" s="44">
        <f>IF(AG13="2",H13,0)</f>
        <v>0</v>
      </c>
      <c r="W13" s="44">
        <f>IF(AG13="2",I13,0)</f>
        <v>0</v>
      </c>
      <c r="X13" s="44">
        <f>IF(AG13="0",J13,0)</f>
        <v>0</v>
      </c>
      <c r="Y13" s="37"/>
      <c r="Z13" s="41">
        <f>IF(AD13=0,J13,0)</f>
        <v>0</v>
      </c>
      <c r="AA13" s="41">
        <f>IF(AD13=15,J13,0)</f>
        <v>0</v>
      </c>
      <c r="AB13" s="41">
        <f>IF(AD13=21,J13,0)</f>
        <v>0</v>
      </c>
      <c r="AD13" s="44">
        <v>21</v>
      </c>
      <c r="AE13" s="44">
        <f>G13*0.220675990675991</f>
        <v>0</v>
      </c>
      <c r="AF13" s="44">
        <f>G13*(1-0.220675990675991)</f>
        <v>0</v>
      </c>
      <c r="AG13" s="43" t="s">
        <v>6</v>
      </c>
      <c r="AM13" s="44">
        <f>F13*AE13</f>
        <v>0</v>
      </c>
      <c r="AN13" s="44">
        <f>F13*AF13</f>
        <v>0</v>
      </c>
      <c r="AO13" s="45" t="s">
        <v>232</v>
      </c>
      <c r="AP13" s="45" t="s">
        <v>251</v>
      </c>
      <c r="AQ13" s="37" t="s">
        <v>255</v>
      </c>
      <c r="AS13" s="44">
        <f>AM13+AN13</f>
        <v>0</v>
      </c>
      <c r="AT13" s="44">
        <f>G13/(100-AU13)*100</f>
        <v>0</v>
      </c>
      <c r="AU13" s="44">
        <v>0</v>
      </c>
      <c r="AV13" s="44">
        <f>L13</f>
        <v>8.54715239</v>
      </c>
    </row>
    <row r="14" spans="1:37" ht="12.75">
      <c r="A14" s="3"/>
      <c r="B14" s="8"/>
      <c r="C14" s="8" t="s">
        <v>67</v>
      </c>
      <c r="D14" s="79" t="s">
        <v>109</v>
      </c>
      <c r="E14" s="80"/>
      <c r="F14" s="80"/>
      <c r="G14" s="80"/>
      <c r="H14" s="40">
        <f>SUM(H15:H19)</f>
        <v>0</v>
      </c>
      <c r="I14" s="40">
        <f>SUM(I15:I19)</f>
        <v>0</v>
      </c>
      <c r="J14" s="40">
        <f>H14+I14</f>
        <v>0</v>
      </c>
      <c r="K14" s="37"/>
      <c r="L14" s="40">
        <f>SUM(L15:L19)</f>
        <v>24.544009239999998</v>
      </c>
      <c r="M14" s="37"/>
      <c r="Y14" s="37"/>
      <c r="AI14" s="40">
        <f>SUM(Z15:Z19)</f>
        <v>0</v>
      </c>
      <c r="AJ14" s="40">
        <f>SUM(AA15:AA19)</f>
        <v>0</v>
      </c>
      <c r="AK14" s="40">
        <f>SUM(AB15:AB19)</f>
        <v>0</v>
      </c>
    </row>
    <row r="15" spans="1:48" ht="38.25">
      <c r="A15" s="2" t="s">
        <v>7</v>
      </c>
      <c r="B15" s="2"/>
      <c r="C15" s="2"/>
      <c r="D15" s="28" t="s">
        <v>431</v>
      </c>
      <c r="E15" s="2" t="s">
        <v>202</v>
      </c>
      <c r="F15" s="10">
        <v>568.9</v>
      </c>
      <c r="G15" s="42">
        <v>0</v>
      </c>
      <c r="H15" s="41">
        <f>F15*AE15</f>
        <v>0</v>
      </c>
      <c r="I15" s="41">
        <f>J15-H15</f>
        <v>0</v>
      </c>
      <c r="J15" s="41">
        <f>F15*G15</f>
        <v>0</v>
      </c>
      <c r="K15" s="41">
        <v>0.00074</v>
      </c>
      <c r="L15" s="41">
        <f>F15*K15</f>
        <v>0.42098599999999997</v>
      </c>
      <c r="M15" s="43"/>
      <c r="P15" s="44">
        <f>IF(AG15="5",J15,0)</f>
        <v>0</v>
      </c>
      <c r="R15" s="44">
        <f>IF(AG15="1",H15,0)</f>
        <v>0</v>
      </c>
      <c r="S15" s="44">
        <f>IF(AG15="1",I15,0)</f>
        <v>0</v>
      </c>
      <c r="T15" s="44">
        <f>IF(AG15="7",H15,0)</f>
        <v>0</v>
      </c>
      <c r="U15" s="44">
        <f>IF(AG15="7",I15,0)</f>
        <v>0</v>
      </c>
      <c r="V15" s="44">
        <f>IF(AG15="2",H15,0)</f>
        <v>0</v>
      </c>
      <c r="W15" s="44">
        <f>IF(AG15="2",I15,0)</f>
        <v>0</v>
      </c>
      <c r="X15" s="44">
        <f>IF(AG15="0",J15,0)</f>
        <v>0</v>
      </c>
      <c r="Y15" s="37"/>
      <c r="Z15" s="41">
        <f>IF(AD15=0,J15,0)</f>
        <v>0</v>
      </c>
      <c r="AA15" s="41">
        <f>IF(AD15=15,J15,0)</f>
        <v>0</v>
      </c>
      <c r="AB15" s="41">
        <f>IF(AD15=21,J15,0)</f>
        <v>0</v>
      </c>
      <c r="AD15" s="44">
        <v>21</v>
      </c>
      <c r="AE15" s="44">
        <f>G15*0.475055679287305</f>
        <v>0</v>
      </c>
      <c r="AF15" s="44">
        <f>G15*(1-0.475055679287305)</f>
        <v>0</v>
      </c>
      <c r="AG15" s="43" t="s">
        <v>6</v>
      </c>
      <c r="AM15" s="44">
        <f>F15*AE15</f>
        <v>0</v>
      </c>
      <c r="AN15" s="44">
        <f>F15*AF15</f>
        <v>0</v>
      </c>
      <c r="AO15" s="45" t="s">
        <v>233</v>
      </c>
      <c r="AP15" s="45" t="s">
        <v>251</v>
      </c>
      <c r="AQ15" s="37" t="s">
        <v>255</v>
      </c>
      <c r="AS15" s="44">
        <f>AM15+AN15</f>
        <v>0</v>
      </c>
      <c r="AT15" s="44">
        <f>G15/(100-AU15)*100</f>
        <v>0</v>
      </c>
      <c r="AU15" s="44">
        <v>0</v>
      </c>
      <c r="AV15" s="44">
        <f>L15</f>
        <v>0.42098599999999997</v>
      </c>
    </row>
    <row r="16" spans="1:48" ht="25.5">
      <c r="A16" s="2" t="s">
        <v>8</v>
      </c>
      <c r="B16" s="2"/>
      <c r="C16" s="2"/>
      <c r="D16" s="28" t="s">
        <v>110</v>
      </c>
      <c r="E16" s="2" t="s">
        <v>202</v>
      </c>
      <c r="F16" s="10">
        <v>156.592</v>
      </c>
      <c r="G16" s="42">
        <v>0</v>
      </c>
      <c r="H16" s="41">
        <f>F16*AE16</f>
        <v>0</v>
      </c>
      <c r="I16" s="41">
        <f>J16-H16</f>
        <v>0</v>
      </c>
      <c r="J16" s="41">
        <f>F16*G16</f>
        <v>0</v>
      </c>
      <c r="K16" s="41">
        <v>0.03759</v>
      </c>
      <c r="L16" s="41">
        <f>F16*K16</f>
        <v>5.88629328</v>
      </c>
      <c r="M16" s="43"/>
      <c r="P16" s="44">
        <f>IF(AG16="5",J16,0)</f>
        <v>0</v>
      </c>
      <c r="R16" s="44">
        <f>IF(AG16="1",H16,0)</f>
        <v>0</v>
      </c>
      <c r="S16" s="44">
        <f>IF(AG16="1",I16,0)</f>
        <v>0</v>
      </c>
      <c r="T16" s="44">
        <f>IF(AG16="7",H16,0)</f>
        <v>0</v>
      </c>
      <c r="U16" s="44">
        <f>IF(AG16="7",I16,0)</f>
        <v>0</v>
      </c>
      <c r="V16" s="44">
        <f>IF(AG16="2",H16,0)</f>
        <v>0</v>
      </c>
      <c r="W16" s="44">
        <f>IF(AG16="2",I16,0)</f>
        <v>0</v>
      </c>
      <c r="X16" s="44">
        <f>IF(AG16="0",J16,0)</f>
        <v>0</v>
      </c>
      <c r="Y16" s="37"/>
      <c r="Z16" s="41">
        <f>IF(AD16=0,J16,0)</f>
        <v>0</v>
      </c>
      <c r="AA16" s="41">
        <f>IF(AD16=15,J16,0)</f>
        <v>0</v>
      </c>
      <c r="AB16" s="41">
        <f>IF(AD16=21,J16,0)</f>
        <v>0</v>
      </c>
      <c r="AD16" s="44">
        <v>21</v>
      </c>
      <c r="AE16" s="44">
        <f>G16*0.100825396825397</f>
        <v>0</v>
      </c>
      <c r="AF16" s="44">
        <f>G16*(1-0.100825396825397)</f>
        <v>0</v>
      </c>
      <c r="AG16" s="43" t="s">
        <v>6</v>
      </c>
      <c r="AM16" s="44">
        <f>F16*AE16</f>
        <v>0</v>
      </c>
      <c r="AN16" s="44">
        <f>F16*AF16</f>
        <v>0</v>
      </c>
      <c r="AO16" s="45" t="s">
        <v>233</v>
      </c>
      <c r="AP16" s="45" t="s">
        <v>251</v>
      </c>
      <c r="AQ16" s="37" t="s">
        <v>255</v>
      </c>
      <c r="AS16" s="44">
        <f>AM16+AN16</f>
        <v>0</v>
      </c>
      <c r="AT16" s="44">
        <f>G16/(100-AU16)*100</f>
        <v>0</v>
      </c>
      <c r="AU16" s="44">
        <v>0</v>
      </c>
      <c r="AV16" s="44">
        <f>L16</f>
        <v>5.88629328</v>
      </c>
    </row>
    <row r="17" spans="1:48" ht="25.5">
      <c r="A17" s="2" t="s">
        <v>9</v>
      </c>
      <c r="B17" s="2"/>
      <c r="C17" s="2"/>
      <c r="D17" s="28" t="s">
        <v>111</v>
      </c>
      <c r="E17" s="2" t="s">
        <v>202</v>
      </c>
      <c r="F17" s="10">
        <v>369.102</v>
      </c>
      <c r="G17" s="42">
        <v>0</v>
      </c>
      <c r="H17" s="41">
        <f>F17*AE17</f>
        <v>0</v>
      </c>
      <c r="I17" s="41">
        <f>J17-H17</f>
        <v>0</v>
      </c>
      <c r="J17" s="41">
        <f>F17*G17</f>
        <v>0</v>
      </c>
      <c r="K17" s="41">
        <v>0.04529</v>
      </c>
      <c r="L17" s="41">
        <f>F17*K17</f>
        <v>16.71662958</v>
      </c>
      <c r="M17" s="43"/>
      <c r="P17" s="44">
        <f>IF(AG17="5",J17,0)</f>
        <v>0</v>
      </c>
      <c r="R17" s="44">
        <f>IF(AG17="1",H17,0)</f>
        <v>0</v>
      </c>
      <c r="S17" s="44">
        <f>IF(AG17="1",I17,0)</f>
        <v>0</v>
      </c>
      <c r="T17" s="44">
        <f>IF(AG17="7",H17,0)</f>
        <v>0</v>
      </c>
      <c r="U17" s="44">
        <f>IF(AG17="7",I17,0)</f>
        <v>0</v>
      </c>
      <c r="V17" s="44">
        <f>IF(AG17="2",H17,0)</f>
        <v>0</v>
      </c>
      <c r="W17" s="44">
        <f>IF(AG17="2",I17,0)</f>
        <v>0</v>
      </c>
      <c r="X17" s="44">
        <f>IF(AG17="0",J17,0)</f>
        <v>0</v>
      </c>
      <c r="Y17" s="37"/>
      <c r="Z17" s="41">
        <f>IF(AD17=0,J17,0)</f>
        <v>0</v>
      </c>
      <c r="AA17" s="41">
        <f>IF(AD17=15,J17,0)</f>
        <v>0</v>
      </c>
      <c r="AB17" s="41">
        <f>IF(AD17=21,J17,0)</f>
        <v>0</v>
      </c>
      <c r="AD17" s="44">
        <v>21</v>
      </c>
      <c r="AE17" s="44">
        <f>G17*0.101852387843705</f>
        <v>0</v>
      </c>
      <c r="AF17" s="44">
        <f>G17*(1-0.101852387843705)</f>
        <v>0</v>
      </c>
      <c r="AG17" s="43" t="s">
        <v>6</v>
      </c>
      <c r="AM17" s="44">
        <f>F17*AE17</f>
        <v>0</v>
      </c>
      <c r="AN17" s="44">
        <f>F17*AF17</f>
        <v>0</v>
      </c>
      <c r="AO17" s="45" t="s">
        <v>233</v>
      </c>
      <c r="AP17" s="45" t="s">
        <v>251</v>
      </c>
      <c r="AQ17" s="37" t="s">
        <v>255</v>
      </c>
      <c r="AS17" s="44">
        <f>AM17+AN17</f>
        <v>0</v>
      </c>
      <c r="AT17" s="44">
        <f>G17/(100-AU17)*100</f>
        <v>0</v>
      </c>
      <c r="AU17" s="44">
        <v>0</v>
      </c>
      <c r="AV17" s="44">
        <f>L17</f>
        <v>16.71662958</v>
      </c>
    </row>
    <row r="18" spans="1:48" ht="25.5">
      <c r="A18" s="2" t="s">
        <v>10</v>
      </c>
      <c r="B18" s="2"/>
      <c r="C18" s="2"/>
      <c r="D18" s="28" t="s">
        <v>112</v>
      </c>
      <c r="E18" s="2" t="s">
        <v>202</v>
      </c>
      <c r="F18" s="10">
        <v>43.131</v>
      </c>
      <c r="G18" s="42">
        <v>0</v>
      </c>
      <c r="H18" s="41">
        <f>F18*AE18</f>
        <v>0</v>
      </c>
      <c r="I18" s="41">
        <f>J18-H18</f>
        <v>0</v>
      </c>
      <c r="J18" s="41">
        <f>F18*G18</f>
        <v>0</v>
      </c>
      <c r="K18" s="41">
        <v>0.03498</v>
      </c>
      <c r="L18" s="41">
        <f>F18*K18</f>
        <v>1.5087223799999998</v>
      </c>
      <c r="M18" s="43"/>
      <c r="P18" s="44">
        <f>IF(AG18="5",J18,0)</f>
        <v>0</v>
      </c>
      <c r="R18" s="44">
        <f>IF(AG18="1",H18,0)</f>
        <v>0</v>
      </c>
      <c r="S18" s="44">
        <f>IF(AG18="1",I18,0)</f>
        <v>0</v>
      </c>
      <c r="T18" s="44">
        <f>IF(AG18="7",H18,0)</f>
        <v>0</v>
      </c>
      <c r="U18" s="44">
        <f>IF(AG18="7",I18,0)</f>
        <v>0</v>
      </c>
      <c r="V18" s="44">
        <f>IF(AG18="2",H18,0)</f>
        <v>0</v>
      </c>
      <c r="W18" s="44">
        <f>IF(AG18="2",I18,0)</f>
        <v>0</v>
      </c>
      <c r="X18" s="44">
        <f>IF(AG18="0",J18,0)</f>
        <v>0</v>
      </c>
      <c r="Y18" s="37"/>
      <c r="Z18" s="41">
        <f>IF(AD18=0,J18,0)</f>
        <v>0</v>
      </c>
      <c r="AA18" s="41">
        <f>IF(AD18=15,J18,0)</f>
        <v>0</v>
      </c>
      <c r="AB18" s="41">
        <f>IF(AD18=21,J18,0)</f>
        <v>0</v>
      </c>
      <c r="AD18" s="44">
        <v>21</v>
      </c>
      <c r="AE18" s="44">
        <f>G18*0.103150370422969</f>
        <v>0</v>
      </c>
      <c r="AF18" s="44">
        <f>G18*(1-0.103150370422969)</f>
        <v>0</v>
      </c>
      <c r="AG18" s="43" t="s">
        <v>6</v>
      </c>
      <c r="AM18" s="44">
        <f>F18*AE18</f>
        <v>0</v>
      </c>
      <c r="AN18" s="44">
        <f>F18*AF18</f>
        <v>0</v>
      </c>
      <c r="AO18" s="45" t="s">
        <v>233</v>
      </c>
      <c r="AP18" s="45" t="s">
        <v>251</v>
      </c>
      <c r="AQ18" s="37" t="s">
        <v>255</v>
      </c>
      <c r="AS18" s="44">
        <f>AM18+AN18</f>
        <v>0</v>
      </c>
      <c r="AT18" s="44">
        <f>G18/(100-AU18)*100</f>
        <v>0</v>
      </c>
      <c r="AU18" s="44">
        <v>0</v>
      </c>
      <c r="AV18" s="44">
        <f>L18</f>
        <v>1.5087223799999998</v>
      </c>
    </row>
    <row r="19" spans="1:48" ht="12.75">
      <c r="A19" s="2" t="s">
        <v>11</v>
      </c>
      <c r="B19" s="2"/>
      <c r="C19" s="2"/>
      <c r="D19" s="28" t="s">
        <v>113</v>
      </c>
      <c r="E19" s="2" t="s">
        <v>202</v>
      </c>
      <c r="F19" s="10">
        <v>568.9</v>
      </c>
      <c r="G19" s="42">
        <v>0</v>
      </c>
      <c r="H19" s="41">
        <f>F19*AE19</f>
        <v>0</v>
      </c>
      <c r="I19" s="41">
        <f>J19-H19</f>
        <v>0</v>
      </c>
      <c r="J19" s="41">
        <f>F19*G19</f>
        <v>0</v>
      </c>
      <c r="K19" s="41">
        <v>2E-05</v>
      </c>
      <c r="L19" s="41">
        <f>F19*K19</f>
        <v>0.011378000000000001</v>
      </c>
      <c r="M19" s="43"/>
      <c r="P19" s="44">
        <f>IF(AG19="5",J19,0)</f>
        <v>0</v>
      </c>
      <c r="R19" s="44">
        <f>IF(AG19="1",H19,0)</f>
        <v>0</v>
      </c>
      <c r="S19" s="44">
        <f>IF(AG19="1",I19,0)</f>
        <v>0</v>
      </c>
      <c r="T19" s="44">
        <f>IF(AG19="7",H19,0)</f>
        <v>0</v>
      </c>
      <c r="U19" s="44">
        <f>IF(AG19="7",I19,0)</f>
        <v>0</v>
      </c>
      <c r="V19" s="44">
        <f>IF(AG19="2",H19,0)</f>
        <v>0</v>
      </c>
      <c r="W19" s="44">
        <f>IF(AG19="2",I19,0)</f>
        <v>0</v>
      </c>
      <c r="X19" s="44">
        <f>IF(AG19="0",J19,0)</f>
        <v>0</v>
      </c>
      <c r="Y19" s="37"/>
      <c r="Z19" s="41">
        <f>IF(AD19=0,J19,0)</f>
        <v>0</v>
      </c>
      <c r="AA19" s="41">
        <f>IF(AD19=15,J19,0)</f>
        <v>0</v>
      </c>
      <c r="AB19" s="41">
        <f>IF(AD19=21,J19,0)</f>
        <v>0</v>
      </c>
      <c r="AD19" s="44">
        <v>21</v>
      </c>
      <c r="AE19" s="44">
        <f>G19*0.0712790697674418</f>
        <v>0</v>
      </c>
      <c r="AF19" s="44">
        <f>G19*(1-0.0712790697674418)</f>
        <v>0</v>
      </c>
      <c r="AG19" s="43" t="s">
        <v>6</v>
      </c>
      <c r="AM19" s="44">
        <f>F19*AE19</f>
        <v>0</v>
      </c>
      <c r="AN19" s="44">
        <f>F19*AF19</f>
        <v>0</v>
      </c>
      <c r="AO19" s="45" t="s">
        <v>233</v>
      </c>
      <c r="AP19" s="45" t="s">
        <v>251</v>
      </c>
      <c r="AQ19" s="37" t="s">
        <v>255</v>
      </c>
      <c r="AS19" s="44">
        <f>AM19+AN19</f>
        <v>0</v>
      </c>
      <c r="AT19" s="44">
        <f>G19/(100-AU19)*100</f>
        <v>0</v>
      </c>
      <c r="AU19" s="44">
        <v>0</v>
      </c>
      <c r="AV19" s="44">
        <f>L19</f>
        <v>0.011378000000000001</v>
      </c>
    </row>
    <row r="20" spans="1:37" ht="12.75">
      <c r="A20" s="3"/>
      <c r="B20" s="8"/>
      <c r="C20" s="8" t="s">
        <v>68</v>
      </c>
      <c r="D20" s="79" t="s">
        <v>114</v>
      </c>
      <c r="E20" s="80"/>
      <c r="F20" s="80"/>
      <c r="G20" s="80"/>
      <c r="H20" s="40">
        <f>SUM(H21:H22)</f>
        <v>0</v>
      </c>
      <c r="I20" s="40">
        <f>SUM(I21:I22)</f>
        <v>0</v>
      </c>
      <c r="J20" s="40">
        <f>H20+I20</f>
        <v>0</v>
      </c>
      <c r="K20" s="37"/>
      <c r="L20" s="40">
        <f>SUM(L21:L22)</f>
        <v>4.2391366</v>
      </c>
      <c r="M20" s="37"/>
      <c r="Y20" s="37"/>
      <c r="AI20" s="40">
        <f>SUM(Z21:Z22)</f>
        <v>0</v>
      </c>
      <c r="AJ20" s="40">
        <f>SUM(AA21:AA22)</f>
        <v>0</v>
      </c>
      <c r="AK20" s="40">
        <f>SUM(AB21:AB22)</f>
        <v>0</v>
      </c>
    </row>
    <row r="21" spans="1:48" ht="25.5">
      <c r="A21" s="2" t="s">
        <v>12</v>
      </c>
      <c r="B21" s="2"/>
      <c r="C21" s="2"/>
      <c r="D21" s="28" t="s">
        <v>115</v>
      </c>
      <c r="E21" s="2" t="s">
        <v>202</v>
      </c>
      <c r="F21" s="10">
        <v>58.935</v>
      </c>
      <c r="G21" s="42">
        <v>0</v>
      </c>
      <c r="H21" s="41">
        <f>F21*AE21</f>
        <v>0</v>
      </c>
      <c r="I21" s="41">
        <f>J21-H21</f>
        <v>0</v>
      </c>
      <c r="J21" s="41">
        <f>F21*G21</f>
        <v>0</v>
      </c>
      <c r="K21" s="41">
        <v>0.07076</v>
      </c>
      <c r="L21" s="41">
        <f>F21*K21</f>
        <v>4.1702406000000005</v>
      </c>
      <c r="M21" s="43"/>
      <c r="P21" s="44">
        <f>IF(AG21="5",J21,0)</f>
        <v>0</v>
      </c>
      <c r="R21" s="44">
        <f>IF(AG21="1",H21,0)</f>
        <v>0</v>
      </c>
      <c r="S21" s="44">
        <f>IF(AG21="1",I21,0)</f>
        <v>0</v>
      </c>
      <c r="T21" s="44">
        <f>IF(AG21="7",H21,0)</f>
        <v>0</v>
      </c>
      <c r="U21" s="44">
        <f>IF(AG21="7",I21,0)</f>
        <v>0</v>
      </c>
      <c r="V21" s="44">
        <f>IF(AG21="2",H21,0)</f>
        <v>0</v>
      </c>
      <c r="W21" s="44">
        <f>IF(AG21="2",I21,0)</f>
        <v>0</v>
      </c>
      <c r="X21" s="44">
        <f>IF(AG21="0",J21,0)</f>
        <v>0</v>
      </c>
      <c r="Y21" s="37"/>
      <c r="Z21" s="41">
        <f>IF(AD21=0,J21,0)</f>
        <v>0</v>
      </c>
      <c r="AA21" s="41">
        <f>IF(AD21=15,J21,0)</f>
        <v>0</v>
      </c>
      <c r="AB21" s="41">
        <f>IF(AD21=21,J21,0)</f>
        <v>0</v>
      </c>
      <c r="AD21" s="44">
        <v>21</v>
      </c>
      <c r="AE21" s="44">
        <f>G21*0.758426573426574</f>
        <v>0</v>
      </c>
      <c r="AF21" s="44">
        <f>G21*(1-0.758426573426574)</f>
        <v>0</v>
      </c>
      <c r="AG21" s="43" t="s">
        <v>6</v>
      </c>
      <c r="AM21" s="44">
        <f>F21*AE21</f>
        <v>0</v>
      </c>
      <c r="AN21" s="44">
        <f>F21*AF21</f>
        <v>0</v>
      </c>
      <c r="AO21" s="45" t="s">
        <v>234</v>
      </c>
      <c r="AP21" s="45" t="s">
        <v>251</v>
      </c>
      <c r="AQ21" s="37" t="s">
        <v>255</v>
      </c>
      <c r="AS21" s="44">
        <f>AM21+AN21</f>
        <v>0</v>
      </c>
      <c r="AT21" s="44">
        <f>G21/(100-AU21)*100</f>
        <v>0</v>
      </c>
      <c r="AU21" s="44">
        <v>0</v>
      </c>
      <c r="AV21" s="44">
        <f>L21</f>
        <v>4.1702406000000005</v>
      </c>
    </row>
    <row r="22" spans="1:48" ht="25.5">
      <c r="A22" s="2" t="s">
        <v>13</v>
      </c>
      <c r="B22" s="2"/>
      <c r="C22" s="2"/>
      <c r="D22" s="28" t="s">
        <v>116</v>
      </c>
      <c r="E22" s="2" t="s">
        <v>202</v>
      </c>
      <c r="F22" s="10">
        <v>3.2</v>
      </c>
      <c r="G22" s="42">
        <v>0</v>
      </c>
      <c r="H22" s="41">
        <f>F22*AE22</f>
        <v>0</v>
      </c>
      <c r="I22" s="41">
        <f>J22-H22</f>
        <v>0</v>
      </c>
      <c r="J22" s="41">
        <f>F22*G22</f>
        <v>0</v>
      </c>
      <c r="K22" s="41">
        <v>0.02153</v>
      </c>
      <c r="L22" s="41">
        <f>F22*K22</f>
        <v>0.068896</v>
      </c>
      <c r="M22" s="43"/>
      <c r="P22" s="44">
        <f>IF(AG22="5",J22,0)</f>
        <v>0</v>
      </c>
      <c r="R22" s="44">
        <f>IF(AG22="1",H22,0)</f>
        <v>0</v>
      </c>
      <c r="S22" s="44">
        <f>IF(AG22="1",I22,0)</f>
        <v>0</v>
      </c>
      <c r="T22" s="44">
        <f>IF(AG22="7",H22,0)</f>
        <v>0</v>
      </c>
      <c r="U22" s="44">
        <f>IF(AG22="7",I22,0)</f>
        <v>0</v>
      </c>
      <c r="V22" s="44">
        <f>IF(AG22="2",H22,0)</f>
        <v>0</v>
      </c>
      <c r="W22" s="44">
        <f>IF(AG22="2",I22,0)</f>
        <v>0</v>
      </c>
      <c r="X22" s="44">
        <f>IF(AG22="0",J22,0)</f>
        <v>0</v>
      </c>
      <c r="Y22" s="37"/>
      <c r="Z22" s="41">
        <f>IF(AD22=0,J22,0)</f>
        <v>0</v>
      </c>
      <c r="AA22" s="41">
        <f>IF(AD22=15,J22,0)</f>
        <v>0</v>
      </c>
      <c r="AB22" s="41">
        <f>IF(AD22=21,J22,0)</f>
        <v>0</v>
      </c>
      <c r="AD22" s="44">
        <v>21</v>
      </c>
      <c r="AE22" s="44">
        <f>G22*0.587291381668947</f>
        <v>0</v>
      </c>
      <c r="AF22" s="44">
        <f>G22*(1-0.587291381668947)</f>
        <v>0</v>
      </c>
      <c r="AG22" s="43" t="s">
        <v>6</v>
      </c>
      <c r="AM22" s="44">
        <f>F22*AE22</f>
        <v>0</v>
      </c>
      <c r="AN22" s="44">
        <f>F22*AF22</f>
        <v>0</v>
      </c>
      <c r="AO22" s="45" t="s">
        <v>234</v>
      </c>
      <c r="AP22" s="45" t="s">
        <v>251</v>
      </c>
      <c r="AQ22" s="37" t="s">
        <v>255</v>
      </c>
      <c r="AS22" s="44">
        <f>AM22+AN22</f>
        <v>0</v>
      </c>
      <c r="AT22" s="44">
        <f>G22/(100-AU22)*100</f>
        <v>0</v>
      </c>
      <c r="AU22" s="44">
        <v>0</v>
      </c>
      <c r="AV22" s="44">
        <f>L22</f>
        <v>0.068896</v>
      </c>
    </row>
    <row r="23" spans="1:37" ht="12.75">
      <c r="A23" s="3"/>
      <c r="B23" s="8"/>
      <c r="C23" s="8" t="s">
        <v>69</v>
      </c>
      <c r="D23" s="79" t="s">
        <v>117</v>
      </c>
      <c r="E23" s="80"/>
      <c r="F23" s="80"/>
      <c r="G23" s="80"/>
      <c r="H23" s="40">
        <f>SUM(H24:H28)</f>
        <v>0</v>
      </c>
      <c r="I23" s="40">
        <f>SUM(I24:I28)</f>
        <v>0</v>
      </c>
      <c r="J23" s="40">
        <f>H23+I23</f>
        <v>0</v>
      </c>
      <c r="K23" s="37"/>
      <c r="L23" s="40">
        <f>SUM(L24:L28)</f>
        <v>4.305</v>
      </c>
      <c r="M23" s="37"/>
      <c r="Y23" s="37"/>
      <c r="AI23" s="40">
        <f>SUM(Z24:Z28)</f>
        <v>0</v>
      </c>
      <c r="AJ23" s="40">
        <f>SUM(AA24:AA28)</f>
        <v>0</v>
      </c>
      <c r="AK23" s="40">
        <f>SUM(AB24:AB28)</f>
        <v>0</v>
      </c>
    </row>
    <row r="24" spans="1:48" ht="38.25">
      <c r="A24" s="2" t="s">
        <v>14</v>
      </c>
      <c r="B24" s="2"/>
      <c r="C24" s="2"/>
      <c r="D24" s="30" t="s">
        <v>424</v>
      </c>
      <c r="E24" s="2" t="s">
        <v>203</v>
      </c>
      <c r="F24" s="10">
        <v>24</v>
      </c>
      <c r="G24" s="42">
        <v>0</v>
      </c>
      <c r="H24" s="41">
        <f>F24*AE24</f>
        <v>0</v>
      </c>
      <c r="I24" s="41">
        <f>J24-H24</f>
        <v>0</v>
      </c>
      <c r="J24" s="41">
        <f>F24*G24</f>
        <v>0</v>
      </c>
      <c r="K24" s="41">
        <v>0.105</v>
      </c>
      <c r="L24" s="41">
        <f>F24*K24</f>
        <v>2.52</v>
      </c>
      <c r="M24" s="43"/>
      <c r="P24" s="44">
        <f>IF(AG24="5",J24,0)</f>
        <v>0</v>
      </c>
      <c r="R24" s="44">
        <f>IF(AG24="1",H24,0)</f>
        <v>0</v>
      </c>
      <c r="S24" s="44">
        <f>IF(AG24="1",I24,0)</f>
        <v>0</v>
      </c>
      <c r="T24" s="44">
        <f>IF(AG24="7",H24,0)</f>
        <v>0</v>
      </c>
      <c r="U24" s="44">
        <f>IF(AG24="7",I24,0)</f>
        <v>0</v>
      </c>
      <c r="V24" s="44">
        <f>IF(AG24="2",H24,0)</f>
        <v>0</v>
      </c>
      <c r="W24" s="44">
        <f>IF(AG24="2",I24,0)</f>
        <v>0</v>
      </c>
      <c r="X24" s="44">
        <f>IF(AG24="0",J24,0)</f>
        <v>0</v>
      </c>
      <c r="Y24" s="37"/>
      <c r="Z24" s="41">
        <f>IF(AD24=0,J24,0)</f>
        <v>0</v>
      </c>
      <c r="AA24" s="41">
        <f>IF(AD24=15,J24,0)</f>
        <v>0</v>
      </c>
      <c r="AB24" s="41">
        <f>IF(AD24=21,J24,0)</f>
        <v>0</v>
      </c>
      <c r="AD24" s="44">
        <v>21</v>
      </c>
      <c r="AE24" s="44">
        <f>G24*0.95283926852743</f>
        <v>0</v>
      </c>
      <c r="AF24" s="44">
        <f>G24*(1-0.95283926852743)</f>
        <v>0</v>
      </c>
      <c r="AG24" s="43" t="s">
        <v>6</v>
      </c>
      <c r="AM24" s="44">
        <f>F24*AE24</f>
        <v>0</v>
      </c>
      <c r="AN24" s="44">
        <f>F24*AF24</f>
        <v>0</v>
      </c>
      <c r="AO24" s="45" t="s">
        <v>235</v>
      </c>
      <c r="AP24" s="45" t="s">
        <v>251</v>
      </c>
      <c r="AQ24" s="37" t="s">
        <v>255</v>
      </c>
      <c r="AS24" s="44">
        <f>AM24+AN24</f>
        <v>0</v>
      </c>
      <c r="AT24" s="44">
        <f>G24/(100-AU24)*100</f>
        <v>0</v>
      </c>
      <c r="AU24" s="44">
        <v>0</v>
      </c>
      <c r="AV24" s="44">
        <f>L24</f>
        <v>2.52</v>
      </c>
    </row>
    <row r="25" spans="1:48" ht="38.25">
      <c r="A25" s="2" t="s">
        <v>15</v>
      </c>
      <c r="B25" s="2"/>
      <c r="C25" s="2"/>
      <c r="D25" s="30" t="s">
        <v>425</v>
      </c>
      <c r="E25" s="2" t="s">
        <v>203</v>
      </c>
      <c r="F25" s="10">
        <v>4</v>
      </c>
      <c r="G25" s="42">
        <v>0</v>
      </c>
      <c r="H25" s="41">
        <f>F25*AE25</f>
        <v>0</v>
      </c>
      <c r="I25" s="41">
        <f>J25-H25</f>
        <v>0</v>
      </c>
      <c r="J25" s="41">
        <f>F25*G25</f>
        <v>0</v>
      </c>
      <c r="K25" s="41">
        <v>0.105</v>
      </c>
      <c r="L25" s="41">
        <f>F25*K25</f>
        <v>0.42</v>
      </c>
      <c r="M25" s="43"/>
      <c r="P25" s="44">
        <f>IF(AG25="5",J25,0)</f>
        <v>0</v>
      </c>
      <c r="R25" s="44">
        <f>IF(AG25="1",H25,0)</f>
        <v>0</v>
      </c>
      <c r="S25" s="44">
        <f>IF(AG25="1",I25,0)</f>
        <v>0</v>
      </c>
      <c r="T25" s="44">
        <f>IF(AG25="7",H25,0)</f>
        <v>0</v>
      </c>
      <c r="U25" s="44">
        <f>IF(AG25="7",I25,0)</f>
        <v>0</v>
      </c>
      <c r="V25" s="44">
        <f>IF(AG25="2",H25,0)</f>
        <v>0</v>
      </c>
      <c r="W25" s="44">
        <f>IF(AG25="2",I25,0)</f>
        <v>0</v>
      </c>
      <c r="X25" s="44">
        <f>IF(AG25="0",J25,0)</f>
        <v>0</v>
      </c>
      <c r="Y25" s="37"/>
      <c r="Z25" s="41">
        <f>IF(AD25=0,J25,0)</f>
        <v>0</v>
      </c>
      <c r="AA25" s="41">
        <f>IF(AD25=15,J25,0)</f>
        <v>0</v>
      </c>
      <c r="AB25" s="41">
        <f>IF(AD25=21,J25,0)</f>
        <v>0</v>
      </c>
      <c r="AD25" s="44">
        <v>21</v>
      </c>
      <c r="AE25" s="44">
        <f>G25*0.95843935538592</f>
        <v>0</v>
      </c>
      <c r="AF25" s="44">
        <f>G25*(1-0.95843935538592)</f>
        <v>0</v>
      </c>
      <c r="AG25" s="43" t="s">
        <v>6</v>
      </c>
      <c r="AM25" s="44">
        <f>F25*AE25</f>
        <v>0</v>
      </c>
      <c r="AN25" s="44">
        <f>F25*AF25</f>
        <v>0</v>
      </c>
      <c r="AO25" s="45" t="s">
        <v>235</v>
      </c>
      <c r="AP25" s="45" t="s">
        <v>251</v>
      </c>
      <c r="AQ25" s="37" t="s">
        <v>255</v>
      </c>
      <c r="AS25" s="44">
        <f>AM25+AN25</f>
        <v>0</v>
      </c>
      <c r="AT25" s="44">
        <f>G25/(100-AU25)*100</f>
        <v>0</v>
      </c>
      <c r="AU25" s="44">
        <v>0</v>
      </c>
      <c r="AV25" s="44">
        <f>L25</f>
        <v>0.42</v>
      </c>
    </row>
    <row r="26" spans="1:48" ht="38.25">
      <c r="A26" s="2" t="s">
        <v>16</v>
      </c>
      <c r="B26" s="2"/>
      <c r="C26" s="2"/>
      <c r="D26" s="30" t="s">
        <v>426</v>
      </c>
      <c r="E26" s="2" t="s">
        <v>203</v>
      </c>
      <c r="F26" s="10">
        <v>7</v>
      </c>
      <c r="G26" s="42">
        <v>0</v>
      </c>
      <c r="H26" s="41">
        <f>F26*AE26</f>
        <v>0</v>
      </c>
      <c r="I26" s="41">
        <f>J26-H26</f>
        <v>0</v>
      </c>
      <c r="J26" s="41">
        <f>F26*G26</f>
        <v>0</v>
      </c>
      <c r="K26" s="41">
        <v>0.105</v>
      </c>
      <c r="L26" s="41">
        <f>F26*K26</f>
        <v>0.735</v>
      </c>
      <c r="M26" s="43"/>
      <c r="P26" s="44">
        <f>IF(AG26="5",J26,0)</f>
        <v>0</v>
      </c>
      <c r="R26" s="44">
        <f>IF(AG26="1",H26,0)</f>
        <v>0</v>
      </c>
      <c r="S26" s="44">
        <f>IF(AG26="1",I26,0)</f>
        <v>0</v>
      </c>
      <c r="T26" s="44">
        <f>IF(AG26="7",H26,0)</f>
        <v>0</v>
      </c>
      <c r="U26" s="44">
        <f>IF(AG26="7",I26,0)</f>
        <v>0</v>
      </c>
      <c r="V26" s="44">
        <f>IF(AG26="2",H26,0)</f>
        <v>0</v>
      </c>
      <c r="W26" s="44">
        <f>IF(AG26="2",I26,0)</f>
        <v>0</v>
      </c>
      <c r="X26" s="44">
        <f>IF(AG26="0",J26,0)</f>
        <v>0</v>
      </c>
      <c r="Y26" s="37"/>
      <c r="Z26" s="41">
        <f>IF(AD26=0,J26,0)</f>
        <v>0</v>
      </c>
      <c r="AA26" s="41">
        <f>IF(AD26=15,J26,0)</f>
        <v>0</v>
      </c>
      <c r="AB26" s="41">
        <f>IF(AD26=21,J26,0)</f>
        <v>0</v>
      </c>
      <c r="AD26" s="44">
        <v>21</v>
      </c>
      <c r="AE26" s="44">
        <f>G26*0.956979806848112</f>
        <v>0</v>
      </c>
      <c r="AF26" s="44">
        <f>G26*(1-0.956979806848112)</f>
        <v>0</v>
      </c>
      <c r="AG26" s="43" t="s">
        <v>6</v>
      </c>
      <c r="AM26" s="44">
        <f>F26*AE26</f>
        <v>0</v>
      </c>
      <c r="AN26" s="44">
        <f>F26*AF26</f>
        <v>0</v>
      </c>
      <c r="AO26" s="45" t="s">
        <v>235</v>
      </c>
      <c r="AP26" s="45" t="s">
        <v>251</v>
      </c>
      <c r="AQ26" s="37" t="s">
        <v>255</v>
      </c>
      <c r="AS26" s="44">
        <f>AM26+AN26</f>
        <v>0</v>
      </c>
      <c r="AT26" s="44">
        <f>G26/(100-AU26)*100</f>
        <v>0</v>
      </c>
      <c r="AU26" s="44">
        <v>0</v>
      </c>
      <c r="AV26" s="44">
        <f>L26</f>
        <v>0.735</v>
      </c>
    </row>
    <row r="27" spans="1:48" ht="38.25">
      <c r="A27" s="2" t="s">
        <v>17</v>
      </c>
      <c r="B27" s="2"/>
      <c r="C27" s="2"/>
      <c r="D27" s="30" t="s">
        <v>427</v>
      </c>
      <c r="E27" s="2" t="s">
        <v>203</v>
      </c>
      <c r="F27" s="10">
        <v>4</v>
      </c>
      <c r="G27" s="42">
        <v>0</v>
      </c>
      <c r="H27" s="41">
        <f>F27*AE27</f>
        <v>0</v>
      </c>
      <c r="I27" s="41">
        <f>J27-H27</f>
        <v>0</v>
      </c>
      <c r="J27" s="41">
        <f>F27*G27</f>
        <v>0</v>
      </c>
      <c r="K27" s="41">
        <v>0.045</v>
      </c>
      <c r="L27" s="41">
        <f>F27*K27</f>
        <v>0.18</v>
      </c>
      <c r="M27" s="43"/>
      <c r="P27" s="44">
        <f>IF(AG27="5",J27,0)</f>
        <v>0</v>
      </c>
      <c r="R27" s="44">
        <f>IF(AG27="1",H27,0)</f>
        <v>0</v>
      </c>
      <c r="S27" s="44">
        <f>IF(AG27="1",I27,0)</f>
        <v>0</v>
      </c>
      <c r="T27" s="44">
        <f>IF(AG27="7",H27,0)</f>
        <v>0</v>
      </c>
      <c r="U27" s="44">
        <f>IF(AG27="7",I27,0)</f>
        <v>0</v>
      </c>
      <c r="V27" s="44">
        <f>IF(AG27="2",H27,0)</f>
        <v>0</v>
      </c>
      <c r="W27" s="44">
        <f>IF(AG27="2",I27,0)</f>
        <v>0</v>
      </c>
      <c r="X27" s="44">
        <f>IF(AG27="0",J27,0)</f>
        <v>0</v>
      </c>
      <c r="Y27" s="37"/>
      <c r="Z27" s="41">
        <f>IF(AD27=0,J27,0)</f>
        <v>0</v>
      </c>
      <c r="AA27" s="41">
        <f>IF(AD27=15,J27,0)</f>
        <v>0</v>
      </c>
      <c r="AB27" s="41">
        <f>IF(AD27=21,J27,0)</f>
        <v>0</v>
      </c>
      <c r="AD27" s="44">
        <v>21</v>
      </c>
      <c r="AE27" s="44">
        <f>G27*0.901060070671378</f>
        <v>0</v>
      </c>
      <c r="AF27" s="44">
        <f>G27*(1-0.901060070671378)</f>
        <v>0</v>
      </c>
      <c r="AG27" s="43" t="s">
        <v>6</v>
      </c>
      <c r="AM27" s="44">
        <f>F27*AE27</f>
        <v>0</v>
      </c>
      <c r="AN27" s="44">
        <f>F27*AF27</f>
        <v>0</v>
      </c>
      <c r="AO27" s="45" t="s">
        <v>235</v>
      </c>
      <c r="AP27" s="45" t="s">
        <v>251</v>
      </c>
      <c r="AQ27" s="37" t="s">
        <v>255</v>
      </c>
      <c r="AS27" s="44">
        <f>AM27+AN27</f>
        <v>0</v>
      </c>
      <c r="AT27" s="44">
        <f>G27/(100-AU27)*100</f>
        <v>0</v>
      </c>
      <c r="AU27" s="44">
        <v>0</v>
      </c>
      <c r="AV27" s="44">
        <f>L27</f>
        <v>0.18</v>
      </c>
    </row>
    <row r="28" spans="1:48" ht="25.5">
      <c r="A28" s="2" t="s">
        <v>18</v>
      </c>
      <c r="B28" s="2"/>
      <c r="C28" s="2"/>
      <c r="D28" s="32" t="s">
        <v>428</v>
      </c>
      <c r="E28" s="2" t="s">
        <v>203</v>
      </c>
      <c r="F28" s="10">
        <v>1</v>
      </c>
      <c r="G28" s="42">
        <v>0</v>
      </c>
      <c r="H28" s="41">
        <f>F28*AE28</f>
        <v>0</v>
      </c>
      <c r="I28" s="41">
        <f>J28-H28</f>
        <v>0</v>
      </c>
      <c r="J28" s="41">
        <f>F28*G28</f>
        <v>0</v>
      </c>
      <c r="K28" s="41">
        <v>0.45</v>
      </c>
      <c r="L28" s="41">
        <f>F28*K28</f>
        <v>0.45</v>
      </c>
      <c r="M28" s="43"/>
      <c r="P28" s="44">
        <f>IF(AG28="5",J28,0)</f>
        <v>0</v>
      </c>
      <c r="R28" s="44">
        <f>IF(AG28="1",H28,0)</f>
        <v>0</v>
      </c>
      <c r="S28" s="44">
        <f>IF(AG28="1",I28,0)</f>
        <v>0</v>
      </c>
      <c r="T28" s="44">
        <f>IF(AG28="7",H28,0)</f>
        <v>0</v>
      </c>
      <c r="U28" s="44">
        <f>IF(AG28="7",I28,0)</f>
        <v>0</v>
      </c>
      <c r="V28" s="44">
        <f>IF(AG28="2",H28,0)</f>
        <v>0</v>
      </c>
      <c r="W28" s="44">
        <f>IF(AG28="2",I28,0)</f>
        <v>0</v>
      </c>
      <c r="X28" s="44">
        <f>IF(AG28="0",J28,0)</f>
        <v>0</v>
      </c>
      <c r="Y28" s="37"/>
      <c r="Z28" s="41">
        <f>IF(AD28=0,J28,0)</f>
        <v>0</v>
      </c>
      <c r="AA28" s="41">
        <f>IF(AD28=15,J28,0)</f>
        <v>0</v>
      </c>
      <c r="AB28" s="41">
        <f>IF(AD28=21,J28,0)</f>
        <v>0</v>
      </c>
      <c r="AD28" s="44">
        <v>21</v>
      </c>
      <c r="AE28" s="44">
        <f>G28*0.970396757155141</f>
        <v>0</v>
      </c>
      <c r="AF28" s="44">
        <f>G28*(1-0.970396757155141)</f>
        <v>0</v>
      </c>
      <c r="AG28" s="43" t="s">
        <v>6</v>
      </c>
      <c r="AM28" s="44">
        <f>F28*AE28</f>
        <v>0</v>
      </c>
      <c r="AN28" s="44">
        <f>F28*AF28</f>
        <v>0</v>
      </c>
      <c r="AO28" s="45" t="s">
        <v>235</v>
      </c>
      <c r="AP28" s="45" t="s">
        <v>251</v>
      </c>
      <c r="AQ28" s="37" t="s">
        <v>255</v>
      </c>
      <c r="AS28" s="44">
        <f>AM28+AN28</f>
        <v>0</v>
      </c>
      <c r="AT28" s="44">
        <f>G28/(100-AU28)*100</f>
        <v>0</v>
      </c>
      <c r="AU28" s="44">
        <v>0</v>
      </c>
      <c r="AV28" s="44">
        <f>L28</f>
        <v>0.45</v>
      </c>
    </row>
    <row r="29" spans="1:37" ht="12.75">
      <c r="A29" s="3"/>
      <c r="B29" s="8"/>
      <c r="C29" s="8" t="s">
        <v>90</v>
      </c>
      <c r="D29" s="79" t="s">
        <v>118</v>
      </c>
      <c r="E29" s="80"/>
      <c r="F29" s="80"/>
      <c r="G29" s="80"/>
      <c r="H29" s="40">
        <f>SUM(H30:H39)</f>
        <v>0</v>
      </c>
      <c r="I29" s="40">
        <f>SUM(I30:I39)</f>
        <v>0</v>
      </c>
      <c r="J29" s="40">
        <f>H29+I29</f>
        <v>0</v>
      </c>
      <c r="K29" s="37"/>
      <c r="L29" s="40">
        <f>SUM(L30:L39)</f>
        <v>1.552002</v>
      </c>
      <c r="M29" s="37"/>
      <c r="Y29" s="37"/>
      <c r="AI29" s="40">
        <f>SUM(Z30:Z39)</f>
        <v>0</v>
      </c>
      <c r="AJ29" s="40">
        <f>SUM(AA30:AA39)</f>
        <v>0</v>
      </c>
      <c r="AK29" s="40">
        <f>SUM(AB30:AB39)</f>
        <v>0</v>
      </c>
    </row>
    <row r="30" spans="1:48" ht="25.5">
      <c r="A30" s="2" t="s">
        <v>19</v>
      </c>
      <c r="B30" s="2"/>
      <c r="C30" s="2"/>
      <c r="D30" s="28" t="s">
        <v>119</v>
      </c>
      <c r="E30" s="2" t="s">
        <v>204</v>
      </c>
      <c r="F30" s="10">
        <v>47.1</v>
      </c>
      <c r="G30" s="42">
        <v>0</v>
      </c>
      <c r="H30" s="41">
        <f aca="true" t="shared" si="0" ref="H30:H39">F30*AE30</f>
        <v>0</v>
      </c>
      <c r="I30" s="41">
        <f aca="true" t="shared" si="1" ref="I30:I39">J30-H30</f>
        <v>0</v>
      </c>
      <c r="J30" s="41">
        <f aca="true" t="shared" si="2" ref="J30:J39">F30*G30</f>
        <v>0</v>
      </c>
      <c r="K30" s="41">
        <v>0.00284</v>
      </c>
      <c r="L30" s="41">
        <f aca="true" t="shared" si="3" ref="L30:L39">F30*K30</f>
        <v>0.133764</v>
      </c>
      <c r="M30" s="43"/>
      <c r="P30" s="44">
        <f aca="true" t="shared" si="4" ref="P30:P39">IF(AG30="5",J30,0)</f>
        <v>0</v>
      </c>
      <c r="R30" s="44">
        <f aca="true" t="shared" si="5" ref="R30:R39">IF(AG30="1",H30,0)</f>
        <v>0</v>
      </c>
      <c r="S30" s="44">
        <f aca="true" t="shared" si="6" ref="S30:S39">IF(AG30="1",I30,0)</f>
        <v>0</v>
      </c>
      <c r="T30" s="44">
        <f aca="true" t="shared" si="7" ref="T30:T39">IF(AG30="7",H30,0)</f>
        <v>0</v>
      </c>
      <c r="U30" s="44">
        <f aca="true" t="shared" si="8" ref="U30:U39">IF(AG30="7",I30,0)</f>
        <v>0</v>
      </c>
      <c r="V30" s="44">
        <f aca="true" t="shared" si="9" ref="V30:V39">IF(AG30="2",H30,0)</f>
        <v>0</v>
      </c>
      <c r="W30" s="44">
        <f aca="true" t="shared" si="10" ref="W30:W39">IF(AG30="2",I30,0)</f>
        <v>0</v>
      </c>
      <c r="X30" s="44">
        <f aca="true" t="shared" si="11" ref="X30:X39">IF(AG30="0",J30,0)</f>
        <v>0</v>
      </c>
      <c r="Y30" s="37"/>
      <c r="Z30" s="41">
        <f aca="true" t="shared" si="12" ref="Z30:Z39">IF(AD30=0,J30,0)</f>
        <v>0</v>
      </c>
      <c r="AA30" s="41">
        <f aca="true" t="shared" si="13" ref="AA30:AA39">IF(AD30=15,J30,0)</f>
        <v>0</v>
      </c>
      <c r="AB30" s="41">
        <f aca="true" t="shared" si="14" ref="AB30:AB39">IF(AD30=21,J30,0)</f>
        <v>0</v>
      </c>
      <c r="AD30" s="44">
        <v>21</v>
      </c>
      <c r="AE30" s="44">
        <f>G30*0.284707135250266</f>
        <v>0</v>
      </c>
      <c r="AF30" s="44">
        <f>G30*(1-0.284707135250266)</f>
        <v>0</v>
      </c>
      <c r="AG30" s="43" t="s">
        <v>12</v>
      </c>
      <c r="AM30" s="44">
        <f aca="true" t="shared" si="15" ref="AM30:AM39">F30*AE30</f>
        <v>0</v>
      </c>
      <c r="AN30" s="44">
        <f aca="true" t="shared" si="16" ref="AN30:AN39">F30*AF30</f>
        <v>0</v>
      </c>
      <c r="AO30" s="45" t="s">
        <v>236</v>
      </c>
      <c r="AP30" s="45" t="s">
        <v>252</v>
      </c>
      <c r="AQ30" s="37" t="s">
        <v>255</v>
      </c>
      <c r="AS30" s="44">
        <f aca="true" t="shared" si="17" ref="AS30:AS39">AM30+AN30</f>
        <v>0</v>
      </c>
      <c r="AT30" s="44">
        <f aca="true" t="shared" si="18" ref="AT30:AT39">G30/(100-AU30)*100</f>
        <v>0</v>
      </c>
      <c r="AU30" s="44">
        <v>0</v>
      </c>
      <c r="AV30" s="44">
        <f aca="true" t="shared" si="19" ref="AV30:AV39">L30</f>
        <v>0.133764</v>
      </c>
    </row>
    <row r="31" spans="1:48" ht="25.5">
      <c r="A31" s="2" t="s">
        <v>20</v>
      </c>
      <c r="B31" s="2"/>
      <c r="C31" s="2"/>
      <c r="D31" s="28" t="s">
        <v>120</v>
      </c>
      <c r="E31" s="2" t="s">
        <v>204</v>
      </c>
      <c r="F31" s="10">
        <v>31.2</v>
      </c>
      <c r="G31" s="42">
        <v>0</v>
      </c>
      <c r="H31" s="41">
        <f t="shared" si="0"/>
        <v>0</v>
      </c>
      <c r="I31" s="41">
        <f t="shared" si="1"/>
        <v>0</v>
      </c>
      <c r="J31" s="41">
        <f t="shared" si="2"/>
        <v>0</v>
      </c>
      <c r="K31" s="41">
        <v>0.00436</v>
      </c>
      <c r="L31" s="41">
        <f t="shared" si="3"/>
        <v>0.13603200000000001</v>
      </c>
      <c r="M31" s="43"/>
      <c r="P31" s="44">
        <f t="shared" si="4"/>
        <v>0</v>
      </c>
      <c r="R31" s="44">
        <f t="shared" si="5"/>
        <v>0</v>
      </c>
      <c r="S31" s="44">
        <f t="shared" si="6"/>
        <v>0</v>
      </c>
      <c r="T31" s="44">
        <f t="shared" si="7"/>
        <v>0</v>
      </c>
      <c r="U31" s="44">
        <f t="shared" si="8"/>
        <v>0</v>
      </c>
      <c r="V31" s="44">
        <f t="shared" si="9"/>
        <v>0</v>
      </c>
      <c r="W31" s="44">
        <f t="shared" si="10"/>
        <v>0</v>
      </c>
      <c r="X31" s="44">
        <f t="shared" si="11"/>
        <v>0</v>
      </c>
      <c r="Y31" s="37"/>
      <c r="Z31" s="41">
        <f t="shared" si="12"/>
        <v>0</v>
      </c>
      <c r="AA31" s="41">
        <f t="shared" si="13"/>
        <v>0</v>
      </c>
      <c r="AB31" s="41">
        <f t="shared" si="14"/>
        <v>0</v>
      </c>
      <c r="AD31" s="44">
        <v>21</v>
      </c>
      <c r="AE31" s="44">
        <f>G31*0.359770752449621</f>
        <v>0</v>
      </c>
      <c r="AF31" s="44">
        <f>G31*(1-0.359770752449621)</f>
        <v>0</v>
      </c>
      <c r="AG31" s="43" t="s">
        <v>12</v>
      </c>
      <c r="AM31" s="44">
        <f t="shared" si="15"/>
        <v>0</v>
      </c>
      <c r="AN31" s="44">
        <f t="shared" si="16"/>
        <v>0</v>
      </c>
      <c r="AO31" s="45" t="s">
        <v>236</v>
      </c>
      <c r="AP31" s="45" t="s">
        <v>252</v>
      </c>
      <c r="AQ31" s="37" t="s">
        <v>255</v>
      </c>
      <c r="AS31" s="44">
        <f t="shared" si="17"/>
        <v>0</v>
      </c>
      <c r="AT31" s="44">
        <f t="shared" si="18"/>
        <v>0</v>
      </c>
      <c r="AU31" s="44">
        <v>0</v>
      </c>
      <c r="AV31" s="44">
        <f t="shared" si="19"/>
        <v>0.13603200000000001</v>
      </c>
    </row>
    <row r="32" spans="1:48" ht="12.75">
      <c r="A32" s="2" t="s">
        <v>21</v>
      </c>
      <c r="B32" s="2"/>
      <c r="C32" s="2"/>
      <c r="D32" s="28" t="s">
        <v>121</v>
      </c>
      <c r="E32" s="2" t="s">
        <v>204</v>
      </c>
      <c r="F32" s="10">
        <v>78.3</v>
      </c>
      <c r="G32" s="42">
        <v>0</v>
      </c>
      <c r="H32" s="41">
        <f t="shared" si="0"/>
        <v>0</v>
      </c>
      <c r="I32" s="41">
        <f t="shared" si="1"/>
        <v>0</v>
      </c>
      <c r="J32" s="41">
        <f t="shared" si="2"/>
        <v>0</v>
      </c>
      <c r="K32" s="41">
        <v>0.00287</v>
      </c>
      <c r="L32" s="41">
        <f t="shared" si="3"/>
        <v>0.224721</v>
      </c>
      <c r="M32" s="43"/>
      <c r="P32" s="44">
        <f t="shared" si="4"/>
        <v>0</v>
      </c>
      <c r="R32" s="44">
        <f t="shared" si="5"/>
        <v>0</v>
      </c>
      <c r="S32" s="44">
        <f t="shared" si="6"/>
        <v>0</v>
      </c>
      <c r="T32" s="44">
        <f t="shared" si="7"/>
        <v>0</v>
      </c>
      <c r="U32" s="44">
        <f t="shared" si="8"/>
        <v>0</v>
      </c>
      <c r="V32" s="44">
        <f t="shared" si="9"/>
        <v>0</v>
      </c>
      <c r="W32" s="44">
        <f t="shared" si="10"/>
        <v>0</v>
      </c>
      <c r="X32" s="44">
        <f t="shared" si="11"/>
        <v>0</v>
      </c>
      <c r="Y32" s="37"/>
      <c r="Z32" s="41">
        <f t="shared" si="12"/>
        <v>0</v>
      </c>
      <c r="AA32" s="41">
        <f t="shared" si="13"/>
        <v>0</v>
      </c>
      <c r="AB32" s="41">
        <f t="shared" si="14"/>
        <v>0</v>
      </c>
      <c r="AD32" s="44">
        <v>21</v>
      </c>
      <c r="AE32" s="44">
        <f>G32*0</f>
        <v>0</v>
      </c>
      <c r="AF32" s="44">
        <f>G32*(1-0)</f>
        <v>0</v>
      </c>
      <c r="AG32" s="43" t="s">
        <v>12</v>
      </c>
      <c r="AM32" s="44">
        <f t="shared" si="15"/>
        <v>0</v>
      </c>
      <c r="AN32" s="44">
        <f t="shared" si="16"/>
        <v>0</v>
      </c>
      <c r="AO32" s="45" t="s">
        <v>236</v>
      </c>
      <c r="AP32" s="45" t="s">
        <v>252</v>
      </c>
      <c r="AQ32" s="37" t="s">
        <v>255</v>
      </c>
      <c r="AS32" s="44">
        <f t="shared" si="17"/>
        <v>0</v>
      </c>
      <c r="AT32" s="44">
        <f t="shared" si="18"/>
        <v>0</v>
      </c>
      <c r="AU32" s="44">
        <v>0</v>
      </c>
      <c r="AV32" s="44">
        <f t="shared" si="19"/>
        <v>0.224721</v>
      </c>
    </row>
    <row r="33" spans="1:48" ht="12.75">
      <c r="A33" s="2" t="s">
        <v>22</v>
      </c>
      <c r="B33" s="2"/>
      <c r="C33" s="2"/>
      <c r="D33" s="28" t="s">
        <v>122</v>
      </c>
      <c r="E33" s="2" t="s">
        <v>204</v>
      </c>
      <c r="F33" s="10">
        <v>42.3</v>
      </c>
      <c r="G33" s="42">
        <v>0</v>
      </c>
      <c r="H33" s="41">
        <f t="shared" si="0"/>
        <v>0</v>
      </c>
      <c r="I33" s="41">
        <f t="shared" si="1"/>
        <v>0</v>
      </c>
      <c r="J33" s="41">
        <f t="shared" si="2"/>
        <v>0</v>
      </c>
      <c r="K33" s="41">
        <v>0.00207</v>
      </c>
      <c r="L33" s="41">
        <f t="shared" si="3"/>
        <v>0.08756099999999999</v>
      </c>
      <c r="M33" s="43"/>
      <c r="P33" s="44">
        <f t="shared" si="4"/>
        <v>0</v>
      </c>
      <c r="R33" s="44">
        <f t="shared" si="5"/>
        <v>0</v>
      </c>
      <c r="S33" s="44">
        <f t="shared" si="6"/>
        <v>0</v>
      </c>
      <c r="T33" s="44">
        <f t="shared" si="7"/>
        <v>0</v>
      </c>
      <c r="U33" s="44">
        <f t="shared" si="8"/>
        <v>0</v>
      </c>
      <c r="V33" s="44">
        <f t="shared" si="9"/>
        <v>0</v>
      </c>
      <c r="W33" s="44">
        <f t="shared" si="10"/>
        <v>0</v>
      </c>
      <c r="X33" s="44">
        <f t="shared" si="11"/>
        <v>0</v>
      </c>
      <c r="Y33" s="37"/>
      <c r="Z33" s="41">
        <f t="shared" si="12"/>
        <v>0</v>
      </c>
      <c r="AA33" s="41">
        <f t="shared" si="13"/>
        <v>0</v>
      </c>
      <c r="AB33" s="41">
        <f t="shared" si="14"/>
        <v>0</v>
      </c>
      <c r="AD33" s="44">
        <v>21</v>
      </c>
      <c r="AE33" s="44">
        <f>G33*0.298067234588257</f>
        <v>0</v>
      </c>
      <c r="AF33" s="44">
        <f>G33*(1-0.298067234588257)</f>
        <v>0</v>
      </c>
      <c r="AG33" s="43" t="s">
        <v>12</v>
      </c>
      <c r="AM33" s="44">
        <f t="shared" si="15"/>
        <v>0</v>
      </c>
      <c r="AN33" s="44">
        <f t="shared" si="16"/>
        <v>0</v>
      </c>
      <c r="AO33" s="45" t="s">
        <v>236</v>
      </c>
      <c r="AP33" s="45" t="s">
        <v>252</v>
      </c>
      <c r="AQ33" s="37" t="s">
        <v>255</v>
      </c>
      <c r="AS33" s="44">
        <f t="shared" si="17"/>
        <v>0</v>
      </c>
      <c r="AT33" s="44">
        <f t="shared" si="18"/>
        <v>0</v>
      </c>
      <c r="AU33" s="44">
        <v>0</v>
      </c>
      <c r="AV33" s="44">
        <f t="shared" si="19"/>
        <v>0.08756099999999999</v>
      </c>
    </row>
    <row r="34" spans="1:48" ht="12.75">
      <c r="A34" s="2" t="s">
        <v>23</v>
      </c>
      <c r="B34" s="2"/>
      <c r="C34" s="2"/>
      <c r="D34" s="28" t="s">
        <v>123</v>
      </c>
      <c r="E34" s="2" t="s">
        <v>204</v>
      </c>
      <c r="F34" s="10">
        <v>74.5</v>
      </c>
      <c r="G34" s="42">
        <v>0</v>
      </c>
      <c r="H34" s="41">
        <f t="shared" si="0"/>
        <v>0</v>
      </c>
      <c r="I34" s="41">
        <f t="shared" si="1"/>
        <v>0</v>
      </c>
      <c r="J34" s="41">
        <f t="shared" si="2"/>
        <v>0</v>
      </c>
      <c r="K34" s="41">
        <v>0.00429</v>
      </c>
      <c r="L34" s="41">
        <f t="shared" si="3"/>
        <v>0.31960500000000003</v>
      </c>
      <c r="M34" s="43"/>
      <c r="P34" s="44">
        <f t="shared" si="4"/>
        <v>0</v>
      </c>
      <c r="R34" s="44">
        <f t="shared" si="5"/>
        <v>0</v>
      </c>
      <c r="S34" s="44">
        <f t="shared" si="6"/>
        <v>0</v>
      </c>
      <c r="T34" s="44">
        <f t="shared" si="7"/>
        <v>0</v>
      </c>
      <c r="U34" s="44">
        <f t="shared" si="8"/>
        <v>0</v>
      </c>
      <c r="V34" s="44">
        <f t="shared" si="9"/>
        <v>0</v>
      </c>
      <c r="W34" s="44">
        <f t="shared" si="10"/>
        <v>0</v>
      </c>
      <c r="X34" s="44">
        <f t="shared" si="11"/>
        <v>0</v>
      </c>
      <c r="Y34" s="37"/>
      <c r="Z34" s="41">
        <f t="shared" si="12"/>
        <v>0</v>
      </c>
      <c r="AA34" s="41">
        <f t="shared" si="13"/>
        <v>0</v>
      </c>
      <c r="AB34" s="41">
        <f t="shared" si="14"/>
        <v>0</v>
      </c>
      <c r="AD34" s="44">
        <v>21</v>
      </c>
      <c r="AE34" s="44">
        <f>G34*0.410067127305656</f>
        <v>0</v>
      </c>
      <c r="AF34" s="44">
        <f>G34*(1-0.410067127305656)</f>
        <v>0</v>
      </c>
      <c r="AG34" s="43" t="s">
        <v>12</v>
      </c>
      <c r="AM34" s="44">
        <f t="shared" si="15"/>
        <v>0</v>
      </c>
      <c r="AN34" s="44">
        <f t="shared" si="16"/>
        <v>0</v>
      </c>
      <c r="AO34" s="45" t="s">
        <v>236</v>
      </c>
      <c r="AP34" s="45" t="s">
        <v>252</v>
      </c>
      <c r="AQ34" s="37" t="s">
        <v>255</v>
      </c>
      <c r="AS34" s="44">
        <f t="shared" si="17"/>
        <v>0</v>
      </c>
      <c r="AT34" s="44">
        <f t="shared" si="18"/>
        <v>0</v>
      </c>
      <c r="AU34" s="44">
        <v>0</v>
      </c>
      <c r="AV34" s="44">
        <f t="shared" si="19"/>
        <v>0.31960500000000003</v>
      </c>
    </row>
    <row r="35" spans="1:48" ht="12.75">
      <c r="A35" s="2" t="s">
        <v>24</v>
      </c>
      <c r="B35" s="2"/>
      <c r="C35" s="2"/>
      <c r="D35" s="28" t="s">
        <v>124</v>
      </c>
      <c r="E35" s="2" t="s">
        <v>204</v>
      </c>
      <c r="F35" s="10">
        <v>116.8</v>
      </c>
      <c r="G35" s="42">
        <v>0</v>
      </c>
      <c r="H35" s="41">
        <f t="shared" si="0"/>
        <v>0</v>
      </c>
      <c r="I35" s="41">
        <f t="shared" si="1"/>
        <v>0</v>
      </c>
      <c r="J35" s="41">
        <f t="shared" si="2"/>
        <v>0</v>
      </c>
      <c r="K35" s="41">
        <v>0.00252</v>
      </c>
      <c r="L35" s="41">
        <f t="shared" si="3"/>
        <v>0.294336</v>
      </c>
      <c r="M35" s="43"/>
      <c r="P35" s="44">
        <f t="shared" si="4"/>
        <v>0</v>
      </c>
      <c r="R35" s="44">
        <f t="shared" si="5"/>
        <v>0</v>
      </c>
      <c r="S35" s="44">
        <f t="shared" si="6"/>
        <v>0</v>
      </c>
      <c r="T35" s="44">
        <f t="shared" si="7"/>
        <v>0</v>
      </c>
      <c r="U35" s="44">
        <f t="shared" si="8"/>
        <v>0</v>
      </c>
      <c r="V35" s="44">
        <f t="shared" si="9"/>
        <v>0</v>
      </c>
      <c r="W35" s="44">
        <f t="shared" si="10"/>
        <v>0</v>
      </c>
      <c r="X35" s="44">
        <f t="shared" si="11"/>
        <v>0</v>
      </c>
      <c r="Y35" s="37"/>
      <c r="Z35" s="41">
        <f t="shared" si="12"/>
        <v>0</v>
      </c>
      <c r="AA35" s="41">
        <f t="shared" si="13"/>
        <v>0</v>
      </c>
      <c r="AB35" s="41">
        <f t="shared" si="14"/>
        <v>0</v>
      </c>
      <c r="AD35" s="44">
        <v>21</v>
      </c>
      <c r="AE35" s="44">
        <f>G35*0</f>
        <v>0</v>
      </c>
      <c r="AF35" s="44">
        <f>G35*(1-0)</f>
        <v>0</v>
      </c>
      <c r="AG35" s="43" t="s">
        <v>12</v>
      </c>
      <c r="AM35" s="44">
        <f t="shared" si="15"/>
        <v>0</v>
      </c>
      <c r="AN35" s="44">
        <f t="shared" si="16"/>
        <v>0</v>
      </c>
      <c r="AO35" s="45" t="s">
        <v>236</v>
      </c>
      <c r="AP35" s="45" t="s">
        <v>252</v>
      </c>
      <c r="AQ35" s="37" t="s">
        <v>255</v>
      </c>
      <c r="AS35" s="44">
        <f t="shared" si="17"/>
        <v>0</v>
      </c>
      <c r="AT35" s="44">
        <f t="shared" si="18"/>
        <v>0</v>
      </c>
      <c r="AU35" s="44">
        <v>0</v>
      </c>
      <c r="AV35" s="44">
        <f t="shared" si="19"/>
        <v>0.294336</v>
      </c>
    </row>
    <row r="36" spans="1:48" ht="12.75">
      <c r="A36" s="2" t="s">
        <v>25</v>
      </c>
      <c r="B36" s="2"/>
      <c r="C36" s="2"/>
      <c r="D36" s="28" t="s">
        <v>125</v>
      </c>
      <c r="E36" s="2" t="s">
        <v>204</v>
      </c>
      <c r="F36" s="10">
        <v>56.6</v>
      </c>
      <c r="G36" s="42">
        <v>0</v>
      </c>
      <c r="H36" s="41">
        <f t="shared" si="0"/>
        <v>0</v>
      </c>
      <c r="I36" s="41">
        <f t="shared" si="1"/>
        <v>0</v>
      </c>
      <c r="J36" s="41">
        <f t="shared" si="2"/>
        <v>0</v>
      </c>
      <c r="K36" s="41">
        <v>0.00513</v>
      </c>
      <c r="L36" s="41">
        <f t="shared" si="3"/>
        <v>0.290358</v>
      </c>
      <c r="M36" s="43"/>
      <c r="P36" s="44">
        <f t="shared" si="4"/>
        <v>0</v>
      </c>
      <c r="R36" s="44">
        <f t="shared" si="5"/>
        <v>0</v>
      </c>
      <c r="S36" s="44">
        <f t="shared" si="6"/>
        <v>0</v>
      </c>
      <c r="T36" s="44">
        <f t="shared" si="7"/>
        <v>0</v>
      </c>
      <c r="U36" s="44">
        <f t="shared" si="8"/>
        <v>0</v>
      </c>
      <c r="V36" s="44">
        <f t="shared" si="9"/>
        <v>0</v>
      </c>
      <c r="W36" s="44">
        <f t="shared" si="10"/>
        <v>0</v>
      </c>
      <c r="X36" s="44">
        <f t="shared" si="11"/>
        <v>0</v>
      </c>
      <c r="Y36" s="37"/>
      <c r="Z36" s="41">
        <f t="shared" si="12"/>
        <v>0</v>
      </c>
      <c r="AA36" s="41">
        <f t="shared" si="13"/>
        <v>0</v>
      </c>
      <c r="AB36" s="41">
        <f t="shared" si="14"/>
        <v>0</v>
      </c>
      <c r="AD36" s="44">
        <v>21</v>
      </c>
      <c r="AE36" s="44">
        <f>G36*0.422014388489209</f>
        <v>0</v>
      </c>
      <c r="AF36" s="44">
        <f>G36*(1-0.422014388489209)</f>
        <v>0</v>
      </c>
      <c r="AG36" s="43" t="s">
        <v>12</v>
      </c>
      <c r="AM36" s="44">
        <f t="shared" si="15"/>
        <v>0</v>
      </c>
      <c r="AN36" s="44">
        <f t="shared" si="16"/>
        <v>0</v>
      </c>
      <c r="AO36" s="45" t="s">
        <v>236</v>
      </c>
      <c r="AP36" s="45" t="s">
        <v>252</v>
      </c>
      <c r="AQ36" s="37" t="s">
        <v>255</v>
      </c>
      <c r="AS36" s="44">
        <f t="shared" si="17"/>
        <v>0</v>
      </c>
      <c r="AT36" s="44">
        <f t="shared" si="18"/>
        <v>0</v>
      </c>
      <c r="AU36" s="44">
        <v>0</v>
      </c>
      <c r="AV36" s="44">
        <f t="shared" si="19"/>
        <v>0.290358</v>
      </c>
    </row>
    <row r="37" spans="1:48" ht="25.5">
      <c r="A37" s="2" t="s">
        <v>26</v>
      </c>
      <c r="B37" s="2"/>
      <c r="C37" s="2"/>
      <c r="D37" s="28" t="s">
        <v>126</v>
      </c>
      <c r="E37" s="2" t="s">
        <v>204</v>
      </c>
      <c r="F37" s="10">
        <v>7.5</v>
      </c>
      <c r="G37" s="42">
        <v>0</v>
      </c>
      <c r="H37" s="41">
        <f t="shared" si="0"/>
        <v>0</v>
      </c>
      <c r="I37" s="41">
        <f t="shared" si="1"/>
        <v>0</v>
      </c>
      <c r="J37" s="41">
        <f t="shared" si="2"/>
        <v>0</v>
      </c>
      <c r="K37" s="41">
        <v>0.00443</v>
      </c>
      <c r="L37" s="41">
        <f t="shared" si="3"/>
        <v>0.033225</v>
      </c>
      <c r="M37" s="43"/>
      <c r="P37" s="44">
        <f t="shared" si="4"/>
        <v>0</v>
      </c>
      <c r="R37" s="44">
        <f t="shared" si="5"/>
        <v>0</v>
      </c>
      <c r="S37" s="44">
        <f t="shared" si="6"/>
        <v>0</v>
      </c>
      <c r="T37" s="44">
        <f t="shared" si="7"/>
        <v>0</v>
      </c>
      <c r="U37" s="44">
        <f t="shared" si="8"/>
        <v>0</v>
      </c>
      <c r="V37" s="44">
        <f t="shared" si="9"/>
        <v>0</v>
      </c>
      <c r="W37" s="44">
        <f t="shared" si="10"/>
        <v>0</v>
      </c>
      <c r="X37" s="44">
        <f t="shared" si="11"/>
        <v>0</v>
      </c>
      <c r="Y37" s="37"/>
      <c r="Z37" s="41">
        <f t="shared" si="12"/>
        <v>0</v>
      </c>
      <c r="AA37" s="41">
        <f t="shared" si="13"/>
        <v>0</v>
      </c>
      <c r="AB37" s="41">
        <f t="shared" si="14"/>
        <v>0</v>
      </c>
      <c r="AD37" s="44">
        <v>21</v>
      </c>
      <c r="AE37" s="44">
        <f>G37*0.321903614457831</f>
        <v>0</v>
      </c>
      <c r="AF37" s="44">
        <f>G37*(1-0.321903614457831)</f>
        <v>0</v>
      </c>
      <c r="AG37" s="43" t="s">
        <v>12</v>
      </c>
      <c r="AM37" s="44">
        <f t="shared" si="15"/>
        <v>0</v>
      </c>
      <c r="AN37" s="44">
        <f t="shared" si="16"/>
        <v>0</v>
      </c>
      <c r="AO37" s="45" t="s">
        <v>236</v>
      </c>
      <c r="AP37" s="45" t="s">
        <v>252</v>
      </c>
      <c r="AQ37" s="37" t="s">
        <v>255</v>
      </c>
      <c r="AS37" s="44">
        <f t="shared" si="17"/>
        <v>0</v>
      </c>
      <c r="AT37" s="44">
        <f t="shared" si="18"/>
        <v>0</v>
      </c>
      <c r="AU37" s="44">
        <v>0</v>
      </c>
      <c r="AV37" s="44">
        <f t="shared" si="19"/>
        <v>0.033225</v>
      </c>
    </row>
    <row r="38" spans="1:48" ht="12.75">
      <c r="A38" s="2" t="s">
        <v>27</v>
      </c>
      <c r="B38" s="2"/>
      <c r="C38" s="2"/>
      <c r="D38" s="28" t="s">
        <v>127</v>
      </c>
      <c r="E38" s="2" t="s">
        <v>204</v>
      </c>
      <c r="F38" s="10">
        <v>7.5</v>
      </c>
      <c r="G38" s="42">
        <v>0</v>
      </c>
      <c r="H38" s="41">
        <f t="shared" si="0"/>
        <v>0</v>
      </c>
      <c r="I38" s="41">
        <f t="shared" si="1"/>
        <v>0</v>
      </c>
      <c r="J38" s="41">
        <f t="shared" si="2"/>
        <v>0</v>
      </c>
      <c r="K38" s="41">
        <v>0.00432</v>
      </c>
      <c r="L38" s="41">
        <f t="shared" si="3"/>
        <v>0.0324</v>
      </c>
      <c r="M38" s="43"/>
      <c r="P38" s="44">
        <f t="shared" si="4"/>
        <v>0</v>
      </c>
      <c r="R38" s="44">
        <f t="shared" si="5"/>
        <v>0</v>
      </c>
      <c r="S38" s="44">
        <f t="shared" si="6"/>
        <v>0</v>
      </c>
      <c r="T38" s="44">
        <f t="shared" si="7"/>
        <v>0</v>
      </c>
      <c r="U38" s="44">
        <f t="shared" si="8"/>
        <v>0</v>
      </c>
      <c r="V38" s="44">
        <f t="shared" si="9"/>
        <v>0</v>
      </c>
      <c r="W38" s="44">
        <f t="shared" si="10"/>
        <v>0</v>
      </c>
      <c r="X38" s="44">
        <f t="shared" si="11"/>
        <v>0</v>
      </c>
      <c r="Y38" s="37"/>
      <c r="Z38" s="41">
        <f t="shared" si="12"/>
        <v>0</v>
      </c>
      <c r="AA38" s="41">
        <f t="shared" si="13"/>
        <v>0</v>
      </c>
      <c r="AB38" s="41">
        <f t="shared" si="14"/>
        <v>0</v>
      </c>
      <c r="AD38" s="44">
        <v>21</v>
      </c>
      <c r="AE38" s="44">
        <f>G38*0</f>
        <v>0</v>
      </c>
      <c r="AF38" s="44">
        <f>G38*(1-0)</f>
        <v>0</v>
      </c>
      <c r="AG38" s="43" t="s">
        <v>12</v>
      </c>
      <c r="AM38" s="44">
        <f t="shared" si="15"/>
        <v>0</v>
      </c>
      <c r="AN38" s="44">
        <f t="shared" si="16"/>
        <v>0</v>
      </c>
      <c r="AO38" s="45" t="s">
        <v>236</v>
      </c>
      <c r="AP38" s="45" t="s">
        <v>252</v>
      </c>
      <c r="AQ38" s="37" t="s">
        <v>255</v>
      </c>
      <c r="AS38" s="44">
        <f t="shared" si="17"/>
        <v>0</v>
      </c>
      <c r="AT38" s="44">
        <f t="shared" si="18"/>
        <v>0</v>
      </c>
      <c r="AU38" s="44">
        <v>0</v>
      </c>
      <c r="AV38" s="44">
        <f t="shared" si="19"/>
        <v>0.0324</v>
      </c>
    </row>
    <row r="39" spans="1:48" ht="12.75">
      <c r="A39" s="2" t="s">
        <v>28</v>
      </c>
      <c r="B39" s="2"/>
      <c r="C39" s="2"/>
      <c r="D39" s="28" t="s">
        <v>128</v>
      </c>
      <c r="E39" s="2" t="s">
        <v>205</v>
      </c>
      <c r="F39" s="10">
        <v>1.552</v>
      </c>
      <c r="G39" s="42">
        <v>0</v>
      </c>
      <c r="H39" s="41">
        <f t="shared" si="0"/>
        <v>0</v>
      </c>
      <c r="I39" s="41">
        <f t="shared" si="1"/>
        <v>0</v>
      </c>
      <c r="J39" s="41">
        <f t="shared" si="2"/>
        <v>0</v>
      </c>
      <c r="K39" s="41">
        <v>0</v>
      </c>
      <c r="L39" s="41">
        <f t="shared" si="3"/>
        <v>0</v>
      </c>
      <c r="M39" s="43"/>
      <c r="P39" s="44">
        <f t="shared" si="4"/>
        <v>0</v>
      </c>
      <c r="R39" s="44">
        <f t="shared" si="5"/>
        <v>0</v>
      </c>
      <c r="S39" s="44">
        <f t="shared" si="6"/>
        <v>0</v>
      </c>
      <c r="T39" s="44">
        <f t="shared" si="7"/>
        <v>0</v>
      </c>
      <c r="U39" s="44">
        <f t="shared" si="8"/>
        <v>0</v>
      </c>
      <c r="V39" s="44">
        <f t="shared" si="9"/>
        <v>0</v>
      </c>
      <c r="W39" s="44">
        <f t="shared" si="10"/>
        <v>0</v>
      </c>
      <c r="X39" s="44">
        <f t="shared" si="11"/>
        <v>0</v>
      </c>
      <c r="Y39" s="37"/>
      <c r="Z39" s="41">
        <f t="shared" si="12"/>
        <v>0</v>
      </c>
      <c r="AA39" s="41">
        <f t="shared" si="13"/>
        <v>0</v>
      </c>
      <c r="AB39" s="41">
        <f t="shared" si="14"/>
        <v>0</v>
      </c>
      <c r="AD39" s="44">
        <v>21</v>
      </c>
      <c r="AE39" s="44">
        <f>G39*0</f>
        <v>0</v>
      </c>
      <c r="AF39" s="44">
        <f>G39*(1-0)</f>
        <v>0</v>
      </c>
      <c r="AG39" s="43" t="s">
        <v>10</v>
      </c>
      <c r="AM39" s="44">
        <f t="shared" si="15"/>
        <v>0</v>
      </c>
      <c r="AN39" s="44">
        <f t="shared" si="16"/>
        <v>0</v>
      </c>
      <c r="AO39" s="45" t="s">
        <v>236</v>
      </c>
      <c r="AP39" s="45" t="s">
        <v>252</v>
      </c>
      <c r="AQ39" s="37" t="s">
        <v>255</v>
      </c>
      <c r="AS39" s="44">
        <f t="shared" si="17"/>
        <v>0</v>
      </c>
      <c r="AT39" s="44">
        <f t="shared" si="18"/>
        <v>0</v>
      </c>
      <c r="AU39" s="44">
        <v>0</v>
      </c>
      <c r="AV39" s="44">
        <f t="shared" si="19"/>
        <v>0</v>
      </c>
    </row>
    <row r="40" spans="1:37" ht="12.75">
      <c r="A40" s="3"/>
      <c r="B40" s="8"/>
      <c r="C40" s="8" t="s">
        <v>91</v>
      </c>
      <c r="D40" s="79" t="s">
        <v>129</v>
      </c>
      <c r="E40" s="80"/>
      <c r="F40" s="80"/>
      <c r="G40" s="80"/>
      <c r="H40" s="40">
        <f>SUM(H41:H42)</f>
        <v>0</v>
      </c>
      <c r="I40" s="40">
        <f>SUM(I41:I42)</f>
        <v>0</v>
      </c>
      <c r="J40" s="40">
        <f>H40+I40</f>
        <v>0</v>
      </c>
      <c r="K40" s="37"/>
      <c r="L40" s="40">
        <f>SUM(L41:L42)</f>
        <v>0.568183</v>
      </c>
      <c r="M40" s="37"/>
      <c r="Y40" s="37"/>
      <c r="AI40" s="40">
        <f>SUM(Z41:Z42)</f>
        <v>0</v>
      </c>
      <c r="AJ40" s="40">
        <f>SUM(AA41:AA42)</f>
        <v>0</v>
      </c>
      <c r="AK40" s="40">
        <f>SUM(AB41:AB42)</f>
        <v>0</v>
      </c>
    </row>
    <row r="41" spans="1:48" ht="25.5">
      <c r="A41" s="2" t="s">
        <v>29</v>
      </c>
      <c r="B41" s="2"/>
      <c r="C41" s="2"/>
      <c r="D41" s="28" t="s">
        <v>130</v>
      </c>
      <c r="E41" s="2" t="s">
        <v>204</v>
      </c>
      <c r="F41" s="10">
        <v>51.7</v>
      </c>
      <c r="G41" s="42">
        <v>0</v>
      </c>
      <c r="H41" s="41">
        <f>F41*AE41</f>
        <v>0</v>
      </c>
      <c r="I41" s="41">
        <f>J41-H41</f>
        <v>0</v>
      </c>
      <c r="J41" s="41">
        <f>F41*G41</f>
        <v>0</v>
      </c>
      <c r="K41" s="41">
        <v>0.01099</v>
      </c>
      <c r="L41" s="41">
        <f>F41*K41</f>
        <v>0.568183</v>
      </c>
      <c r="M41" s="43"/>
      <c r="P41" s="44">
        <f>IF(AG41="5",J41,0)</f>
        <v>0</v>
      </c>
      <c r="R41" s="44">
        <f>IF(AG41="1",H41,0)</f>
        <v>0</v>
      </c>
      <c r="S41" s="44">
        <f>IF(AG41="1",I41,0)</f>
        <v>0</v>
      </c>
      <c r="T41" s="44">
        <f>IF(AG41="7",H41,0)</f>
        <v>0</v>
      </c>
      <c r="U41" s="44">
        <f>IF(AG41="7",I41,0)</f>
        <v>0</v>
      </c>
      <c r="V41" s="44">
        <f>IF(AG41="2",H41,0)</f>
        <v>0</v>
      </c>
      <c r="W41" s="44">
        <f>IF(AG41="2",I41,0)</f>
        <v>0</v>
      </c>
      <c r="X41" s="44">
        <f>IF(AG41="0",J41,0)</f>
        <v>0</v>
      </c>
      <c r="Y41" s="37"/>
      <c r="Z41" s="41">
        <f>IF(AD41=0,J41,0)</f>
        <v>0</v>
      </c>
      <c r="AA41" s="41">
        <f>IF(AD41=15,J41,0)</f>
        <v>0</v>
      </c>
      <c r="AB41" s="41">
        <f>IF(AD41=21,J41,0)</f>
        <v>0</v>
      </c>
      <c r="AD41" s="44">
        <v>21</v>
      </c>
      <c r="AE41" s="44">
        <f>G41*0.816441441441441</f>
        <v>0</v>
      </c>
      <c r="AF41" s="44">
        <f>G41*(1-0.816441441441441)</f>
        <v>0</v>
      </c>
      <c r="AG41" s="43" t="s">
        <v>12</v>
      </c>
      <c r="AM41" s="44">
        <f>F41*AE41</f>
        <v>0</v>
      </c>
      <c r="AN41" s="44">
        <f>F41*AF41</f>
        <v>0</v>
      </c>
      <c r="AO41" s="45" t="s">
        <v>237</v>
      </c>
      <c r="AP41" s="45" t="s">
        <v>252</v>
      </c>
      <c r="AQ41" s="37" t="s">
        <v>255</v>
      </c>
      <c r="AS41" s="44">
        <f>AM41+AN41</f>
        <v>0</v>
      </c>
      <c r="AT41" s="44">
        <f>G41/(100-AU41)*100</f>
        <v>0</v>
      </c>
      <c r="AU41" s="44">
        <v>0</v>
      </c>
      <c r="AV41" s="44">
        <f>L41</f>
        <v>0.568183</v>
      </c>
    </row>
    <row r="42" spans="1:48" ht="12.75">
      <c r="A42" s="2" t="s">
        <v>30</v>
      </c>
      <c r="B42" s="2"/>
      <c r="C42" s="2"/>
      <c r="D42" s="28" t="s">
        <v>131</v>
      </c>
      <c r="E42" s="2" t="s">
        <v>205</v>
      </c>
      <c r="F42" s="10">
        <v>0.5682</v>
      </c>
      <c r="G42" s="42">
        <v>0</v>
      </c>
      <c r="H42" s="41">
        <f>F42*AE42</f>
        <v>0</v>
      </c>
      <c r="I42" s="41">
        <f>J42-H42</f>
        <v>0</v>
      </c>
      <c r="J42" s="41">
        <f>F42*G42</f>
        <v>0</v>
      </c>
      <c r="K42" s="41">
        <v>0</v>
      </c>
      <c r="L42" s="41">
        <f>F42*K42</f>
        <v>0</v>
      </c>
      <c r="M42" s="43"/>
      <c r="P42" s="44">
        <f>IF(AG42="5",J42,0)</f>
        <v>0</v>
      </c>
      <c r="R42" s="44">
        <f>IF(AG42="1",H42,0)</f>
        <v>0</v>
      </c>
      <c r="S42" s="44">
        <f>IF(AG42="1",I42,0)</f>
        <v>0</v>
      </c>
      <c r="T42" s="44">
        <f>IF(AG42="7",H42,0)</f>
        <v>0</v>
      </c>
      <c r="U42" s="44">
        <f>IF(AG42="7",I42,0)</f>
        <v>0</v>
      </c>
      <c r="V42" s="44">
        <f>IF(AG42="2",H42,0)</f>
        <v>0</v>
      </c>
      <c r="W42" s="44">
        <f>IF(AG42="2",I42,0)</f>
        <v>0</v>
      </c>
      <c r="X42" s="44">
        <f>IF(AG42="0",J42,0)</f>
        <v>0</v>
      </c>
      <c r="Y42" s="37"/>
      <c r="Z42" s="41">
        <f>IF(AD42=0,J42,0)</f>
        <v>0</v>
      </c>
      <c r="AA42" s="41">
        <f>IF(AD42=15,J42,0)</f>
        <v>0</v>
      </c>
      <c r="AB42" s="41">
        <f>IF(AD42=21,J42,0)</f>
        <v>0</v>
      </c>
      <c r="AD42" s="44">
        <v>21</v>
      </c>
      <c r="AE42" s="44">
        <f>G42*0</f>
        <v>0</v>
      </c>
      <c r="AF42" s="44">
        <f>G42*(1-0)</f>
        <v>0</v>
      </c>
      <c r="AG42" s="43" t="s">
        <v>10</v>
      </c>
      <c r="AM42" s="44">
        <f>F42*AE42</f>
        <v>0</v>
      </c>
      <c r="AN42" s="44">
        <f>F42*AF42</f>
        <v>0</v>
      </c>
      <c r="AO42" s="45" t="s">
        <v>237</v>
      </c>
      <c r="AP42" s="45" t="s">
        <v>252</v>
      </c>
      <c r="AQ42" s="37" t="s">
        <v>255</v>
      </c>
      <c r="AS42" s="44">
        <f>AM42+AN42</f>
        <v>0</v>
      </c>
      <c r="AT42" s="44">
        <f>G42/(100-AU42)*100</f>
        <v>0</v>
      </c>
      <c r="AU42" s="44">
        <v>0</v>
      </c>
      <c r="AV42" s="44">
        <f>L42</f>
        <v>0</v>
      </c>
    </row>
    <row r="43" spans="1:37" ht="12.75">
      <c r="A43" s="3"/>
      <c r="B43" s="8"/>
      <c r="C43" s="8" t="s">
        <v>92</v>
      </c>
      <c r="D43" s="79" t="s">
        <v>132</v>
      </c>
      <c r="E43" s="80"/>
      <c r="F43" s="80"/>
      <c r="G43" s="80"/>
      <c r="H43" s="40">
        <f>SUM(H44:H50)</f>
        <v>0</v>
      </c>
      <c r="I43" s="40">
        <f>SUM(I44:I50)</f>
        <v>0</v>
      </c>
      <c r="J43" s="40">
        <f>H43+I43</f>
        <v>0</v>
      </c>
      <c r="K43" s="37"/>
      <c r="L43" s="40">
        <f>SUM(L44:L50)</f>
        <v>0.25375</v>
      </c>
      <c r="M43" s="37"/>
      <c r="Y43" s="37"/>
      <c r="AI43" s="40">
        <f>SUM(Z44:Z50)</f>
        <v>0</v>
      </c>
      <c r="AJ43" s="40">
        <f>SUM(AA44:AA50)</f>
        <v>0</v>
      </c>
      <c r="AK43" s="40">
        <f>SUM(AB44:AB50)</f>
        <v>0</v>
      </c>
    </row>
    <row r="44" spans="1:48" ht="12.75">
      <c r="A44" s="2" t="s">
        <v>31</v>
      </c>
      <c r="B44" s="2"/>
      <c r="C44" s="2"/>
      <c r="D44" s="28" t="s">
        <v>133</v>
      </c>
      <c r="E44" s="2" t="s">
        <v>203</v>
      </c>
      <c r="F44" s="10">
        <v>3</v>
      </c>
      <c r="G44" s="42">
        <v>0</v>
      </c>
      <c r="H44" s="41">
        <f aca="true" t="shared" si="20" ref="H44:H50">F44*AE44</f>
        <v>0</v>
      </c>
      <c r="I44" s="41">
        <f aca="true" t="shared" si="21" ref="I44:I50">J44-H44</f>
        <v>0</v>
      </c>
      <c r="J44" s="41">
        <f aca="true" t="shared" si="22" ref="J44:J50">F44*G44</f>
        <v>0</v>
      </c>
      <c r="K44" s="41">
        <v>0.00025</v>
      </c>
      <c r="L44" s="41">
        <f aca="true" t="shared" si="23" ref="L44:L50">F44*K44</f>
        <v>0.00075</v>
      </c>
      <c r="M44" s="43"/>
      <c r="P44" s="44">
        <f aca="true" t="shared" si="24" ref="P44:P50">IF(AG44="5",J44,0)</f>
        <v>0</v>
      </c>
      <c r="R44" s="44">
        <f aca="true" t="shared" si="25" ref="R44:R50">IF(AG44="1",H44,0)</f>
        <v>0</v>
      </c>
      <c r="S44" s="44">
        <f aca="true" t="shared" si="26" ref="S44:S50">IF(AG44="1",I44,0)</f>
        <v>0</v>
      </c>
      <c r="T44" s="44">
        <f aca="true" t="shared" si="27" ref="T44:T50">IF(AG44="7",H44,0)</f>
        <v>0</v>
      </c>
      <c r="U44" s="44">
        <f aca="true" t="shared" si="28" ref="U44:U50">IF(AG44="7",I44,0)</f>
        <v>0</v>
      </c>
      <c r="V44" s="44">
        <f aca="true" t="shared" si="29" ref="V44:V50">IF(AG44="2",H44,0)</f>
        <v>0</v>
      </c>
      <c r="W44" s="44">
        <f aca="true" t="shared" si="30" ref="W44:W50">IF(AG44="2",I44,0)</f>
        <v>0</v>
      </c>
      <c r="X44" s="44">
        <f aca="true" t="shared" si="31" ref="X44:X50">IF(AG44="0",J44,0)</f>
        <v>0</v>
      </c>
      <c r="Y44" s="37"/>
      <c r="Z44" s="41">
        <f aca="true" t="shared" si="32" ref="Z44:Z50">IF(AD44=0,J44,0)</f>
        <v>0</v>
      </c>
      <c r="AA44" s="41">
        <f aca="true" t="shared" si="33" ref="AA44:AA50">IF(AD44=15,J44,0)</f>
        <v>0</v>
      </c>
      <c r="AB44" s="41">
        <f aca="true" t="shared" si="34" ref="AB44:AB50">IF(AD44=21,J44,0)</f>
        <v>0</v>
      </c>
      <c r="AD44" s="44">
        <v>21</v>
      </c>
      <c r="AE44" s="44">
        <f>G44*0.172159468438538</f>
        <v>0</v>
      </c>
      <c r="AF44" s="44">
        <f>G44*(1-0.172159468438538)</f>
        <v>0</v>
      </c>
      <c r="AG44" s="43" t="s">
        <v>12</v>
      </c>
      <c r="AM44" s="44">
        <f aca="true" t="shared" si="35" ref="AM44:AM50">F44*AE44</f>
        <v>0</v>
      </c>
      <c r="AN44" s="44">
        <f aca="true" t="shared" si="36" ref="AN44:AN50">F44*AF44</f>
        <v>0</v>
      </c>
      <c r="AO44" s="45" t="s">
        <v>238</v>
      </c>
      <c r="AP44" s="45" t="s">
        <v>252</v>
      </c>
      <c r="AQ44" s="37" t="s">
        <v>255</v>
      </c>
      <c r="AS44" s="44">
        <f aca="true" t="shared" si="37" ref="AS44:AS50">AM44+AN44</f>
        <v>0</v>
      </c>
      <c r="AT44" s="44">
        <f aca="true" t="shared" si="38" ref="AT44:AT50">G44/(100-AU44)*100</f>
        <v>0</v>
      </c>
      <c r="AU44" s="44">
        <v>0</v>
      </c>
      <c r="AV44" s="44">
        <f aca="true" t="shared" si="39" ref="AV44:AV50">L44</f>
        <v>0.00075</v>
      </c>
    </row>
    <row r="45" spans="1:48" ht="12.75">
      <c r="A45" s="2" t="s">
        <v>32</v>
      </c>
      <c r="B45" s="2"/>
      <c r="C45" s="2"/>
      <c r="D45" s="28" t="s">
        <v>134</v>
      </c>
      <c r="E45" s="2" t="s">
        <v>203</v>
      </c>
      <c r="F45" s="10">
        <v>1</v>
      </c>
      <c r="G45" s="42">
        <v>0</v>
      </c>
      <c r="H45" s="41">
        <f t="shared" si="20"/>
        <v>0</v>
      </c>
      <c r="I45" s="41">
        <f t="shared" si="21"/>
        <v>0</v>
      </c>
      <c r="J45" s="41">
        <f t="shared" si="22"/>
        <v>0</v>
      </c>
      <c r="K45" s="41">
        <v>0.00025</v>
      </c>
      <c r="L45" s="41">
        <f t="shared" si="23"/>
        <v>0.00025</v>
      </c>
      <c r="M45" s="43"/>
      <c r="P45" s="44">
        <f t="shared" si="24"/>
        <v>0</v>
      </c>
      <c r="R45" s="44">
        <f t="shared" si="25"/>
        <v>0</v>
      </c>
      <c r="S45" s="44">
        <f t="shared" si="26"/>
        <v>0</v>
      </c>
      <c r="T45" s="44">
        <f t="shared" si="27"/>
        <v>0</v>
      </c>
      <c r="U45" s="44">
        <f t="shared" si="28"/>
        <v>0</v>
      </c>
      <c r="V45" s="44">
        <f t="shared" si="29"/>
        <v>0</v>
      </c>
      <c r="W45" s="44">
        <f t="shared" si="30"/>
        <v>0</v>
      </c>
      <c r="X45" s="44">
        <f t="shared" si="31"/>
        <v>0</v>
      </c>
      <c r="Y45" s="37"/>
      <c r="Z45" s="41">
        <f t="shared" si="32"/>
        <v>0</v>
      </c>
      <c r="AA45" s="41">
        <f t="shared" si="33"/>
        <v>0</v>
      </c>
      <c r="AB45" s="41">
        <f t="shared" si="34"/>
        <v>0</v>
      </c>
      <c r="AD45" s="44">
        <v>21</v>
      </c>
      <c r="AE45" s="44">
        <f>G45*0.172159468438538</f>
        <v>0</v>
      </c>
      <c r="AF45" s="44">
        <f>G45*(1-0.172159468438538)</f>
        <v>0</v>
      </c>
      <c r="AG45" s="43" t="s">
        <v>12</v>
      </c>
      <c r="AM45" s="44">
        <f t="shared" si="35"/>
        <v>0</v>
      </c>
      <c r="AN45" s="44">
        <f t="shared" si="36"/>
        <v>0</v>
      </c>
      <c r="AO45" s="45" t="s">
        <v>238</v>
      </c>
      <c r="AP45" s="45" t="s">
        <v>252</v>
      </c>
      <c r="AQ45" s="37" t="s">
        <v>255</v>
      </c>
      <c r="AS45" s="44">
        <f t="shared" si="37"/>
        <v>0</v>
      </c>
      <c r="AT45" s="44">
        <f t="shared" si="38"/>
        <v>0</v>
      </c>
      <c r="AU45" s="44">
        <v>0</v>
      </c>
      <c r="AV45" s="44">
        <f t="shared" si="39"/>
        <v>0.00025</v>
      </c>
    </row>
    <row r="46" spans="1:48" ht="25.5">
      <c r="A46" s="2" t="s">
        <v>33</v>
      </c>
      <c r="B46" s="2"/>
      <c r="C46" s="2"/>
      <c r="D46" s="28" t="s">
        <v>433</v>
      </c>
      <c r="E46" s="2" t="s">
        <v>203</v>
      </c>
      <c r="F46" s="10">
        <v>1</v>
      </c>
      <c r="G46" s="42">
        <v>0</v>
      </c>
      <c r="H46" s="41">
        <f t="shared" si="20"/>
        <v>0</v>
      </c>
      <c r="I46" s="41">
        <f t="shared" si="21"/>
        <v>0</v>
      </c>
      <c r="J46" s="41">
        <f t="shared" si="22"/>
        <v>0</v>
      </c>
      <c r="K46" s="41">
        <v>0.00025</v>
      </c>
      <c r="L46" s="41">
        <f t="shared" si="23"/>
        <v>0.00025</v>
      </c>
      <c r="M46" s="43"/>
      <c r="P46" s="44">
        <f t="shared" si="24"/>
        <v>0</v>
      </c>
      <c r="R46" s="44">
        <f t="shared" si="25"/>
        <v>0</v>
      </c>
      <c r="S46" s="44">
        <f t="shared" si="26"/>
        <v>0</v>
      </c>
      <c r="T46" s="44">
        <f t="shared" si="27"/>
        <v>0</v>
      </c>
      <c r="U46" s="44">
        <f t="shared" si="28"/>
        <v>0</v>
      </c>
      <c r="V46" s="44">
        <f t="shared" si="29"/>
        <v>0</v>
      </c>
      <c r="W46" s="44">
        <f t="shared" si="30"/>
        <v>0</v>
      </c>
      <c r="X46" s="44">
        <f t="shared" si="31"/>
        <v>0</v>
      </c>
      <c r="Y46" s="37"/>
      <c r="Z46" s="41">
        <f t="shared" si="32"/>
        <v>0</v>
      </c>
      <c r="AA46" s="41">
        <f t="shared" si="33"/>
        <v>0</v>
      </c>
      <c r="AB46" s="41">
        <f t="shared" si="34"/>
        <v>0</v>
      </c>
      <c r="AD46" s="44">
        <v>21</v>
      </c>
      <c r="AE46" s="44">
        <f>G46*0.172159468438538</f>
        <v>0</v>
      </c>
      <c r="AF46" s="44">
        <f>G46*(1-0.172159468438538)</f>
        <v>0</v>
      </c>
      <c r="AG46" s="43" t="s">
        <v>12</v>
      </c>
      <c r="AM46" s="44">
        <f t="shared" si="35"/>
        <v>0</v>
      </c>
      <c r="AN46" s="44">
        <f t="shared" si="36"/>
        <v>0</v>
      </c>
      <c r="AO46" s="45" t="s">
        <v>238</v>
      </c>
      <c r="AP46" s="45" t="s">
        <v>252</v>
      </c>
      <c r="AQ46" s="37" t="s">
        <v>255</v>
      </c>
      <c r="AS46" s="44">
        <f t="shared" si="37"/>
        <v>0</v>
      </c>
      <c r="AT46" s="44">
        <f t="shared" si="38"/>
        <v>0</v>
      </c>
      <c r="AU46" s="44">
        <v>0</v>
      </c>
      <c r="AV46" s="44">
        <f t="shared" si="39"/>
        <v>0.00025</v>
      </c>
    </row>
    <row r="47" spans="1:48" ht="25.5">
      <c r="A47" s="2" t="s">
        <v>34</v>
      </c>
      <c r="B47" s="2"/>
      <c r="C47" s="2"/>
      <c r="D47" s="28" t="s">
        <v>135</v>
      </c>
      <c r="E47" s="2" t="s">
        <v>206</v>
      </c>
      <c r="F47" s="10">
        <v>120</v>
      </c>
      <c r="G47" s="42">
        <v>0</v>
      </c>
      <c r="H47" s="41">
        <f t="shared" si="20"/>
        <v>0</v>
      </c>
      <c r="I47" s="41">
        <f t="shared" si="21"/>
        <v>0</v>
      </c>
      <c r="J47" s="41">
        <f t="shared" si="22"/>
        <v>0</v>
      </c>
      <c r="K47" s="41">
        <v>0.001</v>
      </c>
      <c r="L47" s="41">
        <f t="shared" si="23"/>
        <v>0.12</v>
      </c>
      <c r="M47" s="43"/>
      <c r="P47" s="44">
        <f t="shared" si="24"/>
        <v>0</v>
      </c>
      <c r="R47" s="44">
        <f t="shared" si="25"/>
        <v>0</v>
      </c>
      <c r="S47" s="44">
        <f t="shared" si="26"/>
        <v>0</v>
      </c>
      <c r="T47" s="44">
        <f t="shared" si="27"/>
        <v>0</v>
      </c>
      <c r="U47" s="44">
        <f t="shared" si="28"/>
        <v>0</v>
      </c>
      <c r="V47" s="44">
        <f t="shared" si="29"/>
        <v>0</v>
      </c>
      <c r="W47" s="44">
        <f t="shared" si="30"/>
        <v>0</v>
      </c>
      <c r="X47" s="44">
        <f t="shared" si="31"/>
        <v>0</v>
      </c>
      <c r="Y47" s="37"/>
      <c r="Z47" s="41">
        <f t="shared" si="32"/>
        <v>0</v>
      </c>
      <c r="AA47" s="41">
        <f t="shared" si="33"/>
        <v>0</v>
      </c>
      <c r="AB47" s="41">
        <f t="shared" si="34"/>
        <v>0</v>
      </c>
      <c r="AD47" s="44">
        <v>21</v>
      </c>
      <c r="AE47" s="44">
        <f>G47*0.458992443324937</f>
        <v>0</v>
      </c>
      <c r="AF47" s="44">
        <f>G47*(1-0.458992443324937)</f>
        <v>0</v>
      </c>
      <c r="AG47" s="43" t="s">
        <v>12</v>
      </c>
      <c r="AM47" s="44">
        <f t="shared" si="35"/>
        <v>0</v>
      </c>
      <c r="AN47" s="44">
        <f t="shared" si="36"/>
        <v>0</v>
      </c>
      <c r="AO47" s="45" t="s">
        <v>238</v>
      </c>
      <c r="AP47" s="45" t="s">
        <v>252</v>
      </c>
      <c r="AQ47" s="37" t="s">
        <v>255</v>
      </c>
      <c r="AS47" s="44">
        <f t="shared" si="37"/>
        <v>0</v>
      </c>
      <c r="AT47" s="44">
        <f t="shared" si="38"/>
        <v>0</v>
      </c>
      <c r="AU47" s="44">
        <v>0</v>
      </c>
      <c r="AV47" s="44">
        <f t="shared" si="39"/>
        <v>0.12</v>
      </c>
    </row>
    <row r="48" spans="1:48" ht="12.75">
      <c r="A48" s="2" t="s">
        <v>35</v>
      </c>
      <c r="B48" s="2"/>
      <c r="C48" s="2"/>
      <c r="D48" s="28" t="s">
        <v>136</v>
      </c>
      <c r="E48" s="2" t="s">
        <v>206</v>
      </c>
      <c r="F48" s="10">
        <v>50</v>
      </c>
      <c r="G48" s="42">
        <v>0</v>
      </c>
      <c r="H48" s="41">
        <f t="shared" si="20"/>
        <v>0</v>
      </c>
      <c r="I48" s="41">
        <f t="shared" si="21"/>
        <v>0</v>
      </c>
      <c r="J48" s="41">
        <f t="shared" si="22"/>
        <v>0</v>
      </c>
      <c r="K48" s="41">
        <v>0.00106</v>
      </c>
      <c r="L48" s="41">
        <f t="shared" si="23"/>
        <v>0.053</v>
      </c>
      <c r="M48" s="43"/>
      <c r="P48" s="44">
        <f t="shared" si="24"/>
        <v>0</v>
      </c>
      <c r="R48" s="44">
        <f t="shared" si="25"/>
        <v>0</v>
      </c>
      <c r="S48" s="44">
        <f t="shared" si="26"/>
        <v>0</v>
      </c>
      <c r="T48" s="44">
        <f t="shared" si="27"/>
        <v>0</v>
      </c>
      <c r="U48" s="44">
        <f t="shared" si="28"/>
        <v>0</v>
      </c>
      <c r="V48" s="44">
        <f t="shared" si="29"/>
        <v>0</v>
      </c>
      <c r="W48" s="44">
        <f t="shared" si="30"/>
        <v>0</v>
      </c>
      <c r="X48" s="44">
        <f t="shared" si="31"/>
        <v>0</v>
      </c>
      <c r="Y48" s="37"/>
      <c r="Z48" s="41">
        <f t="shared" si="32"/>
        <v>0</v>
      </c>
      <c r="AA48" s="41">
        <f t="shared" si="33"/>
        <v>0</v>
      </c>
      <c r="AB48" s="41">
        <f t="shared" si="34"/>
        <v>0</v>
      </c>
      <c r="AD48" s="44">
        <v>21</v>
      </c>
      <c r="AE48" s="44">
        <f>G48*0</f>
        <v>0</v>
      </c>
      <c r="AF48" s="44">
        <f>G48*(1-0)</f>
        <v>0</v>
      </c>
      <c r="AG48" s="43" t="s">
        <v>12</v>
      </c>
      <c r="AM48" s="44">
        <f t="shared" si="35"/>
        <v>0</v>
      </c>
      <c r="AN48" s="44">
        <f t="shared" si="36"/>
        <v>0</v>
      </c>
      <c r="AO48" s="45" t="s">
        <v>238</v>
      </c>
      <c r="AP48" s="45" t="s">
        <v>252</v>
      </c>
      <c r="AQ48" s="37" t="s">
        <v>255</v>
      </c>
      <c r="AS48" s="44">
        <f t="shared" si="37"/>
        <v>0</v>
      </c>
      <c r="AT48" s="44">
        <f t="shared" si="38"/>
        <v>0</v>
      </c>
      <c r="AU48" s="44">
        <v>0</v>
      </c>
      <c r="AV48" s="44">
        <f t="shared" si="39"/>
        <v>0.053</v>
      </c>
    </row>
    <row r="49" spans="1:48" ht="25.5">
      <c r="A49" s="2" t="s">
        <v>36</v>
      </c>
      <c r="B49" s="2"/>
      <c r="C49" s="2"/>
      <c r="D49" s="28" t="s">
        <v>137</v>
      </c>
      <c r="E49" s="2" t="s">
        <v>206</v>
      </c>
      <c r="F49" s="10">
        <v>75</v>
      </c>
      <c r="G49" s="42">
        <v>0</v>
      </c>
      <c r="H49" s="41">
        <f t="shared" si="20"/>
        <v>0</v>
      </c>
      <c r="I49" s="41">
        <f t="shared" si="21"/>
        <v>0</v>
      </c>
      <c r="J49" s="41">
        <f t="shared" si="22"/>
        <v>0</v>
      </c>
      <c r="K49" s="41">
        <v>0.00106</v>
      </c>
      <c r="L49" s="41">
        <f t="shared" si="23"/>
        <v>0.0795</v>
      </c>
      <c r="M49" s="43"/>
      <c r="P49" s="44">
        <f t="shared" si="24"/>
        <v>0</v>
      </c>
      <c r="R49" s="44">
        <f t="shared" si="25"/>
        <v>0</v>
      </c>
      <c r="S49" s="44">
        <f t="shared" si="26"/>
        <v>0</v>
      </c>
      <c r="T49" s="44">
        <f t="shared" si="27"/>
        <v>0</v>
      </c>
      <c r="U49" s="44">
        <f t="shared" si="28"/>
        <v>0</v>
      </c>
      <c r="V49" s="44">
        <f t="shared" si="29"/>
        <v>0</v>
      </c>
      <c r="W49" s="44">
        <f t="shared" si="30"/>
        <v>0</v>
      </c>
      <c r="X49" s="44">
        <f t="shared" si="31"/>
        <v>0</v>
      </c>
      <c r="Y49" s="37"/>
      <c r="Z49" s="41">
        <f t="shared" si="32"/>
        <v>0</v>
      </c>
      <c r="AA49" s="41">
        <f t="shared" si="33"/>
        <v>0</v>
      </c>
      <c r="AB49" s="41">
        <f t="shared" si="34"/>
        <v>0</v>
      </c>
      <c r="AD49" s="44">
        <v>21</v>
      </c>
      <c r="AE49" s="44">
        <f>G49*0</f>
        <v>0</v>
      </c>
      <c r="AF49" s="44">
        <f>G49*(1-0)</f>
        <v>0</v>
      </c>
      <c r="AG49" s="43" t="s">
        <v>12</v>
      </c>
      <c r="AM49" s="44">
        <f t="shared" si="35"/>
        <v>0</v>
      </c>
      <c r="AN49" s="44">
        <f t="shared" si="36"/>
        <v>0</v>
      </c>
      <c r="AO49" s="45" t="s">
        <v>238</v>
      </c>
      <c r="AP49" s="45" t="s">
        <v>252</v>
      </c>
      <c r="AQ49" s="37" t="s">
        <v>255</v>
      </c>
      <c r="AS49" s="44">
        <f t="shared" si="37"/>
        <v>0</v>
      </c>
      <c r="AT49" s="44">
        <f t="shared" si="38"/>
        <v>0</v>
      </c>
      <c r="AU49" s="44">
        <v>0</v>
      </c>
      <c r="AV49" s="44">
        <f t="shared" si="39"/>
        <v>0.0795</v>
      </c>
    </row>
    <row r="50" spans="1:48" ht="12.75">
      <c r="A50" s="2" t="s">
        <v>37</v>
      </c>
      <c r="B50" s="2"/>
      <c r="C50" s="2"/>
      <c r="D50" s="28" t="s">
        <v>138</v>
      </c>
      <c r="E50" s="2" t="s">
        <v>205</v>
      </c>
      <c r="F50" s="10">
        <v>0.2538</v>
      </c>
      <c r="G50" s="42">
        <v>0</v>
      </c>
      <c r="H50" s="41">
        <f t="shared" si="20"/>
        <v>0</v>
      </c>
      <c r="I50" s="41">
        <f t="shared" si="21"/>
        <v>0</v>
      </c>
      <c r="J50" s="41">
        <f t="shared" si="22"/>
        <v>0</v>
      </c>
      <c r="K50" s="41">
        <v>0</v>
      </c>
      <c r="L50" s="41">
        <f t="shared" si="23"/>
        <v>0</v>
      </c>
      <c r="M50" s="43"/>
      <c r="P50" s="44">
        <f t="shared" si="24"/>
        <v>0</v>
      </c>
      <c r="R50" s="44">
        <f t="shared" si="25"/>
        <v>0</v>
      </c>
      <c r="S50" s="44">
        <f t="shared" si="26"/>
        <v>0</v>
      </c>
      <c r="T50" s="44">
        <f t="shared" si="27"/>
        <v>0</v>
      </c>
      <c r="U50" s="44">
        <f t="shared" si="28"/>
        <v>0</v>
      </c>
      <c r="V50" s="44">
        <f t="shared" si="29"/>
        <v>0</v>
      </c>
      <c r="W50" s="44">
        <f t="shared" si="30"/>
        <v>0</v>
      </c>
      <c r="X50" s="44">
        <f t="shared" si="31"/>
        <v>0</v>
      </c>
      <c r="Y50" s="37"/>
      <c r="Z50" s="41">
        <f t="shared" si="32"/>
        <v>0</v>
      </c>
      <c r="AA50" s="41">
        <f t="shared" si="33"/>
        <v>0</v>
      </c>
      <c r="AB50" s="41">
        <f t="shared" si="34"/>
        <v>0</v>
      </c>
      <c r="AD50" s="44">
        <v>21</v>
      </c>
      <c r="AE50" s="44">
        <f>G50*0</f>
        <v>0</v>
      </c>
      <c r="AF50" s="44">
        <f>G50*(1-0)</f>
        <v>0</v>
      </c>
      <c r="AG50" s="43" t="s">
        <v>10</v>
      </c>
      <c r="AM50" s="44">
        <f t="shared" si="35"/>
        <v>0</v>
      </c>
      <c r="AN50" s="44">
        <f t="shared" si="36"/>
        <v>0</v>
      </c>
      <c r="AO50" s="45" t="s">
        <v>238</v>
      </c>
      <c r="AP50" s="45" t="s">
        <v>252</v>
      </c>
      <c r="AQ50" s="37" t="s">
        <v>255</v>
      </c>
      <c r="AS50" s="44">
        <f t="shared" si="37"/>
        <v>0</v>
      </c>
      <c r="AT50" s="44">
        <f t="shared" si="38"/>
        <v>0</v>
      </c>
      <c r="AU50" s="44">
        <v>0</v>
      </c>
      <c r="AV50" s="44">
        <f t="shared" si="39"/>
        <v>0</v>
      </c>
    </row>
    <row r="51" spans="1:37" ht="12.75">
      <c r="A51" s="3"/>
      <c r="B51" s="8"/>
      <c r="C51" s="8" t="s">
        <v>93</v>
      </c>
      <c r="D51" s="79" t="s">
        <v>139</v>
      </c>
      <c r="E51" s="80"/>
      <c r="F51" s="80"/>
      <c r="G51" s="80"/>
      <c r="H51" s="40">
        <f>SUM(H52:H56)</f>
        <v>0</v>
      </c>
      <c r="I51" s="40">
        <f>SUM(I52:I56)</f>
        <v>0</v>
      </c>
      <c r="J51" s="40">
        <f>H51+I51</f>
        <v>0</v>
      </c>
      <c r="K51" s="37"/>
      <c r="L51" s="40">
        <f>SUM(L52:L56)</f>
        <v>0.4169737</v>
      </c>
      <c r="M51" s="37"/>
      <c r="Y51" s="37"/>
      <c r="AI51" s="40">
        <f>SUM(Z52:Z56)</f>
        <v>0</v>
      </c>
      <c r="AJ51" s="40">
        <f>SUM(AA52:AA56)</f>
        <v>0</v>
      </c>
      <c r="AK51" s="40">
        <f>SUM(AB52:AB56)</f>
        <v>0</v>
      </c>
    </row>
    <row r="52" spans="1:48" ht="12.75">
      <c r="A52" s="4" t="s">
        <v>38</v>
      </c>
      <c r="B52" s="4"/>
      <c r="C52" s="4"/>
      <c r="D52" s="29" t="s">
        <v>140</v>
      </c>
      <c r="E52" s="4" t="s">
        <v>202</v>
      </c>
      <c r="F52" s="11">
        <v>22.308</v>
      </c>
      <c r="G52" s="42">
        <v>0</v>
      </c>
      <c r="H52" s="46">
        <f>F52*AE52</f>
        <v>0</v>
      </c>
      <c r="I52" s="46">
        <f>J52-H52</f>
        <v>0</v>
      </c>
      <c r="J52" s="46">
        <f>F52*G52</f>
        <v>0</v>
      </c>
      <c r="K52" s="46">
        <v>0.0142</v>
      </c>
      <c r="L52" s="46">
        <f>F52*K52</f>
        <v>0.3167736</v>
      </c>
      <c r="M52" s="43"/>
      <c r="P52" s="44">
        <f>IF(AG52="5",J52,0)</f>
        <v>0</v>
      </c>
      <c r="R52" s="44">
        <f>IF(AG52="1",H52,0)</f>
        <v>0</v>
      </c>
      <c r="S52" s="44">
        <f>IF(AG52="1",I52,0)</f>
        <v>0</v>
      </c>
      <c r="T52" s="44">
        <f>IF(AG52="7",H52,0)</f>
        <v>0</v>
      </c>
      <c r="U52" s="44">
        <f>IF(AG52="7",I52,0)</f>
        <v>0</v>
      </c>
      <c r="V52" s="44">
        <f>IF(AG52="2",H52,0)</f>
        <v>0</v>
      </c>
      <c r="W52" s="44">
        <f>IF(AG52="2",I52,0)</f>
        <v>0</v>
      </c>
      <c r="X52" s="44">
        <f>IF(AG52="0",J52,0)</f>
        <v>0</v>
      </c>
      <c r="Y52" s="37"/>
      <c r="Z52" s="46">
        <f>IF(AD52=0,J52,0)</f>
        <v>0</v>
      </c>
      <c r="AA52" s="46">
        <f>IF(AD52=15,J52,0)</f>
        <v>0</v>
      </c>
      <c r="AB52" s="46">
        <f>IF(AD52=21,J52,0)</f>
        <v>0</v>
      </c>
      <c r="AD52" s="44">
        <v>21</v>
      </c>
      <c r="AE52" s="44">
        <f>G52*1</f>
        <v>0</v>
      </c>
      <c r="AF52" s="44">
        <f>G52*(1-1)</f>
        <v>0</v>
      </c>
      <c r="AG52" s="47" t="s">
        <v>12</v>
      </c>
      <c r="AM52" s="44">
        <f>F52*AE52</f>
        <v>0</v>
      </c>
      <c r="AN52" s="44">
        <f>F52*AF52</f>
        <v>0</v>
      </c>
      <c r="AO52" s="45" t="s">
        <v>239</v>
      </c>
      <c r="AP52" s="45" t="s">
        <v>253</v>
      </c>
      <c r="AQ52" s="37" t="s">
        <v>255</v>
      </c>
      <c r="AS52" s="44">
        <f>AM52+AN52</f>
        <v>0</v>
      </c>
      <c r="AT52" s="44">
        <f>G52/(100-AU52)*100</f>
        <v>0</v>
      </c>
      <c r="AU52" s="44">
        <v>0</v>
      </c>
      <c r="AV52" s="44">
        <f>L52</f>
        <v>0.3167736</v>
      </c>
    </row>
    <row r="53" spans="1:48" ht="12.75">
      <c r="A53" s="2" t="s">
        <v>39</v>
      </c>
      <c r="B53" s="2"/>
      <c r="C53" s="2"/>
      <c r="D53" s="28" t="s">
        <v>141</v>
      </c>
      <c r="E53" s="2" t="s">
        <v>202</v>
      </c>
      <c r="F53" s="10">
        <v>18.59</v>
      </c>
      <c r="G53" s="42">
        <v>0</v>
      </c>
      <c r="H53" s="41">
        <f>F53*AE53</f>
        <v>0</v>
      </c>
      <c r="I53" s="41">
        <f>J53-H53</f>
        <v>0</v>
      </c>
      <c r="J53" s="41">
        <f>F53*G53</f>
        <v>0</v>
      </c>
      <c r="K53" s="41">
        <v>0.00021</v>
      </c>
      <c r="L53" s="41">
        <f>F53*K53</f>
        <v>0.0039039</v>
      </c>
      <c r="M53" s="43"/>
      <c r="P53" s="44">
        <f>IF(AG53="5",J53,0)</f>
        <v>0</v>
      </c>
      <c r="R53" s="44">
        <f>IF(AG53="1",H53,0)</f>
        <v>0</v>
      </c>
      <c r="S53" s="44">
        <f>IF(AG53="1",I53,0)</f>
        <v>0</v>
      </c>
      <c r="T53" s="44">
        <f>IF(AG53="7",H53,0)</f>
        <v>0</v>
      </c>
      <c r="U53" s="44">
        <f>IF(AG53="7",I53,0)</f>
        <v>0</v>
      </c>
      <c r="V53" s="44">
        <f>IF(AG53="2",H53,0)</f>
        <v>0</v>
      </c>
      <c r="W53" s="44">
        <f>IF(AG53="2",I53,0)</f>
        <v>0</v>
      </c>
      <c r="X53" s="44">
        <f>IF(AG53="0",J53,0)</f>
        <v>0</v>
      </c>
      <c r="Y53" s="37"/>
      <c r="Z53" s="41">
        <f>IF(AD53=0,J53,0)</f>
        <v>0</v>
      </c>
      <c r="AA53" s="41">
        <f>IF(AD53=15,J53,0)</f>
        <v>0</v>
      </c>
      <c r="AB53" s="41">
        <f>IF(AD53=21,J53,0)</f>
        <v>0</v>
      </c>
      <c r="AD53" s="44">
        <v>21</v>
      </c>
      <c r="AE53" s="44">
        <f>G53*0.523530908165861</f>
        <v>0</v>
      </c>
      <c r="AF53" s="44">
        <f>G53*(1-0.523530908165861)</f>
        <v>0</v>
      </c>
      <c r="AG53" s="43" t="s">
        <v>12</v>
      </c>
      <c r="AM53" s="44">
        <f>F53*AE53</f>
        <v>0</v>
      </c>
      <c r="AN53" s="44">
        <f>F53*AF53</f>
        <v>0</v>
      </c>
      <c r="AO53" s="45" t="s">
        <v>239</v>
      </c>
      <c r="AP53" s="45" t="s">
        <v>253</v>
      </c>
      <c r="AQ53" s="37" t="s">
        <v>255</v>
      </c>
      <c r="AS53" s="44">
        <f>AM53+AN53</f>
        <v>0</v>
      </c>
      <c r="AT53" s="44">
        <f>G53/(100-AU53)*100</f>
        <v>0</v>
      </c>
      <c r="AU53" s="44">
        <v>0</v>
      </c>
      <c r="AV53" s="44">
        <f>L53</f>
        <v>0.0039039</v>
      </c>
    </row>
    <row r="54" spans="1:48" ht="25.5">
      <c r="A54" s="2" t="s">
        <v>40</v>
      </c>
      <c r="B54" s="2"/>
      <c r="C54" s="2"/>
      <c r="D54" s="28" t="s">
        <v>142</v>
      </c>
      <c r="E54" s="2" t="s">
        <v>202</v>
      </c>
      <c r="F54" s="10">
        <v>18.59</v>
      </c>
      <c r="G54" s="42">
        <v>0</v>
      </c>
      <c r="H54" s="41">
        <f>F54*AE54</f>
        <v>0</v>
      </c>
      <c r="I54" s="41">
        <f>J54-H54</f>
        <v>0</v>
      </c>
      <c r="J54" s="41">
        <f>F54*G54</f>
        <v>0</v>
      </c>
      <c r="K54" s="41">
        <v>0.00478</v>
      </c>
      <c r="L54" s="41">
        <f>F54*K54</f>
        <v>0.0888602</v>
      </c>
      <c r="M54" s="43"/>
      <c r="P54" s="44">
        <f>IF(AG54="5",J54,0)</f>
        <v>0</v>
      </c>
      <c r="R54" s="44">
        <f>IF(AG54="1",H54,0)</f>
        <v>0</v>
      </c>
      <c r="S54" s="44">
        <f>IF(AG54="1",I54,0)</f>
        <v>0</v>
      </c>
      <c r="T54" s="44">
        <f>IF(AG54="7",H54,0)</f>
        <v>0</v>
      </c>
      <c r="U54" s="44">
        <f>IF(AG54="7",I54,0)</f>
        <v>0</v>
      </c>
      <c r="V54" s="44">
        <f>IF(AG54="2",H54,0)</f>
        <v>0</v>
      </c>
      <c r="W54" s="44">
        <f>IF(AG54="2",I54,0)</f>
        <v>0</v>
      </c>
      <c r="X54" s="44">
        <f>IF(AG54="0",J54,0)</f>
        <v>0</v>
      </c>
      <c r="Y54" s="37"/>
      <c r="Z54" s="41">
        <f>IF(AD54=0,J54,0)</f>
        <v>0</v>
      </c>
      <c r="AA54" s="41">
        <f>IF(AD54=15,J54,0)</f>
        <v>0</v>
      </c>
      <c r="AB54" s="41">
        <f>IF(AD54=21,J54,0)</f>
        <v>0</v>
      </c>
      <c r="AD54" s="44">
        <v>21</v>
      </c>
      <c r="AE54" s="44">
        <f>G54*0.131240157480315</f>
        <v>0</v>
      </c>
      <c r="AF54" s="44">
        <f>G54*(1-0.131240157480315)</f>
        <v>0</v>
      </c>
      <c r="AG54" s="43" t="s">
        <v>12</v>
      </c>
      <c r="AM54" s="44">
        <f>F54*AE54</f>
        <v>0</v>
      </c>
      <c r="AN54" s="44">
        <f>F54*AF54</f>
        <v>0</v>
      </c>
      <c r="AO54" s="45" t="s">
        <v>239</v>
      </c>
      <c r="AP54" s="45" t="s">
        <v>253</v>
      </c>
      <c r="AQ54" s="37" t="s">
        <v>255</v>
      </c>
      <c r="AS54" s="44">
        <f>AM54+AN54</f>
        <v>0</v>
      </c>
      <c r="AT54" s="44">
        <f>G54/(100-AU54)*100</f>
        <v>0</v>
      </c>
      <c r="AU54" s="44">
        <v>0</v>
      </c>
      <c r="AV54" s="44">
        <f>L54</f>
        <v>0.0888602</v>
      </c>
    </row>
    <row r="55" spans="1:48" ht="12.75">
      <c r="A55" s="2" t="s">
        <v>41</v>
      </c>
      <c r="B55" s="2"/>
      <c r="C55" s="2"/>
      <c r="D55" s="28" t="s">
        <v>143</v>
      </c>
      <c r="E55" s="2" t="s">
        <v>202</v>
      </c>
      <c r="F55" s="10">
        <v>18.59</v>
      </c>
      <c r="G55" s="42">
        <v>0</v>
      </c>
      <c r="H55" s="41">
        <f>F55*AE55</f>
        <v>0</v>
      </c>
      <c r="I55" s="41">
        <f>J55-H55</f>
        <v>0</v>
      </c>
      <c r="J55" s="41">
        <f>F55*G55</f>
        <v>0</v>
      </c>
      <c r="K55" s="41">
        <v>0.0004</v>
      </c>
      <c r="L55" s="41">
        <f>F55*K55</f>
        <v>0.007436</v>
      </c>
      <c r="M55" s="43"/>
      <c r="P55" s="44">
        <f>IF(AG55="5",J55,0)</f>
        <v>0</v>
      </c>
      <c r="R55" s="44">
        <f>IF(AG55="1",H55,0)</f>
        <v>0</v>
      </c>
      <c r="S55" s="44">
        <f>IF(AG55="1",I55,0)</f>
        <v>0</v>
      </c>
      <c r="T55" s="44">
        <f>IF(AG55="7",H55,0)</f>
        <v>0</v>
      </c>
      <c r="U55" s="44">
        <f>IF(AG55="7",I55,0)</f>
        <v>0</v>
      </c>
      <c r="V55" s="44">
        <f>IF(AG55="2",H55,0)</f>
        <v>0</v>
      </c>
      <c r="W55" s="44">
        <f>IF(AG55="2",I55,0)</f>
        <v>0</v>
      </c>
      <c r="X55" s="44">
        <f>IF(AG55="0",J55,0)</f>
        <v>0</v>
      </c>
      <c r="Y55" s="37"/>
      <c r="Z55" s="41">
        <f>IF(AD55=0,J55,0)</f>
        <v>0</v>
      </c>
      <c r="AA55" s="41">
        <f>IF(AD55=15,J55,0)</f>
        <v>0</v>
      </c>
      <c r="AB55" s="41">
        <f>IF(AD55=21,J55,0)</f>
        <v>0</v>
      </c>
      <c r="AD55" s="44">
        <v>21</v>
      </c>
      <c r="AE55" s="44">
        <f>G55*1</f>
        <v>0</v>
      </c>
      <c r="AF55" s="44">
        <f>G55*(1-1)</f>
        <v>0</v>
      </c>
      <c r="AG55" s="43" t="s">
        <v>12</v>
      </c>
      <c r="AM55" s="44">
        <f>F55*AE55</f>
        <v>0</v>
      </c>
      <c r="AN55" s="44">
        <f>F55*AF55</f>
        <v>0</v>
      </c>
      <c r="AO55" s="45" t="s">
        <v>239</v>
      </c>
      <c r="AP55" s="45" t="s">
        <v>253</v>
      </c>
      <c r="AQ55" s="37" t="s">
        <v>255</v>
      </c>
      <c r="AS55" s="44">
        <f>AM55+AN55</f>
        <v>0</v>
      </c>
      <c r="AT55" s="44">
        <f>G55/(100-AU55)*100</f>
        <v>0</v>
      </c>
      <c r="AU55" s="44">
        <v>0</v>
      </c>
      <c r="AV55" s="44">
        <f>L55</f>
        <v>0.007436</v>
      </c>
    </row>
    <row r="56" spans="1:48" ht="12.75">
      <c r="A56" s="2" t="s">
        <v>42</v>
      </c>
      <c r="B56" s="2"/>
      <c r="C56" s="2"/>
      <c r="D56" s="28" t="s">
        <v>144</v>
      </c>
      <c r="E56" s="2" t="s">
        <v>205</v>
      </c>
      <c r="F56" s="10">
        <v>0.417</v>
      </c>
      <c r="G56" s="42">
        <v>0</v>
      </c>
      <c r="H56" s="41">
        <f>F56*AE56</f>
        <v>0</v>
      </c>
      <c r="I56" s="41">
        <f>J56-H56</f>
        <v>0</v>
      </c>
      <c r="J56" s="41">
        <f>F56*G56</f>
        <v>0</v>
      </c>
      <c r="K56" s="41">
        <v>0</v>
      </c>
      <c r="L56" s="41">
        <f>F56*K56</f>
        <v>0</v>
      </c>
      <c r="M56" s="43"/>
      <c r="P56" s="44">
        <f>IF(AG56="5",J56,0)</f>
        <v>0</v>
      </c>
      <c r="R56" s="44">
        <f>IF(AG56="1",H56,0)</f>
        <v>0</v>
      </c>
      <c r="S56" s="44">
        <f>IF(AG56="1",I56,0)</f>
        <v>0</v>
      </c>
      <c r="T56" s="44">
        <f>IF(AG56="7",H56,0)</f>
        <v>0</v>
      </c>
      <c r="U56" s="44">
        <f>IF(AG56="7",I56,0)</f>
        <v>0</v>
      </c>
      <c r="V56" s="44">
        <f>IF(AG56="2",H56,0)</f>
        <v>0</v>
      </c>
      <c r="W56" s="44">
        <f>IF(AG56="2",I56,0)</f>
        <v>0</v>
      </c>
      <c r="X56" s="44">
        <f>IF(AG56="0",J56,0)</f>
        <v>0</v>
      </c>
      <c r="Y56" s="37"/>
      <c r="Z56" s="41">
        <f>IF(AD56=0,J56,0)</f>
        <v>0</v>
      </c>
      <c r="AA56" s="41">
        <f>IF(AD56=15,J56,0)</f>
        <v>0</v>
      </c>
      <c r="AB56" s="41">
        <f>IF(AD56=21,J56,0)</f>
        <v>0</v>
      </c>
      <c r="AD56" s="44">
        <v>21</v>
      </c>
      <c r="AE56" s="44">
        <f>G56*0</f>
        <v>0</v>
      </c>
      <c r="AF56" s="44">
        <f>G56*(1-0)</f>
        <v>0</v>
      </c>
      <c r="AG56" s="43" t="s">
        <v>10</v>
      </c>
      <c r="AM56" s="44">
        <f>F56*AE56</f>
        <v>0</v>
      </c>
      <c r="AN56" s="44">
        <f>F56*AF56</f>
        <v>0</v>
      </c>
      <c r="AO56" s="45" t="s">
        <v>239</v>
      </c>
      <c r="AP56" s="45" t="s">
        <v>253</v>
      </c>
      <c r="AQ56" s="37" t="s">
        <v>255</v>
      </c>
      <c r="AS56" s="44">
        <f>AM56+AN56</f>
        <v>0</v>
      </c>
      <c r="AT56" s="44">
        <f>G56/(100-AU56)*100</f>
        <v>0</v>
      </c>
      <c r="AU56" s="44">
        <v>0</v>
      </c>
      <c r="AV56" s="44">
        <f>L56</f>
        <v>0</v>
      </c>
    </row>
    <row r="57" spans="1:37" ht="12.75">
      <c r="A57" s="3"/>
      <c r="B57" s="8"/>
      <c r="C57" s="8" t="s">
        <v>94</v>
      </c>
      <c r="D57" s="79" t="s">
        <v>145</v>
      </c>
      <c r="E57" s="80"/>
      <c r="F57" s="80"/>
      <c r="G57" s="80"/>
      <c r="H57" s="40">
        <f>SUM(H58:H58)</f>
        <v>0</v>
      </c>
      <c r="I57" s="40">
        <f>SUM(I58:I58)</f>
        <v>0</v>
      </c>
      <c r="J57" s="40">
        <f>H57+I57</f>
        <v>0</v>
      </c>
      <c r="K57" s="37"/>
      <c r="L57" s="40">
        <f>SUM(L58:L58)</f>
        <v>0.03363966</v>
      </c>
      <c r="M57" s="37"/>
      <c r="Y57" s="37"/>
      <c r="AI57" s="40">
        <f>SUM(Z58:Z58)</f>
        <v>0</v>
      </c>
      <c r="AJ57" s="40">
        <f>SUM(AA58:AA58)</f>
        <v>0</v>
      </c>
      <c r="AK57" s="40">
        <f>SUM(AB58:AB58)</f>
        <v>0</v>
      </c>
    </row>
    <row r="58" spans="1:48" ht="12.75">
      <c r="A58" s="2" t="s">
        <v>43</v>
      </c>
      <c r="B58" s="2"/>
      <c r="C58" s="2"/>
      <c r="D58" s="28" t="s">
        <v>146</v>
      </c>
      <c r="E58" s="2" t="s">
        <v>202</v>
      </c>
      <c r="F58" s="10">
        <v>90.918</v>
      </c>
      <c r="G58" s="42">
        <v>0</v>
      </c>
      <c r="H58" s="41">
        <f>F58*AE58</f>
        <v>0</v>
      </c>
      <c r="I58" s="41">
        <f>J58-H58</f>
        <v>0</v>
      </c>
      <c r="J58" s="41">
        <f>F58*G58</f>
        <v>0</v>
      </c>
      <c r="K58" s="41">
        <v>0.00037</v>
      </c>
      <c r="L58" s="41">
        <f>F58*K58</f>
        <v>0.03363966</v>
      </c>
      <c r="M58" s="43"/>
      <c r="P58" s="44">
        <f>IF(AG58="5",J58,0)</f>
        <v>0</v>
      </c>
      <c r="R58" s="44">
        <f>IF(AG58="1",H58,0)</f>
        <v>0</v>
      </c>
      <c r="S58" s="44">
        <f>IF(AG58="1",I58,0)</f>
        <v>0</v>
      </c>
      <c r="T58" s="44">
        <f>IF(AG58="7",H58,0)</f>
        <v>0</v>
      </c>
      <c r="U58" s="44">
        <f>IF(AG58="7",I58,0)</f>
        <v>0</v>
      </c>
      <c r="V58" s="44">
        <f>IF(AG58="2",H58,0)</f>
        <v>0</v>
      </c>
      <c r="W58" s="44">
        <f>IF(AG58="2",I58,0)</f>
        <v>0</v>
      </c>
      <c r="X58" s="44">
        <f>IF(AG58="0",J58,0)</f>
        <v>0</v>
      </c>
      <c r="Y58" s="37"/>
      <c r="Z58" s="41">
        <f>IF(AD58=0,J58,0)</f>
        <v>0</v>
      </c>
      <c r="AA58" s="41">
        <f>IF(AD58=15,J58,0)</f>
        <v>0</v>
      </c>
      <c r="AB58" s="41">
        <f>IF(AD58=21,J58,0)</f>
        <v>0</v>
      </c>
      <c r="AD58" s="44">
        <v>21</v>
      </c>
      <c r="AE58" s="44">
        <f>G58*0.431333333333333</f>
        <v>0</v>
      </c>
      <c r="AF58" s="44">
        <f>G58*(1-0.431333333333333)</f>
        <v>0</v>
      </c>
      <c r="AG58" s="43" t="s">
        <v>12</v>
      </c>
      <c r="AM58" s="44">
        <f>F58*AE58</f>
        <v>0</v>
      </c>
      <c r="AN58" s="44">
        <f>F58*AF58</f>
        <v>0</v>
      </c>
      <c r="AO58" s="45" t="s">
        <v>240</v>
      </c>
      <c r="AP58" s="45" t="s">
        <v>253</v>
      </c>
      <c r="AQ58" s="37" t="s">
        <v>255</v>
      </c>
      <c r="AS58" s="44">
        <f>AM58+AN58</f>
        <v>0</v>
      </c>
      <c r="AT58" s="44">
        <f>G58/(100-AU58)*100</f>
        <v>0</v>
      </c>
      <c r="AU58" s="44">
        <v>0</v>
      </c>
      <c r="AV58" s="44">
        <f>L58</f>
        <v>0.03363966</v>
      </c>
    </row>
    <row r="59" spans="1:37" ht="12.75">
      <c r="A59" s="123"/>
      <c r="B59" s="124"/>
      <c r="C59" s="124" t="s">
        <v>95</v>
      </c>
      <c r="D59" s="125" t="s">
        <v>147</v>
      </c>
      <c r="E59" s="126"/>
      <c r="F59" s="126"/>
      <c r="G59" s="126"/>
      <c r="H59" s="40">
        <f>SUM(H60:H61)</f>
        <v>0</v>
      </c>
      <c r="I59" s="40">
        <f>SUM(I60:I61)</f>
        <v>0</v>
      </c>
      <c r="J59" s="40">
        <f>H59+I59</f>
        <v>0</v>
      </c>
      <c r="K59" s="37"/>
      <c r="L59" s="40">
        <f>SUM(L60:L61)</f>
        <v>0.08056313999999999</v>
      </c>
      <c r="M59" s="37"/>
      <c r="Y59" s="37"/>
      <c r="AI59" s="40">
        <f>SUM(Z60:Z61)</f>
        <v>0</v>
      </c>
      <c r="AJ59" s="40">
        <f>SUM(AA60:AA61)</f>
        <v>0</v>
      </c>
      <c r="AK59" s="40">
        <f>SUM(AB60:AB61)</f>
        <v>0</v>
      </c>
    </row>
    <row r="60" spans="1:48" ht="25.5">
      <c r="A60" s="2" t="s">
        <v>44</v>
      </c>
      <c r="B60" s="2"/>
      <c r="C60" s="2"/>
      <c r="D60" s="28" t="s">
        <v>148</v>
      </c>
      <c r="E60" s="2" t="s">
        <v>202</v>
      </c>
      <c r="F60" s="10">
        <v>223.7865</v>
      </c>
      <c r="G60" s="42">
        <v>0</v>
      </c>
      <c r="H60" s="41">
        <f>F60*AE60</f>
        <v>0</v>
      </c>
      <c r="I60" s="41">
        <f>J60-H60</f>
        <v>0</v>
      </c>
      <c r="J60" s="41">
        <f>F60*G60</f>
        <v>0</v>
      </c>
      <c r="K60" s="41">
        <v>7E-05</v>
      </c>
      <c r="L60" s="41">
        <f>F60*K60</f>
        <v>0.015665054999999997</v>
      </c>
      <c r="M60" s="43"/>
      <c r="P60" s="44">
        <f>IF(AG60="5",J60,0)</f>
        <v>0</v>
      </c>
      <c r="R60" s="44">
        <f>IF(AG60="1",H60,0)</f>
        <v>0</v>
      </c>
      <c r="S60" s="44">
        <f>IF(AG60="1",I60,0)</f>
        <v>0</v>
      </c>
      <c r="T60" s="44">
        <f>IF(AG60="7",H60,0)</f>
        <v>0</v>
      </c>
      <c r="U60" s="44">
        <f>IF(AG60="7",I60,0)</f>
        <v>0</v>
      </c>
      <c r="V60" s="44">
        <f>IF(AG60="2",H60,0)</f>
        <v>0</v>
      </c>
      <c r="W60" s="44">
        <f>IF(AG60="2",I60,0)</f>
        <v>0</v>
      </c>
      <c r="X60" s="44">
        <f>IF(AG60="0",J60,0)</f>
        <v>0</v>
      </c>
      <c r="Y60" s="37"/>
      <c r="Z60" s="41">
        <f>IF(AD60=0,J60,0)</f>
        <v>0</v>
      </c>
      <c r="AA60" s="41">
        <f>IF(AD60=15,J60,0)</f>
        <v>0</v>
      </c>
      <c r="AB60" s="41">
        <f>IF(AD60=21,J60,0)</f>
        <v>0</v>
      </c>
      <c r="AD60" s="44">
        <v>21</v>
      </c>
      <c r="AE60" s="44">
        <f>G60*0.281528662420382</f>
        <v>0</v>
      </c>
      <c r="AF60" s="44">
        <f>G60*(1-0.281528662420382)</f>
        <v>0</v>
      </c>
      <c r="AG60" s="43" t="s">
        <v>12</v>
      </c>
      <c r="AM60" s="44">
        <f>F60*AE60</f>
        <v>0</v>
      </c>
      <c r="AN60" s="44">
        <f>F60*AF60</f>
        <v>0</v>
      </c>
      <c r="AO60" s="45" t="s">
        <v>241</v>
      </c>
      <c r="AP60" s="45" t="s">
        <v>253</v>
      </c>
      <c r="AQ60" s="37" t="s">
        <v>255</v>
      </c>
      <c r="AS60" s="44">
        <f>AM60+AN60</f>
        <v>0</v>
      </c>
      <c r="AT60" s="44">
        <f>G60/(100-AU60)*100</f>
        <v>0</v>
      </c>
      <c r="AU60" s="44">
        <v>0</v>
      </c>
      <c r="AV60" s="44">
        <f>L60</f>
        <v>0.015665054999999997</v>
      </c>
    </row>
    <row r="61" spans="1:48" ht="25.5">
      <c r="A61" s="2" t="s">
        <v>45</v>
      </c>
      <c r="B61" s="2"/>
      <c r="C61" s="2"/>
      <c r="D61" s="28" t="s">
        <v>149</v>
      </c>
      <c r="E61" s="2" t="s">
        <v>202</v>
      </c>
      <c r="F61" s="10">
        <v>223.7865</v>
      </c>
      <c r="G61" s="42">
        <v>0</v>
      </c>
      <c r="H61" s="41">
        <f>F61*AE61</f>
        <v>0</v>
      </c>
      <c r="I61" s="41">
        <f>J61-H61</f>
        <v>0</v>
      </c>
      <c r="J61" s="41">
        <f>F61*G61</f>
        <v>0</v>
      </c>
      <c r="K61" s="41">
        <v>0.00029</v>
      </c>
      <c r="L61" s="41">
        <f>F61*K61</f>
        <v>0.064898085</v>
      </c>
      <c r="M61" s="43"/>
      <c r="P61" s="44">
        <f>IF(AG61="5",J61,0)</f>
        <v>0</v>
      </c>
      <c r="R61" s="44">
        <f>IF(AG61="1",H61,0)</f>
        <v>0</v>
      </c>
      <c r="S61" s="44">
        <f>IF(AG61="1",I61,0)</f>
        <v>0</v>
      </c>
      <c r="T61" s="44">
        <f>IF(AG61="7",H61,0)</f>
        <v>0</v>
      </c>
      <c r="U61" s="44">
        <f>IF(AG61="7",I61,0)</f>
        <v>0</v>
      </c>
      <c r="V61" s="44">
        <f>IF(AG61="2",H61,0)</f>
        <v>0</v>
      </c>
      <c r="W61" s="44">
        <f>IF(AG61="2",I61,0)</f>
        <v>0</v>
      </c>
      <c r="X61" s="44">
        <f>IF(AG61="0",J61,0)</f>
        <v>0</v>
      </c>
      <c r="Y61" s="37"/>
      <c r="Z61" s="41">
        <f>IF(AD61=0,J61,0)</f>
        <v>0</v>
      </c>
      <c r="AA61" s="41">
        <f>IF(AD61=15,J61,0)</f>
        <v>0</v>
      </c>
      <c r="AB61" s="41">
        <f>IF(AD61=21,J61,0)</f>
        <v>0</v>
      </c>
      <c r="AD61" s="44">
        <v>21</v>
      </c>
      <c r="AE61" s="44">
        <f>G61*0.240522595844935</f>
        <v>0</v>
      </c>
      <c r="AF61" s="44">
        <f>G61*(1-0.240522595844935)</f>
        <v>0</v>
      </c>
      <c r="AG61" s="43" t="s">
        <v>12</v>
      </c>
      <c r="AM61" s="44">
        <f>F61*AE61</f>
        <v>0</v>
      </c>
      <c r="AN61" s="44">
        <f>F61*AF61</f>
        <v>0</v>
      </c>
      <c r="AO61" s="45" t="s">
        <v>241</v>
      </c>
      <c r="AP61" s="45" t="s">
        <v>253</v>
      </c>
      <c r="AQ61" s="37" t="s">
        <v>255</v>
      </c>
      <c r="AS61" s="44">
        <f>AM61+AN61</f>
        <v>0</v>
      </c>
      <c r="AT61" s="44">
        <f>G61/(100-AU61)*100</f>
        <v>0</v>
      </c>
      <c r="AU61" s="44">
        <v>0</v>
      </c>
      <c r="AV61" s="44">
        <f>L61</f>
        <v>0.064898085</v>
      </c>
    </row>
    <row r="62" spans="1:37" ht="12.75">
      <c r="A62" s="3"/>
      <c r="B62" s="8"/>
      <c r="C62" s="8" t="s">
        <v>96</v>
      </c>
      <c r="D62" s="79" t="s">
        <v>150</v>
      </c>
      <c r="E62" s="80"/>
      <c r="F62" s="80"/>
      <c r="G62" s="80"/>
      <c r="H62" s="40">
        <f>SUM(H63:H73)</f>
        <v>0</v>
      </c>
      <c r="I62" s="40">
        <f>SUM(I63:I73)</f>
        <v>0</v>
      </c>
      <c r="J62" s="40">
        <f>H62+I62</f>
        <v>0</v>
      </c>
      <c r="K62" s="37"/>
      <c r="L62" s="40">
        <f>SUM(L63:L73)</f>
        <v>0</v>
      </c>
      <c r="M62" s="37"/>
      <c r="Y62" s="37"/>
      <c r="AI62" s="40">
        <f>SUM(Z63:Z73)</f>
        <v>0</v>
      </c>
      <c r="AJ62" s="40">
        <f>SUM(AA63:AA73)</f>
        <v>0</v>
      </c>
      <c r="AK62" s="40">
        <f>SUM(AB63:AB73)</f>
        <v>0</v>
      </c>
    </row>
    <row r="63" spans="1:48" ht="12.75">
      <c r="A63" s="2" t="s">
        <v>46</v>
      </c>
      <c r="B63" s="2"/>
      <c r="C63" s="2"/>
      <c r="D63" s="28" t="s">
        <v>432</v>
      </c>
      <c r="E63" s="2" t="s">
        <v>207</v>
      </c>
      <c r="F63" s="10">
        <v>1</v>
      </c>
      <c r="G63" s="42">
        <v>0</v>
      </c>
      <c r="H63" s="41">
        <f aca="true" t="shared" si="40" ref="H63:H73">F63*AE63</f>
        <v>0</v>
      </c>
      <c r="I63" s="41">
        <f aca="true" t="shared" si="41" ref="I63:I73">J63-H63</f>
        <v>0</v>
      </c>
      <c r="J63" s="41">
        <f aca="true" t="shared" si="42" ref="J63:J73">F63*G63</f>
        <v>0</v>
      </c>
      <c r="K63" s="41">
        <v>0</v>
      </c>
      <c r="L63" s="41">
        <f aca="true" t="shared" si="43" ref="L63:L73">F63*K63</f>
        <v>0</v>
      </c>
      <c r="M63" s="43"/>
      <c r="P63" s="44">
        <f aca="true" t="shared" si="44" ref="P63:P73">IF(AG63="5",J63,0)</f>
        <v>0</v>
      </c>
      <c r="R63" s="44">
        <f aca="true" t="shared" si="45" ref="R63:R73">IF(AG63="1",H63,0)</f>
        <v>0</v>
      </c>
      <c r="S63" s="44">
        <f aca="true" t="shared" si="46" ref="S63:S73">IF(AG63="1",I63,0)</f>
        <v>0</v>
      </c>
      <c r="T63" s="44">
        <f aca="true" t="shared" si="47" ref="T63:T73">IF(AG63="7",H63,0)</f>
        <v>0</v>
      </c>
      <c r="U63" s="44">
        <f aca="true" t="shared" si="48" ref="U63:U73">IF(AG63="7",I63,0)</f>
        <v>0</v>
      </c>
      <c r="V63" s="44">
        <f aca="true" t="shared" si="49" ref="V63:V73">IF(AG63="2",H63,0)</f>
        <v>0</v>
      </c>
      <c r="W63" s="44">
        <f aca="true" t="shared" si="50" ref="W63:W73">IF(AG63="2",I63,0)</f>
        <v>0</v>
      </c>
      <c r="X63" s="44">
        <f aca="true" t="shared" si="51" ref="X63:X73">IF(AG63="0",J63,0)</f>
        <v>0</v>
      </c>
      <c r="Y63" s="37"/>
      <c r="Z63" s="41">
        <f aca="true" t="shared" si="52" ref="Z63:Z73">IF(AD63=0,J63,0)</f>
        <v>0</v>
      </c>
      <c r="AA63" s="41">
        <f aca="true" t="shared" si="53" ref="AA63:AA73">IF(AD63=15,J63,0)</f>
        <v>0</v>
      </c>
      <c r="AB63" s="41">
        <f aca="true" t="shared" si="54" ref="AB63:AB73">IF(AD63=21,J63,0)</f>
        <v>0</v>
      </c>
      <c r="AD63" s="44">
        <v>21</v>
      </c>
      <c r="AE63" s="44">
        <f aca="true" t="shared" si="55" ref="AE63:AE73">G63*0</f>
        <v>0</v>
      </c>
      <c r="AF63" s="44">
        <f aca="true" t="shared" si="56" ref="AF63:AF73">G63*(1-0)</f>
        <v>0</v>
      </c>
      <c r="AG63" s="43" t="s">
        <v>6</v>
      </c>
      <c r="AM63" s="44">
        <f aca="true" t="shared" si="57" ref="AM63:AM73">F63*AE63</f>
        <v>0</v>
      </c>
      <c r="AN63" s="44">
        <f aca="true" t="shared" si="58" ref="AN63:AN73">F63*AF63</f>
        <v>0</v>
      </c>
      <c r="AO63" s="45" t="s">
        <v>242</v>
      </c>
      <c r="AP63" s="45" t="s">
        <v>254</v>
      </c>
      <c r="AQ63" s="37" t="s">
        <v>255</v>
      </c>
      <c r="AS63" s="44">
        <f aca="true" t="shared" si="59" ref="AS63:AS73">AM63+AN63</f>
        <v>0</v>
      </c>
      <c r="AT63" s="44">
        <f aca="true" t="shared" si="60" ref="AT63:AT73">G63/(100-AU63)*100</f>
        <v>0</v>
      </c>
      <c r="AU63" s="44">
        <v>0</v>
      </c>
      <c r="AV63" s="44">
        <f aca="true" t="shared" si="61" ref="AV63:AV73">L63</f>
        <v>0</v>
      </c>
    </row>
    <row r="64" spans="1:48" ht="25.5">
      <c r="A64" s="2" t="s">
        <v>47</v>
      </c>
      <c r="B64" s="2"/>
      <c r="C64" s="2"/>
      <c r="D64" s="32" t="s">
        <v>422</v>
      </c>
      <c r="E64" s="2" t="s">
        <v>207</v>
      </c>
      <c r="F64" s="10">
        <v>1</v>
      </c>
      <c r="G64" s="42">
        <v>0</v>
      </c>
      <c r="H64" s="41">
        <f t="shared" si="40"/>
        <v>0</v>
      </c>
      <c r="I64" s="41">
        <f t="shared" si="41"/>
        <v>0</v>
      </c>
      <c r="J64" s="41">
        <f t="shared" si="42"/>
        <v>0</v>
      </c>
      <c r="K64" s="41">
        <v>0</v>
      </c>
      <c r="L64" s="41">
        <f t="shared" si="43"/>
        <v>0</v>
      </c>
      <c r="M64" s="43"/>
      <c r="P64" s="44">
        <f t="shared" si="44"/>
        <v>0</v>
      </c>
      <c r="R64" s="44">
        <f t="shared" si="45"/>
        <v>0</v>
      </c>
      <c r="S64" s="44">
        <f t="shared" si="46"/>
        <v>0</v>
      </c>
      <c r="T64" s="44">
        <f t="shared" si="47"/>
        <v>0</v>
      </c>
      <c r="U64" s="44">
        <f t="shared" si="48"/>
        <v>0</v>
      </c>
      <c r="V64" s="44">
        <f t="shared" si="49"/>
        <v>0</v>
      </c>
      <c r="W64" s="44">
        <f t="shared" si="50"/>
        <v>0</v>
      </c>
      <c r="X64" s="44">
        <f t="shared" si="51"/>
        <v>0</v>
      </c>
      <c r="Y64" s="37"/>
      <c r="Z64" s="41">
        <f t="shared" si="52"/>
        <v>0</v>
      </c>
      <c r="AA64" s="41">
        <f t="shared" si="53"/>
        <v>0</v>
      </c>
      <c r="AB64" s="41">
        <f t="shared" si="54"/>
        <v>0</v>
      </c>
      <c r="AD64" s="44">
        <v>21</v>
      </c>
      <c r="AE64" s="44">
        <f t="shared" si="55"/>
        <v>0</v>
      </c>
      <c r="AF64" s="44">
        <f t="shared" si="56"/>
        <v>0</v>
      </c>
      <c r="AG64" s="43" t="s">
        <v>6</v>
      </c>
      <c r="AM64" s="44">
        <f t="shared" si="57"/>
        <v>0</v>
      </c>
      <c r="AN64" s="44">
        <f t="shared" si="58"/>
        <v>0</v>
      </c>
      <c r="AO64" s="45" t="s">
        <v>242</v>
      </c>
      <c r="AP64" s="45" t="s">
        <v>254</v>
      </c>
      <c r="AQ64" s="37" t="s">
        <v>255</v>
      </c>
      <c r="AS64" s="44">
        <f t="shared" si="59"/>
        <v>0</v>
      </c>
      <c r="AT64" s="44">
        <f t="shared" si="60"/>
        <v>0</v>
      </c>
      <c r="AU64" s="44">
        <v>0</v>
      </c>
      <c r="AV64" s="44">
        <f t="shared" si="61"/>
        <v>0</v>
      </c>
    </row>
    <row r="65" spans="1:48" ht="25.5">
      <c r="A65" s="2" t="s">
        <v>48</v>
      </c>
      <c r="B65" s="2"/>
      <c r="C65" s="2"/>
      <c r="D65" s="32" t="s">
        <v>423</v>
      </c>
      <c r="E65" s="2" t="s">
        <v>207</v>
      </c>
      <c r="F65" s="10">
        <v>1</v>
      </c>
      <c r="G65" s="42">
        <v>0</v>
      </c>
      <c r="H65" s="41">
        <f t="shared" si="40"/>
        <v>0</v>
      </c>
      <c r="I65" s="41">
        <f t="shared" si="41"/>
        <v>0</v>
      </c>
      <c r="J65" s="41">
        <f t="shared" si="42"/>
        <v>0</v>
      </c>
      <c r="K65" s="41">
        <v>0</v>
      </c>
      <c r="L65" s="41">
        <f t="shared" si="43"/>
        <v>0</v>
      </c>
      <c r="M65" s="43"/>
      <c r="P65" s="44">
        <f t="shared" si="44"/>
        <v>0</v>
      </c>
      <c r="R65" s="44">
        <f t="shared" si="45"/>
        <v>0</v>
      </c>
      <c r="S65" s="44">
        <f t="shared" si="46"/>
        <v>0</v>
      </c>
      <c r="T65" s="44">
        <f t="shared" si="47"/>
        <v>0</v>
      </c>
      <c r="U65" s="44">
        <f t="shared" si="48"/>
        <v>0</v>
      </c>
      <c r="V65" s="44">
        <f t="shared" si="49"/>
        <v>0</v>
      </c>
      <c r="W65" s="44">
        <f t="shared" si="50"/>
        <v>0</v>
      </c>
      <c r="X65" s="44">
        <f t="shared" si="51"/>
        <v>0</v>
      </c>
      <c r="Y65" s="37"/>
      <c r="Z65" s="41">
        <f t="shared" si="52"/>
        <v>0</v>
      </c>
      <c r="AA65" s="41">
        <f t="shared" si="53"/>
        <v>0</v>
      </c>
      <c r="AB65" s="41">
        <f t="shared" si="54"/>
        <v>0</v>
      </c>
      <c r="AD65" s="44">
        <v>21</v>
      </c>
      <c r="AE65" s="44">
        <f t="shared" si="55"/>
        <v>0</v>
      </c>
      <c r="AF65" s="44">
        <f t="shared" si="56"/>
        <v>0</v>
      </c>
      <c r="AG65" s="43" t="s">
        <v>6</v>
      </c>
      <c r="AM65" s="44">
        <f t="shared" si="57"/>
        <v>0</v>
      </c>
      <c r="AN65" s="44">
        <f t="shared" si="58"/>
        <v>0</v>
      </c>
      <c r="AO65" s="45" t="s">
        <v>242</v>
      </c>
      <c r="AP65" s="45" t="s">
        <v>254</v>
      </c>
      <c r="AQ65" s="37" t="s">
        <v>255</v>
      </c>
      <c r="AS65" s="44">
        <f t="shared" si="59"/>
        <v>0</v>
      </c>
      <c r="AT65" s="44">
        <f t="shared" si="60"/>
        <v>0</v>
      </c>
      <c r="AU65" s="44">
        <v>0</v>
      </c>
      <c r="AV65" s="44">
        <f t="shared" si="61"/>
        <v>0</v>
      </c>
    </row>
    <row r="66" spans="1:48" ht="25.5">
      <c r="A66" s="2" t="s">
        <v>49</v>
      </c>
      <c r="B66" s="2"/>
      <c r="C66" s="2"/>
      <c r="D66" s="28" t="s">
        <v>151</v>
      </c>
      <c r="E66" s="2" t="s">
        <v>207</v>
      </c>
      <c r="F66" s="10">
        <v>1</v>
      </c>
      <c r="G66" s="42">
        <v>0</v>
      </c>
      <c r="H66" s="41">
        <f t="shared" si="40"/>
        <v>0</v>
      </c>
      <c r="I66" s="41">
        <f t="shared" si="41"/>
        <v>0</v>
      </c>
      <c r="J66" s="41">
        <f t="shared" si="42"/>
        <v>0</v>
      </c>
      <c r="K66" s="41">
        <v>0</v>
      </c>
      <c r="L66" s="41">
        <f t="shared" si="43"/>
        <v>0</v>
      </c>
      <c r="M66" s="43"/>
      <c r="P66" s="44">
        <f t="shared" si="44"/>
        <v>0</v>
      </c>
      <c r="R66" s="44">
        <f t="shared" si="45"/>
        <v>0</v>
      </c>
      <c r="S66" s="44">
        <f t="shared" si="46"/>
        <v>0</v>
      </c>
      <c r="T66" s="44">
        <f t="shared" si="47"/>
        <v>0</v>
      </c>
      <c r="U66" s="44">
        <f t="shared" si="48"/>
        <v>0</v>
      </c>
      <c r="V66" s="44">
        <f t="shared" si="49"/>
        <v>0</v>
      </c>
      <c r="W66" s="44">
        <f t="shared" si="50"/>
        <v>0</v>
      </c>
      <c r="X66" s="44">
        <f t="shared" si="51"/>
        <v>0</v>
      </c>
      <c r="Y66" s="37"/>
      <c r="Z66" s="41">
        <f t="shared" si="52"/>
        <v>0</v>
      </c>
      <c r="AA66" s="41">
        <f t="shared" si="53"/>
        <v>0</v>
      </c>
      <c r="AB66" s="41">
        <f t="shared" si="54"/>
        <v>0</v>
      </c>
      <c r="AD66" s="44">
        <v>21</v>
      </c>
      <c r="AE66" s="44">
        <f t="shared" si="55"/>
        <v>0</v>
      </c>
      <c r="AF66" s="44">
        <f t="shared" si="56"/>
        <v>0</v>
      </c>
      <c r="AG66" s="43" t="s">
        <v>6</v>
      </c>
      <c r="AM66" s="44">
        <f t="shared" si="57"/>
        <v>0</v>
      </c>
      <c r="AN66" s="44">
        <f t="shared" si="58"/>
        <v>0</v>
      </c>
      <c r="AO66" s="45" t="s">
        <v>242</v>
      </c>
      <c r="AP66" s="45" t="s">
        <v>254</v>
      </c>
      <c r="AQ66" s="37" t="s">
        <v>255</v>
      </c>
      <c r="AS66" s="44">
        <f t="shared" si="59"/>
        <v>0</v>
      </c>
      <c r="AT66" s="44">
        <f t="shared" si="60"/>
        <v>0</v>
      </c>
      <c r="AU66" s="44">
        <v>0</v>
      </c>
      <c r="AV66" s="44">
        <f t="shared" si="61"/>
        <v>0</v>
      </c>
    </row>
    <row r="67" spans="1:48" ht="25.5">
      <c r="A67" s="2" t="s">
        <v>50</v>
      </c>
      <c r="B67" s="2"/>
      <c r="C67" s="2"/>
      <c r="D67" s="28" t="s">
        <v>152</v>
      </c>
      <c r="E67" s="2" t="s">
        <v>207</v>
      </c>
      <c r="F67" s="10">
        <v>1</v>
      </c>
      <c r="G67" s="42">
        <v>0</v>
      </c>
      <c r="H67" s="41">
        <f t="shared" si="40"/>
        <v>0</v>
      </c>
      <c r="I67" s="41">
        <f t="shared" si="41"/>
        <v>0</v>
      </c>
      <c r="J67" s="41">
        <f t="shared" si="42"/>
        <v>0</v>
      </c>
      <c r="K67" s="41">
        <v>0</v>
      </c>
      <c r="L67" s="41">
        <f t="shared" si="43"/>
        <v>0</v>
      </c>
      <c r="M67" s="43"/>
      <c r="P67" s="44">
        <f t="shared" si="44"/>
        <v>0</v>
      </c>
      <c r="R67" s="44">
        <f t="shared" si="45"/>
        <v>0</v>
      </c>
      <c r="S67" s="44">
        <f t="shared" si="46"/>
        <v>0</v>
      </c>
      <c r="T67" s="44">
        <f t="shared" si="47"/>
        <v>0</v>
      </c>
      <c r="U67" s="44">
        <f t="shared" si="48"/>
        <v>0</v>
      </c>
      <c r="V67" s="44">
        <f t="shared" si="49"/>
        <v>0</v>
      </c>
      <c r="W67" s="44">
        <f t="shared" si="50"/>
        <v>0</v>
      </c>
      <c r="X67" s="44">
        <f t="shared" si="51"/>
        <v>0</v>
      </c>
      <c r="Y67" s="37"/>
      <c r="Z67" s="41">
        <f t="shared" si="52"/>
        <v>0</v>
      </c>
      <c r="AA67" s="41">
        <f t="shared" si="53"/>
        <v>0</v>
      </c>
      <c r="AB67" s="41">
        <f t="shared" si="54"/>
        <v>0</v>
      </c>
      <c r="AD67" s="44">
        <v>21</v>
      </c>
      <c r="AE67" s="44">
        <f t="shared" si="55"/>
        <v>0</v>
      </c>
      <c r="AF67" s="44">
        <f t="shared" si="56"/>
        <v>0</v>
      </c>
      <c r="AG67" s="43" t="s">
        <v>6</v>
      </c>
      <c r="AM67" s="44">
        <f t="shared" si="57"/>
        <v>0</v>
      </c>
      <c r="AN67" s="44">
        <f t="shared" si="58"/>
        <v>0</v>
      </c>
      <c r="AO67" s="45" t="s">
        <v>242</v>
      </c>
      <c r="AP67" s="45" t="s">
        <v>254</v>
      </c>
      <c r="AQ67" s="37" t="s">
        <v>255</v>
      </c>
      <c r="AS67" s="44">
        <f t="shared" si="59"/>
        <v>0</v>
      </c>
      <c r="AT67" s="44">
        <f t="shared" si="60"/>
        <v>0</v>
      </c>
      <c r="AU67" s="44">
        <v>0</v>
      </c>
      <c r="AV67" s="44">
        <f t="shared" si="61"/>
        <v>0</v>
      </c>
    </row>
    <row r="68" spans="1:48" ht="25.5">
      <c r="A68" s="2" t="s">
        <v>51</v>
      </c>
      <c r="B68" s="2"/>
      <c r="C68" s="2"/>
      <c r="D68" s="28" t="s">
        <v>153</v>
      </c>
      <c r="E68" s="2" t="s">
        <v>207</v>
      </c>
      <c r="F68" s="10">
        <v>1</v>
      </c>
      <c r="G68" s="42">
        <v>0</v>
      </c>
      <c r="H68" s="41">
        <f t="shared" si="40"/>
        <v>0</v>
      </c>
      <c r="I68" s="41">
        <f t="shared" si="41"/>
        <v>0</v>
      </c>
      <c r="J68" s="41">
        <f t="shared" si="42"/>
        <v>0</v>
      </c>
      <c r="K68" s="41">
        <v>0</v>
      </c>
      <c r="L68" s="41">
        <f t="shared" si="43"/>
        <v>0</v>
      </c>
      <c r="M68" s="43"/>
      <c r="P68" s="44">
        <f t="shared" si="44"/>
        <v>0</v>
      </c>
      <c r="R68" s="44">
        <f t="shared" si="45"/>
        <v>0</v>
      </c>
      <c r="S68" s="44">
        <f t="shared" si="46"/>
        <v>0</v>
      </c>
      <c r="T68" s="44">
        <f t="shared" si="47"/>
        <v>0</v>
      </c>
      <c r="U68" s="44">
        <f t="shared" si="48"/>
        <v>0</v>
      </c>
      <c r="V68" s="44">
        <f t="shared" si="49"/>
        <v>0</v>
      </c>
      <c r="W68" s="44">
        <f t="shared" si="50"/>
        <v>0</v>
      </c>
      <c r="X68" s="44">
        <f t="shared" si="51"/>
        <v>0</v>
      </c>
      <c r="Y68" s="37"/>
      <c r="Z68" s="41">
        <f t="shared" si="52"/>
        <v>0</v>
      </c>
      <c r="AA68" s="41">
        <f t="shared" si="53"/>
        <v>0</v>
      </c>
      <c r="AB68" s="41">
        <f t="shared" si="54"/>
        <v>0</v>
      </c>
      <c r="AD68" s="44">
        <v>21</v>
      </c>
      <c r="AE68" s="44">
        <f t="shared" si="55"/>
        <v>0</v>
      </c>
      <c r="AF68" s="44">
        <f t="shared" si="56"/>
        <v>0</v>
      </c>
      <c r="AG68" s="43" t="s">
        <v>6</v>
      </c>
      <c r="AM68" s="44">
        <f t="shared" si="57"/>
        <v>0</v>
      </c>
      <c r="AN68" s="44">
        <f t="shared" si="58"/>
        <v>0</v>
      </c>
      <c r="AO68" s="45" t="s">
        <v>242</v>
      </c>
      <c r="AP68" s="45" t="s">
        <v>254</v>
      </c>
      <c r="AQ68" s="37" t="s">
        <v>255</v>
      </c>
      <c r="AS68" s="44">
        <f t="shared" si="59"/>
        <v>0</v>
      </c>
      <c r="AT68" s="44">
        <f t="shared" si="60"/>
        <v>0</v>
      </c>
      <c r="AU68" s="44">
        <v>0</v>
      </c>
      <c r="AV68" s="44">
        <f t="shared" si="61"/>
        <v>0</v>
      </c>
    </row>
    <row r="69" spans="1:48" ht="25.5">
      <c r="A69" s="2" t="s">
        <v>52</v>
      </c>
      <c r="B69" s="2"/>
      <c r="C69" s="2"/>
      <c r="D69" s="28" t="s">
        <v>154</v>
      </c>
      <c r="E69" s="2" t="s">
        <v>207</v>
      </c>
      <c r="F69" s="10">
        <v>1</v>
      </c>
      <c r="G69" s="42">
        <v>0</v>
      </c>
      <c r="H69" s="41">
        <f t="shared" si="40"/>
        <v>0</v>
      </c>
      <c r="I69" s="41">
        <f t="shared" si="41"/>
        <v>0</v>
      </c>
      <c r="J69" s="41">
        <f t="shared" si="42"/>
        <v>0</v>
      </c>
      <c r="K69" s="41">
        <v>0</v>
      </c>
      <c r="L69" s="41">
        <f t="shared" si="43"/>
        <v>0</v>
      </c>
      <c r="M69" s="43"/>
      <c r="P69" s="44">
        <f t="shared" si="44"/>
        <v>0</v>
      </c>
      <c r="R69" s="44">
        <f t="shared" si="45"/>
        <v>0</v>
      </c>
      <c r="S69" s="44">
        <f t="shared" si="46"/>
        <v>0</v>
      </c>
      <c r="T69" s="44">
        <f t="shared" si="47"/>
        <v>0</v>
      </c>
      <c r="U69" s="44">
        <f t="shared" si="48"/>
        <v>0</v>
      </c>
      <c r="V69" s="44">
        <f t="shared" si="49"/>
        <v>0</v>
      </c>
      <c r="W69" s="44">
        <f t="shared" si="50"/>
        <v>0</v>
      </c>
      <c r="X69" s="44">
        <f t="shared" si="51"/>
        <v>0</v>
      </c>
      <c r="Y69" s="37"/>
      <c r="Z69" s="41">
        <f t="shared" si="52"/>
        <v>0</v>
      </c>
      <c r="AA69" s="41">
        <f t="shared" si="53"/>
        <v>0</v>
      </c>
      <c r="AB69" s="41">
        <f t="shared" si="54"/>
        <v>0</v>
      </c>
      <c r="AD69" s="44">
        <v>21</v>
      </c>
      <c r="AE69" s="44">
        <f t="shared" si="55"/>
        <v>0</v>
      </c>
      <c r="AF69" s="44">
        <f t="shared" si="56"/>
        <v>0</v>
      </c>
      <c r="AG69" s="43" t="s">
        <v>6</v>
      </c>
      <c r="AM69" s="44">
        <f t="shared" si="57"/>
        <v>0</v>
      </c>
      <c r="AN69" s="44">
        <f t="shared" si="58"/>
        <v>0</v>
      </c>
      <c r="AO69" s="45" t="s">
        <v>242</v>
      </c>
      <c r="AP69" s="45" t="s">
        <v>254</v>
      </c>
      <c r="AQ69" s="37" t="s">
        <v>255</v>
      </c>
      <c r="AS69" s="44">
        <f t="shared" si="59"/>
        <v>0</v>
      </c>
      <c r="AT69" s="44">
        <f t="shared" si="60"/>
        <v>0</v>
      </c>
      <c r="AU69" s="44">
        <v>0</v>
      </c>
      <c r="AV69" s="44">
        <f t="shared" si="61"/>
        <v>0</v>
      </c>
    </row>
    <row r="70" spans="1:48" ht="12.75">
      <c r="A70" s="2" t="s">
        <v>53</v>
      </c>
      <c r="B70" s="2"/>
      <c r="C70" s="2"/>
      <c r="D70" s="28" t="s">
        <v>155</v>
      </c>
      <c r="E70" s="2" t="s">
        <v>207</v>
      </c>
      <c r="F70" s="10">
        <v>1</v>
      </c>
      <c r="G70" s="42">
        <v>0</v>
      </c>
      <c r="H70" s="41">
        <f t="shared" si="40"/>
        <v>0</v>
      </c>
      <c r="I70" s="41">
        <f t="shared" si="41"/>
        <v>0</v>
      </c>
      <c r="J70" s="41">
        <f t="shared" si="42"/>
        <v>0</v>
      </c>
      <c r="K70" s="41">
        <v>0</v>
      </c>
      <c r="L70" s="41">
        <f t="shared" si="43"/>
        <v>0</v>
      </c>
      <c r="M70" s="43"/>
      <c r="P70" s="44">
        <f t="shared" si="44"/>
        <v>0</v>
      </c>
      <c r="R70" s="44">
        <f t="shared" si="45"/>
        <v>0</v>
      </c>
      <c r="S70" s="44">
        <f t="shared" si="46"/>
        <v>0</v>
      </c>
      <c r="T70" s="44">
        <f t="shared" si="47"/>
        <v>0</v>
      </c>
      <c r="U70" s="44">
        <f t="shared" si="48"/>
        <v>0</v>
      </c>
      <c r="V70" s="44">
        <f t="shared" si="49"/>
        <v>0</v>
      </c>
      <c r="W70" s="44">
        <f t="shared" si="50"/>
        <v>0</v>
      </c>
      <c r="X70" s="44">
        <f t="shared" si="51"/>
        <v>0</v>
      </c>
      <c r="Y70" s="37"/>
      <c r="Z70" s="41">
        <f t="shared" si="52"/>
        <v>0</v>
      </c>
      <c r="AA70" s="41">
        <f t="shared" si="53"/>
        <v>0</v>
      </c>
      <c r="AB70" s="41">
        <f t="shared" si="54"/>
        <v>0</v>
      </c>
      <c r="AD70" s="44">
        <v>21</v>
      </c>
      <c r="AE70" s="44">
        <f t="shared" si="55"/>
        <v>0</v>
      </c>
      <c r="AF70" s="44">
        <f t="shared" si="56"/>
        <v>0</v>
      </c>
      <c r="AG70" s="43" t="s">
        <v>6</v>
      </c>
      <c r="AM70" s="44">
        <f t="shared" si="57"/>
        <v>0</v>
      </c>
      <c r="AN70" s="44">
        <f t="shared" si="58"/>
        <v>0</v>
      </c>
      <c r="AO70" s="45" t="s">
        <v>242</v>
      </c>
      <c r="AP70" s="45" t="s">
        <v>254</v>
      </c>
      <c r="AQ70" s="37" t="s">
        <v>255</v>
      </c>
      <c r="AS70" s="44">
        <f t="shared" si="59"/>
        <v>0</v>
      </c>
      <c r="AT70" s="44">
        <f t="shared" si="60"/>
        <v>0</v>
      </c>
      <c r="AU70" s="44">
        <v>0</v>
      </c>
      <c r="AV70" s="44">
        <f t="shared" si="61"/>
        <v>0</v>
      </c>
    </row>
    <row r="71" spans="1:48" ht="12.75">
      <c r="A71" s="2" t="s">
        <v>54</v>
      </c>
      <c r="B71" s="2"/>
      <c r="C71" s="2"/>
      <c r="D71" s="28" t="s">
        <v>156</v>
      </c>
      <c r="E71" s="2" t="s">
        <v>202</v>
      </c>
      <c r="F71" s="10">
        <v>5343.75</v>
      </c>
      <c r="G71" s="42">
        <v>0</v>
      </c>
      <c r="H71" s="41">
        <f t="shared" si="40"/>
        <v>0</v>
      </c>
      <c r="I71" s="41">
        <f t="shared" si="41"/>
        <v>0</v>
      </c>
      <c r="J71" s="41">
        <f t="shared" si="42"/>
        <v>0</v>
      </c>
      <c r="K71" s="41">
        <v>0</v>
      </c>
      <c r="L71" s="41">
        <f t="shared" si="43"/>
        <v>0</v>
      </c>
      <c r="M71" s="43"/>
      <c r="P71" s="44">
        <f t="shared" si="44"/>
        <v>0</v>
      </c>
      <c r="R71" s="44">
        <f t="shared" si="45"/>
        <v>0</v>
      </c>
      <c r="S71" s="44">
        <f t="shared" si="46"/>
        <v>0</v>
      </c>
      <c r="T71" s="44">
        <f t="shared" si="47"/>
        <v>0</v>
      </c>
      <c r="U71" s="44">
        <f t="shared" si="48"/>
        <v>0</v>
      </c>
      <c r="V71" s="44">
        <f t="shared" si="49"/>
        <v>0</v>
      </c>
      <c r="W71" s="44">
        <f t="shared" si="50"/>
        <v>0</v>
      </c>
      <c r="X71" s="44">
        <f t="shared" si="51"/>
        <v>0</v>
      </c>
      <c r="Y71" s="37"/>
      <c r="Z71" s="41">
        <f t="shared" si="52"/>
        <v>0</v>
      </c>
      <c r="AA71" s="41">
        <f t="shared" si="53"/>
        <v>0</v>
      </c>
      <c r="AB71" s="41">
        <f t="shared" si="54"/>
        <v>0</v>
      </c>
      <c r="AD71" s="44">
        <v>21</v>
      </c>
      <c r="AE71" s="44">
        <f t="shared" si="55"/>
        <v>0</v>
      </c>
      <c r="AF71" s="44">
        <f t="shared" si="56"/>
        <v>0</v>
      </c>
      <c r="AG71" s="43" t="s">
        <v>6</v>
      </c>
      <c r="AM71" s="44">
        <f t="shared" si="57"/>
        <v>0</v>
      </c>
      <c r="AN71" s="44">
        <f t="shared" si="58"/>
        <v>0</v>
      </c>
      <c r="AO71" s="45" t="s">
        <v>242</v>
      </c>
      <c r="AP71" s="45" t="s">
        <v>254</v>
      </c>
      <c r="AQ71" s="37" t="s">
        <v>255</v>
      </c>
      <c r="AS71" s="44">
        <f t="shared" si="59"/>
        <v>0</v>
      </c>
      <c r="AT71" s="44">
        <f t="shared" si="60"/>
        <v>0</v>
      </c>
      <c r="AU71" s="44">
        <v>0</v>
      </c>
      <c r="AV71" s="44">
        <f t="shared" si="61"/>
        <v>0</v>
      </c>
    </row>
    <row r="72" spans="1:48" ht="25.5">
      <c r="A72" s="2" t="s">
        <v>55</v>
      </c>
      <c r="B72" s="2"/>
      <c r="C72" s="2"/>
      <c r="D72" s="28" t="s">
        <v>157</v>
      </c>
      <c r="E72" s="2" t="s">
        <v>202</v>
      </c>
      <c r="F72" s="10">
        <v>3750</v>
      </c>
      <c r="G72" s="42">
        <v>0</v>
      </c>
      <c r="H72" s="41">
        <f t="shared" si="40"/>
        <v>0</v>
      </c>
      <c r="I72" s="41">
        <f t="shared" si="41"/>
        <v>0</v>
      </c>
      <c r="J72" s="41">
        <f t="shared" si="42"/>
        <v>0</v>
      </c>
      <c r="K72" s="41">
        <v>0</v>
      </c>
      <c r="L72" s="41">
        <f t="shared" si="43"/>
        <v>0</v>
      </c>
      <c r="M72" s="43"/>
      <c r="P72" s="44">
        <f t="shared" si="44"/>
        <v>0</v>
      </c>
      <c r="R72" s="44">
        <f t="shared" si="45"/>
        <v>0</v>
      </c>
      <c r="S72" s="44">
        <f t="shared" si="46"/>
        <v>0</v>
      </c>
      <c r="T72" s="44">
        <f t="shared" si="47"/>
        <v>0</v>
      </c>
      <c r="U72" s="44">
        <f t="shared" si="48"/>
        <v>0</v>
      </c>
      <c r="V72" s="44">
        <f t="shared" si="49"/>
        <v>0</v>
      </c>
      <c r="W72" s="44">
        <f t="shared" si="50"/>
        <v>0</v>
      </c>
      <c r="X72" s="44">
        <f t="shared" si="51"/>
        <v>0</v>
      </c>
      <c r="Y72" s="37"/>
      <c r="Z72" s="41">
        <f t="shared" si="52"/>
        <v>0</v>
      </c>
      <c r="AA72" s="41">
        <f t="shared" si="53"/>
        <v>0</v>
      </c>
      <c r="AB72" s="41">
        <f t="shared" si="54"/>
        <v>0</v>
      </c>
      <c r="AD72" s="44">
        <v>21</v>
      </c>
      <c r="AE72" s="44">
        <f t="shared" si="55"/>
        <v>0</v>
      </c>
      <c r="AF72" s="44">
        <f t="shared" si="56"/>
        <v>0</v>
      </c>
      <c r="AG72" s="43" t="s">
        <v>6</v>
      </c>
      <c r="AM72" s="44">
        <f t="shared" si="57"/>
        <v>0</v>
      </c>
      <c r="AN72" s="44">
        <f t="shared" si="58"/>
        <v>0</v>
      </c>
      <c r="AO72" s="45" t="s">
        <v>242</v>
      </c>
      <c r="AP72" s="45" t="s">
        <v>254</v>
      </c>
      <c r="AQ72" s="37" t="s">
        <v>255</v>
      </c>
      <c r="AS72" s="44">
        <f t="shared" si="59"/>
        <v>0</v>
      </c>
      <c r="AT72" s="44">
        <f t="shared" si="60"/>
        <v>0</v>
      </c>
      <c r="AU72" s="44">
        <v>0</v>
      </c>
      <c r="AV72" s="44">
        <f t="shared" si="61"/>
        <v>0</v>
      </c>
    </row>
    <row r="73" spans="1:48" ht="12.75">
      <c r="A73" s="2" t="s">
        <v>56</v>
      </c>
      <c r="B73" s="2"/>
      <c r="C73" s="2"/>
      <c r="D73" s="28" t="s">
        <v>158</v>
      </c>
      <c r="E73" s="2" t="s">
        <v>207</v>
      </c>
      <c r="F73" s="10">
        <v>1</v>
      </c>
      <c r="G73" s="42">
        <v>0</v>
      </c>
      <c r="H73" s="41">
        <f t="shared" si="40"/>
        <v>0</v>
      </c>
      <c r="I73" s="41">
        <f t="shared" si="41"/>
        <v>0</v>
      </c>
      <c r="J73" s="41">
        <f t="shared" si="42"/>
        <v>0</v>
      </c>
      <c r="K73" s="41">
        <v>0</v>
      </c>
      <c r="L73" s="41">
        <f t="shared" si="43"/>
        <v>0</v>
      </c>
      <c r="M73" s="43"/>
      <c r="P73" s="44">
        <f t="shared" si="44"/>
        <v>0</v>
      </c>
      <c r="R73" s="44">
        <f t="shared" si="45"/>
        <v>0</v>
      </c>
      <c r="S73" s="44">
        <f t="shared" si="46"/>
        <v>0</v>
      </c>
      <c r="T73" s="44">
        <f t="shared" si="47"/>
        <v>0</v>
      </c>
      <c r="U73" s="44">
        <f t="shared" si="48"/>
        <v>0</v>
      </c>
      <c r="V73" s="44">
        <f t="shared" si="49"/>
        <v>0</v>
      </c>
      <c r="W73" s="44">
        <f t="shared" si="50"/>
        <v>0</v>
      </c>
      <c r="X73" s="44">
        <f t="shared" si="51"/>
        <v>0</v>
      </c>
      <c r="Y73" s="37"/>
      <c r="Z73" s="41">
        <f t="shared" si="52"/>
        <v>0</v>
      </c>
      <c r="AA73" s="41">
        <f t="shared" si="53"/>
        <v>0</v>
      </c>
      <c r="AB73" s="41">
        <f t="shared" si="54"/>
        <v>0</v>
      </c>
      <c r="AD73" s="44">
        <v>21</v>
      </c>
      <c r="AE73" s="44">
        <f t="shared" si="55"/>
        <v>0</v>
      </c>
      <c r="AF73" s="44">
        <f t="shared" si="56"/>
        <v>0</v>
      </c>
      <c r="AG73" s="43" t="s">
        <v>6</v>
      </c>
      <c r="AM73" s="44">
        <f t="shared" si="57"/>
        <v>0</v>
      </c>
      <c r="AN73" s="44">
        <f t="shared" si="58"/>
        <v>0</v>
      </c>
      <c r="AO73" s="45" t="s">
        <v>242</v>
      </c>
      <c r="AP73" s="45" t="s">
        <v>254</v>
      </c>
      <c r="AQ73" s="37" t="s">
        <v>255</v>
      </c>
      <c r="AS73" s="44">
        <f t="shared" si="59"/>
        <v>0</v>
      </c>
      <c r="AT73" s="44">
        <f t="shared" si="60"/>
        <v>0</v>
      </c>
      <c r="AU73" s="44">
        <v>0</v>
      </c>
      <c r="AV73" s="44">
        <f t="shared" si="61"/>
        <v>0</v>
      </c>
    </row>
    <row r="74" spans="1:37" ht="12.75">
      <c r="A74" s="3"/>
      <c r="B74" s="8"/>
      <c r="C74" s="8" t="s">
        <v>97</v>
      </c>
      <c r="D74" s="79" t="s">
        <v>159</v>
      </c>
      <c r="E74" s="80"/>
      <c r="F74" s="80"/>
      <c r="G74" s="80"/>
      <c r="H74" s="40">
        <f>SUM(H75:H82)</f>
        <v>0</v>
      </c>
      <c r="I74" s="40">
        <f>SUM(I75:I82)</f>
        <v>0</v>
      </c>
      <c r="J74" s="40">
        <f>H74+I74</f>
        <v>0</v>
      </c>
      <c r="K74" s="37"/>
      <c r="L74" s="40">
        <f>SUM(L75:L82)</f>
        <v>3.1903728</v>
      </c>
      <c r="M74" s="37"/>
      <c r="Y74" s="37"/>
      <c r="AI74" s="40">
        <f>SUM(Z75:Z82)</f>
        <v>0</v>
      </c>
      <c r="AJ74" s="40">
        <f>SUM(AA75:AA82)</f>
        <v>0</v>
      </c>
      <c r="AK74" s="40">
        <f>SUM(AB75:AB82)</f>
        <v>0</v>
      </c>
    </row>
    <row r="75" spans="1:48" ht="12.75">
      <c r="A75" s="2" t="s">
        <v>57</v>
      </c>
      <c r="B75" s="2"/>
      <c r="C75" s="2"/>
      <c r="D75" s="28" t="s">
        <v>160</v>
      </c>
      <c r="E75" s="2" t="s">
        <v>202</v>
      </c>
      <c r="F75" s="10">
        <v>686.9</v>
      </c>
      <c r="G75" s="42">
        <v>0</v>
      </c>
      <c r="H75" s="41">
        <f aca="true" t="shared" si="62" ref="H75:H82">F75*AE75</f>
        <v>0</v>
      </c>
      <c r="I75" s="41">
        <f aca="true" t="shared" si="63" ref="I75:I82">J75-H75</f>
        <v>0</v>
      </c>
      <c r="J75" s="41">
        <f aca="true" t="shared" si="64" ref="J75:J82">F75*G75</f>
        <v>0</v>
      </c>
      <c r="K75" s="41">
        <v>0</v>
      </c>
      <c r="L75" s="41">
        <f aca="true" t="shared" si="65" ref="L75:L82">F75*K75</f>
        <v>0</v>
      </c>
      <c r="M75" s="43"/>
      <c r="P75" s="44">
        <f aca="true" t="shared" si="66" ref="P75:P82">IF(AG75="5",J75,0)</f>
        <v>0</v>
      </c>
      <c r="R75" s="44">
        <f aca="true" t="shared" si="67" ref="R75:R82">IF(AG75="1",H75,0)</f>
        <v>0</v>
      </c>
      <c r="S75" s="44">
        <f aca="true" t="shared" si="68" ref="S75:S82">IF(AG75="1",I75,0)</f>
        <v>0</v>
      </c>
      <c r="T75" s="44">
        <f aca="true" t="shared" si="69" ref="T75:T82">IF(AG75="7",H75,0)</f>
        <v>0</v>
      </c>
      <c r="U75" s="44">
        <f aca="true" t="shared" si="70" ref="U75:U82">IF(AG75="7",I75,0)</f>
        <v>0</v>
      </c>
      <c r="V75" s="44">
        <f aca="true" t="shared" si="71" ref="V75:V82">IF(AG75="2",H75,0)</f>
        <v>0</v>
      </c>
      <c r="W75" s="44">
        <f aca="true" t="shared" si="72" ref="W75:W82">IF(AG75="2",I75,0)</f>
        <v>0</v>
      </c>
      <c r="X75" s="44">
        <f aca="true" t="shared" si="73" ref="X75:X82">IF(AG75="0",J75,0)</f>
        <v>0</v>
      </c>
      <c r="Y75" s="37"/>
      <c r="Z75" s="41">
        <f aca="true" t="shared" si="74" ref="Z75:Z82">IF(AD75=0,J75,0)</f>
        <v>0</v>
      </c>
      <c r="AA75" s="41">
        <f aca="true" t="shared" si="75" ref="AA75:AA82">IF(AD75=15,J75,0)</f>
        <v>0</v>
      </c>
      <c r="AB75" s="41">
        <f aca="true" t="shared" si="76" ref="AB75:AB82">IF(AD75=21,J75,0)</f>
        <v>0</v>
      </c>
      <c r="AD75" s="44">
        <v>21</v>
      </c>
      <c r="AE75" s="44">
        <f>G75*0</f>
        <v>0</v>
      </c>
      <c r="AF75" s="44">
        <f>G75*(1-0)</f>
        <v>0</v>
      </c>
      <c r="AG75" s="43" t="s">
        <v>6</v>
      </c>
      <c r="AM75" s="44">
        <f aca="true" t="shared" si="77" ref="AM75:AM82">F75*AE75</f>
        <v>0</v>
      </c>
      <c r="AN75" s="44">
        <f aca="true" t="shared" si="78" ref="AN75:AN82">F75*AF75</f>
        <v>0</v>
      </c>
      <c r="AO75" s="45" t="s">
        <v>243</v>
      </c>
      <c r="AP75" s="45" t="s">
        <v>254</v>
      </c>
      <c r="AQ75" s="37" t="s">
        <v>255</v>
      </c>
      <c r="AS75" s="44">
        <f aca="true" t="shared" si="79" ref="AS75:AS82">AM75+AN75</f>
        <v>0</v>
      </c>
      <c r="AT75" s="44">
        <f aca="true" t="shared" si="80" ref="AT75:AT82">G75/(100-AU75)*100</f>
        <v>0</v>
      </c>
      <c r="AU75" s="44">
        <v>0</v>
      </c>
      <c r="AV75" s="44">
        <f aca="true" t="shared" si="81" ref="AV75:AV82">L75</f>
        <v>0</v>
      </c>
    </row>
    <row r="76" spans="1:48" ht="12.75">
      <c r="A76" s="2" t="s">
        <v>58</v>
      </c>
      <c r="B76" s="2"/>
      <c r="C76" s="2"/>
      <c r="D76" s="28" t="s">
        <v>161</v>
      </c>
      <c r="E76" s="2" t="s">
        <v>202</v>
      </c>
      <c r="F76" s="10">
        <v>1717.25</v>
      </c>
      <c r="G76" s="42">
        <v>0</v>
      </c>
      <c r="H76" s="41">
        <f t="shared" si="62"/>
        <v>0</v>
      </c>
      <c r="I76" s="41">
        <f t="shared" si="63"/>
        <v>0</v>
      </c>
      <c r="J76" s="41">
        <f t="shared" si="64"/>
        <v>0</v>
      </c>
      <c r="K76" s="41">
        <v>0</v>
      </c>
      <c r="L76" s="41">
        <f t="shared" si="65"/>
        <v>0</v>
      </c>
      <c r="M76" s="43"/>
      <c r="P76" s="44">
        <f t="shared" si="66"/>
        <v>0</v>
      </c>
      <c r="R76" s="44">
        <f t="shared" si="67"/>
        <v>0</v>
      </c>
      <c r="S76" s="44">
        <f t="shared" si="68"/>
        <v>0</v>
      </c>
      <c r="T76" s="44">
        <f t="shared" si="69"/>
        <v>0</v>
      </c>
      <c r="U76" s="44">
        <f t="shared" si="70"/>
        <v>0</v>
      </c>
      <c r="V76" s="44">
        <f t="shared" si="71"/>
        <v>0</v>
      </c>
      <c r="W76" s="44">
        <f t="shared" si="72"/>
        <v>0</v>
      </c>
      <c r="X76" s="44">
        <f t="shared" si="73"/>
        <v>0</v>
      </c>
      <c r="Y76" s="37"/>
      <c r="Z76" s="41">
        <f t="shared" si="74"/>
        <v>0</v>
      </c>
      <c r="AA76" s="41">
        <f t="shared" si="75"/>
        <v>0</v>
      </c>
      <c r="AB76" s="41">
        <f t="shared" si="76"/>
        <v>0</v>
      </c>
      <c r="AD76" s="44">
        <v>21</v>
      </c>
      <c r="AE76" s="44">
        <f>G76*0</f>
        <v>0</v>
      </c>
      <c r="AF76" s="44">
        <f>G76*(1-0)</f>
        <v>0</v>
      </c>
      <c r="AG76" s="43" t="s">
        <v>6</v>
      </c>
      <c r="AM76" s="44">
        <f t="shared" si="77"/>
        <v>0</v>
      </c>
      <c r="AN76" s="44">
        <f t="shared" si="78"/>
        <v>0</v>
      </c>
      <c r="AO76" s="45" t="s">
        <v>243</v>
      </c>
      <c r="AP76" s="45" t="s">
        <v>254</v>
      </c>
      <c r="AQ76" s="37" t="s">
        <v>255</v>
      </c>
      <c r="AS76" s="44">
        <f t="shared" si="79"/>
        <v>0</v>
      </c>
      <c r="AT76" s="44">
        <f t="shared" si="80"/>
        <v>0</v>
      </c>
      <c r="AU76" s="44">
        <v>0</v>
      </c>
      <c r="AV76" s="44">
        <f t="shared" si="81"/>
        <v>0</v>
      </c>
    </row>
    <row r="77" spans="1:48" ht="12.75">
      <c r="A77" s="2" t="s">
        <v>59</v>
      </c>
      <c r="B77" s="2"/>
      <c r="C77" s="2"/>
      <c r="D77" s="28" t="s">
        <v>162</v>
      </c>
      <c r="E77" s="2" t="s">
        <v>202</v>
      </c>
      <c r="F77" s="10">
        <v>686.9</v>
      </c>
      <c r="G77" s="42">
        <v>0</v>
      </c>
      <c r="H77" s="41">
        <f t="shared" si="62"/>
        <v>0</v>
      </c>
      <c r="I77" s="41">
        <f t="shared" si="63"/>
        <v>0</v>
      </c>
      <c r="J77" s="41">
        <f t="shared" si="64"/>
        <v>0</v>
      </c>
      <c r="K77" s="41">
        <v>0</v>
      </c>
      <c r="L77" s="41">
        <f t="shared" si="65"/>
        <v>0</v>
      </c>
      <c r="M77" s="43"/>
      <c r="P77" s="44">
        <f t="shared" si="66"/>
        <v>0</v>
      </c>
      <c r="R77" s="44">
        <f t="shared" si="67"/>
        <v>0</v>
      </c>
      <c r="S77" s="44">
        <f t="shared" si="68"/>
        <v>0</v>
      </c>
      <c r="T77" s="44">
        <f t="shared" si="69"/>
        <v>0</v>
      </c>
      <c r="U77" s="44">
        <f t="shared" si="70"/>
        <v>0</v>
      </c>
      <c r="V77" s="44">
        <f t="shared" si="71"/>
        <v>0</v>
      </c>
      <c r="W77" s="44">
        <f t="shared" si="72"/>
        <v>0</v>
      </c>
      <c r="X77" s="44">
        <f t="shared" si="73"/>
        <v>0</v>
      </c>
      <c r="Y77" s="37"/>
      <c r="Z77" s="41">
        <f t="shared" si="74"/>
        <v>0</v>
      </c>
      <c r="AA77" s="41">
        <f t="shared" si="75"/>
        <v>0</v>
      </c>
      <c r="AB77" s="41">
        <f t="shared" si="76"/>
        <v>0</v>
      </c>
      <c r="AD77" s="44">
        <v>21</v>
      </c>
      <c r="AE77" s="44">
        <f>G77*0</f>
        <v>0</v>
      </c>
      <c r="AF77" s="44">
        <f>G77*(1-0)</f>
        <v>0</v>
      </c>
      <c r="AG77" s="43" t="s">
        <v>6</v>
      </c>
      <c r="AM77" s="44">
        <f t="shared" si="77"/>
        <v>0</v>
      </c>
      <c r="AN77" s="44">
        <f t="shared" si="78"/>
        <v>0</v>
      </c>
      <c r="AO77" s="45" t="s">
        <v>243</v>
      </c>
      <c r="AP77" s="45" t="s">
        <v>254</v>
      </c>
      <c r="AQ77" s="37" t="s">
        <v>255</v>
      </c>
      <c r="AS77" s="44">
        <f t="shared" si="79"/>
        <v>0</v>
      </c>
      <c r="AT77" s="44">
        <f t="shared" si="80"/>
        <v>0</v>
      </c>
      <c r="AU77" s="44">
        <v>0</v>
      </c>
      <c r="AV77" s="44">
        <f t="shared" si="81"/>
        <v>0</v>
      </c>
    </row>
    <row r="78" spans="1:48" ht="25.5">
      <c r="A78" s="2" t="s">
        <v>60</v>
      </c>
      <c r="B78" s="2"/>
      <c r="C78" s="2"/>
      <c r="D78" s="28" t="s">
        <v>163</v>
      </c>
      <c r="E78" s="2" t="s">
        <v>202</v>
      </c>
      <c r="F78" s="10">
        <v>120.84</v>
      </c>
      <c r="G78" s="42">
        <v>0</v>
      </c>
      <c r="H78" s="41">
        <f t="shared" si="62"/>
        <v>0</v>
      </c>
      <c r="I78" s="41">
        <f t="shared" si="63"/>
        <v>0</v>
      </c>
      <c r="J78" s="41">
        <f t="shared" si="64"/>
        <v>0</v>
      </c>
      <c r="K78" s="41">
        <v>0.00592</v>
      </c>
      <c r="L78" s="41">
        <f t="shared" si="65"/>
        <v>0.7153728</v>
      </c>
      <c r="M78" s="43"/>
      <c r="P78" s="44">
        <f t="shared" si="66"/>
        <v>0</v>
      </c>
      <c r="R78" s="44">
        <f t="shared" si="67"/>
        <v>0</v>
      </c>
      <c r="S78" s="44">
        <f t="shared" si="68"/>
        <v>0</v>
      </c>
      <c r="T78" s="44">
        <f t="shared" si="69"/>
        <v>0</v>
      </c>
      <c r="U78" s="44">
        <f t="shared" si="70"/>
        <v>0</v>
      </c>
      <c r="V78" s="44">
        <f t="shared" si="71"/>
        <v>0</v>
      </c>
      <c r="W78" s="44">
        <f t="shared" si="72"/>
        <v>0</v>
      </c>
      <c r="X78" s="44">
        <f t="shared" si="73"/>
        <v>0</v>
      </c>
      <c r="Y78" s="37"/>
      <c r="Z78" s="41">
        <f t="shared" si="74"/>
        <v>0</v>
      </c>
      <c r="AA78" s="41">
        <f t="shared" si="75"/>
        <v>0</v>
      </c>
      <c r="AB78" s="41">
        <f t="shared" si="76"/>
        <v>0</v>
      </c>
      <c r="AD78" s="44">
        <v>21</v>
      </c>
      <c r="AE78" s="44">
        <f>G78*0.495907590759076</f>
        <v>0</v>
      </c>
      <c r="AF78" s="44">
        <f>G78*(1-0.495907590759076)</f>
        <v>0</v>
      </c>
      <c r="AG78" s="43" t="s">
        <v>6</v>
      </c>
      <c r="AM78" s="44">
        <f t="shared" si="77"/>
        <v>0</v>
      </c>
      <c r="AN78" s="44">
        <f t="shared" si="78"/>
        <v>0</v>
      </c>
      <c r="AO78" s="45" t="s">
        <v>243</v>
      </c>
      <c r="AP78" s="45" t="s">
        <v>254</v>
      </c>
      <c r="AQ78" s="37" t="s">
        <v>255</v>
      </c>
      <c r="AS78" s="44">
        <f t="shared" si="79"/>
        <v>0</v>
      </c>
      <c r="AT78" s="44">
        <f t="shared" si="80"/>
        <v>0</v>
      </c>
      <c r="AU78" s="44">
        <v>0</v>
      </c>
      <c r="AV78" s="44">
        <f t="shared" si="81"/>
        <v>0.7153728</v>
      </c>
    </row>
    <row r="79" spans="1:48" ht="12.75">
      <c r="A79" s="2" t="s">
        <v>61</v>
      </c>
      <c r="B79" s="2"/>
      <c r="C79" s="2"/>
      <c r="D79" s="28" t="s">
        <v>164</v>
      </c>
      <c r="E79" s="2" t="s">
        <v>202</v>
      </c>
      <c r="F79" s="10">
        <v>733.7</v>
      </c>
      <c r="G79" s="42">
        <v>0</v>
      </c>
      <c r="H79" s="41">
        <f t="shared" si="62"/>
        <v>0</v>
      </c>
      <c r="I79" s="41">
        <f t="shared" si="63"/>
        <v>0</v>
      </c>
      <c r="J79" s="41">
        <f t="shared" si="64"/>
        <v>0</v>
      </c>
      <c r="K79" s="41">
        <v>0</v>
      </c>
      <c r="L79" s="41">
        <f t="shared" si="65"/>
        <v>0</v>
      </c>
      <c r="M79" s="43"/>
      <c r="P79" s="44">
        <f t="shared" si="66"/>
        <v>0</v>
      </c>
      <c r="R79" s="44">
        <f t="shared" si="67"/>
        <v>0</v>
      </c>
      <c r="S79" s="44">
        <f t="shared" si="68"/>
        <v>0</v>
      </c>
      <c r="T79" s="44">
        <f t="shared" si="69"/>
        <v>0</v>
      </c>
      <c r="U79" s="44">
        <f t="shared" si="70"/>
        <v>0</v>
      </c>
      <c r="V79" s="44">
        <f t="shared" si="71"/>
        <v>0</v>
      </c>
      <c r="W79" s="44">
        <f t="shared" si="72"/>
        <v>0</v>
      </c>
      <c r="X79" s="44">
        <f t="shared" si="73"/>
        <v>0</v>
      </c>
      <c r="Y79" s="37"/>
      <c r="Z79" s="41">
        <f t="shared" si="74"/>
        <v>0</v>
      </c>
      <c r="AA79" s="41">
        <f t="shared" si="75"/>
        <v>0</v>
      </c>
      <c r="AB79" s="41">
        <f t="shared" si="76"/>
        <v>0</v>
      </c>
      <c r="AD79" s="44">
        <v>21</v>
      </c>
      <c r="AE79" s="44">
        <f>G79*0</f>
        <v>0</v>
      </c>
      <c r="AF79" s="44">
        <f>G79*(1-0)</f>
        <v>0</v>
      </c>
      <c r="AG79" s="43" t="s">
        <v>6</v>
      </c>
      <c r="AM79" s="44">
        <f t="shared" si="77"/>
        <v>0</v>
      </c>
      <c r="AN79" s="44">
        <f t="shared" si="78"/>
        <v>0</v>
      </c>
      <c r="AO79" s="45" t="s">
        <v>243</v>
      </c>
      <c r="AP79" s="45" t="s">
        <v>254</v>
      </c>
      <c r="AQ79" s="37" t="s">
        <v>255</v>
      </c>
      <c r="AS79" s="44">
        <f t="shared" si="79"/>
        <v>0</v>
      </c>
      <c r="AT79" s="44">
        <f t="shared" si="80"/>
        <v>0</v>
      </c>
      <c r="AU79" s="44">
        <v>0</v>
      </c>
      <c r="AV79" s="44">
        <f t="shared" si="81"/>
        <v>0</v>
      </c>
    </row>
    <row r="80" spans="1:48" ht="12.75">
      <c r="A80" s="2" t="s">
        <v>62</v>
      </c>
      <c r="B80" s="2"/>
      <c r="C80" s="2"/>
      <c r="D80" s="28" t="s">
        <v>165</v>
      </c>
      <c r="E80" s="2" t="s">
        <v>202</v>
      </c>
      <c r="F80" s="10">
        <v>1834.25</v>
      </c>
      <c r="G80" s="42">
        <v>0</v>
      </c>
      <c r="H80" s="41">
        <f t="shared" si="62"/>
        <v>0</v>
      </c>
      <c r="I80" s="41">
        <f t="shared" si="63"/>
        <v>0</v>
      </c>
      <c r="J80" s="41">
        <f t="shared" si="64"/>
        <v>0</v>
      </c>
      <c r="K80" s="41">
        <v>0</v>
      </c>
      <c r="L80" s="41">
        <f t="shared" si="65"/>
        <v>0</v>
      </c>
      <c r="M80" s="43"/>
      <c r="P80" s="44">
        <f t="shared" si="66"/>
        <v>0</v>
      </c>
      <c r="R80" s="44">
        <f t="shared" si="67"/>
        <v>0</v>
      </c>
      <c r="S80" s="44">
        <f t="shared" si="68"/>
        <v>0</v>
      </c>
      <c r="T80" s="44">
        <f t="shared" si="69"/>
        <v>0</v>
      </c>
      <c r="U80" s="44">
        <f t="shared" si="70"/>
        <v>0</v>
      </c>
      <c r="V80" s="44">
        <f t="shared" si="71"/>
        <v>0</v>
      </c>
      <c r="W80" s="44">
        <f t="shared" si="72"/>
        <v>0</v>
      </c>
      <c r="X80" s="44">
        <f t="shared" si="73"/>
        <v>0</v>
      </c>
      <c r="Y80" s="37"/>
      <c r="Z80" s="41">
        <f t="shared" si="74"/>
        <v>0</v>
      </c>
      <c r="AA80" s="41">
        <f t="shared" si="75"/>
        <v>0</v>
      </c>
      <c r="AB80" s="41">
        <f t="shared" si="76"/>
        <v>0</v>
      </c>
      <c r="AD80" s="44">
        <v>21</v>
      </c>
      <c r="AE80" s="44">
        <f>G80*0</f>
        <v>0</v>
      </c>
      <c r="AF80" s="44">
        <f>G80*(1-0)</f>
        <v>0</v>
      </c>
      <c r="AG80" s="43" t="s">
        <v>6</v>
      </c>
      <c r="AM80" s="44">
        <f t="shared" si="77"/>
        <v>0</v>
      </c>
      <c r="AN80" s="44">
        <f t="shared" si="78"/>
        <v>0</v>
      </c>
      <c r="AO80" s="45" t="s">
        <v>243</v>
      </c>
      <c r="AP80" s="45" t="s">
        <v>254</v>
      </c>
      <c r="AQ80" s="37" t="s">
        <v>255</v>
      </c>
      <c r="AS80" s="44">
        <f t="shared" si="79"/>
        <v>0</v>
      </c>
      <c r="AT80" s="44">
        <f t="shared" si="80"/>
        <v>0</v>
      </c>
      <c r="AU80" s="44">
        <v>0</v>
      </c>
      <c r="AV80" s="44">
        <f t="shared" si="81"/>
        <v>0</v>
      </c>
    </row>
    <row r="81" spans="1:48" ht="12.75">
      <c r="A81" s="2" t="s">
        <v>63</v>
      </c>
      <c r="B81" s="2"/>
      <c r="C81" s="2"/>
      <c r="D81" s="28" t="s">
        <v>166</v>
      </c>
      <c r="E81" s="2" t="s">
        <v>202</v>
      </c>
      <c r="F81" s="10">
        <v>733.7</v>
      </c>
      <c r="G81" s="42">
        <v>0</v>
      </c>
      <c r="H81" s="41">
        <f t="shared" si="62"/>
        <v>0</v>
      </c>
      <c r="I81" s="41">
        <f t="shared" si="63"/>
        <v>0</v>
      </c>
      <c r="J81" s="41">
        <f t="shared" si="64"/>
        <v>0</v>
      </c>
      <c r="K81" s="41">
        <v>0</v>
      </c>
      <c r="L81" s="41">
        <f t="shared" si="65"/>
        <v>0</v>
      </c>
      <c r="M81" s="43"/>
      <c r="P81" s="44">
        <f t="shared" si="66"/>
        <v>0</v>
      </c>
      <c r="R81" s="44">
        <f t="shared" si="67"/>
        <v>0</v>
      </c>
      <c r="S81" s="44">
        <f t="shared" si="68"/>
        <v>0</v>
      </c>
      <c r="T81" s="44">
        <f t="shared" si="69"/>
        <v>0</v>
      </c>
      <c r="U81" s="44">
        <f t="shared" si="70"/>
        <v>0</v>
      </c>
      <c r="V81" s="44">
        <f t="shared" si="71"/>
        <v>0</v>
      </c>
      <c r="W81" s="44">
        <f t="shared" si="72"/>
        <v>0</v>
      </c>
      <c r="X81" s="44">
        <f t="shared" si="73"/>
        <v>0</v>
      </c>
      <c r="Y81" s="37"/>
      <c r="Z81" s="41">
        <f t="shared" si="74"/>
        <v>0</v>
      </c>
      <c r="AA81" s="41">
        <f t="shared" si="75"/>
        <v>0</v>
      </c>
      <c r="AB81" s="41">
        <f t="shared" si="76"/>
        <v>0</v>
      </c>
      <c r="AD81" s="44">
        <v>21</v>
      </c>
      <c r="AE81" s="44">
        <f>G81*0</f>
        <v>0</v>
      </c>
      <c r="AF81" s="44">
        <f>G81*(1-0)</f>
        <v>0</v>
      </c>
      <c r="AG81" s="43" t="s">
        <v>6</v>
      </c>
      <c r="AM81" s="44">
        <f t="shared" si="77"/>
        <v>0</v>
      </c>
      <c r="AN81" s="44">
        <f t="shared" si="78"/>
        <v>0</v>
      </c>
      <c r="AO81" s="45" t="s">
        <v>243</v>
      </c>
      <c r="AP81" s="45" t="s">
        <v>254</v>
      </c>
      <c r="AQ81" s="37" t="s">
        <v>255</v>
      </c>
      <c r="AS81" s="44">
        <f t="shared" si="79"/>
        <v>0</v>
      </c>
      <c r="AT81" s="44">
        <f t="shared" si="80"/>
        <v>0</v>
      </c>
      <c r="AU81" s="44">
        <v>0</v>
      </c>
      <c r="AV81" s="44">
        <f t="shared" si="81"/>
        <v>0</v>
      </c>
    </row>
    <row r="82" spans="1:48" ht="25.5">
      <c r="A82" s="2" t="s">
        <v>64</v>
      </c>
      <c r="B82" s="2"/>
      <c r="C82" s="2"/>
      <c r="D82" s="28" t="s">
        <v>167</v>
      </c>
      <c r="E82" s="2" t="s">
        <v>202</v>
      </c>
      <c r="F82" s="10">
        <v>16.5</v>
      </c>
      <c r="G82" s="42">
        <v>0</v>
      </c>
      <c r="H82" s="41">
        <f t="shared" si="62"/>
        <v>0</v>
      </c>
      <c r="I82" s="41">
        <f t="shared" si="63"/>
        <v>0</v>
      </c>
      <c r="J82" s="41">
        <f t="shared" si="64"/>
        <v>0</v>
      </c>
      <c r="K82" s="41">
        <v>0.15</v>
      </c>
      <c r="L82" s="41">
        <f t="shared" si="65"/>
        <v>2.475</v>
      </c>
      <c r="M82" s="43"/>
      <c r="P82" s="44">
        <f t="shared" si="66"/>
        <v>0</v>
      </c>
      <c r="R82" s="44">
        <f t="shared" si="67"/>
        <v>0</v>
      </c>
      <c r="S82" s="44">
        <f t="shared" si="68"/>
        <v>0</v>
      </c>
      <c r="T82" s="44">
        <f t="shared" si="69"/>
        <v>0</v>
      </c>
      <c r="U82" s="44">
        <f t="shared" si="70"/>
        <v>0</v>
      </c>
      <c r="V82" s="44">
        <f t="shared" si="71"/>
        <v>0</v>
      </c>
      <c r="W82" s="44">
        <f t="shared" si="72"/>
        <v>0</v>
      </c>
      <c r="X82" s="44">
        <f t="shared" si="73"/>
        <v>0</v>
      </c>
      <c r="Y82" s="37"/>
      <c r="Z82" s="41">
        <f t="shared" si="74"/>
        <v>0</v>
      </c>
      <c r="AA82" s="41">
        <f t="shared" si="75"/>
        <v>0</v>
      </c>
      <c r="AB82" s="41">
        <f t="shared" si="76"/>
        <v>0</v>
      </c>
      <c r="AD82" s="44">
        <v>21</v>
      </c>
      <c r="AE82" s="44">
        <f>G82*0.305730767157259</f>
        <v>0</v>
      </c>
      <c r="AF82" s="44">
        <f>G82*(1-0.305730767157259)</f>
        <v>0</v>
      </c>
      <c r="AG82" s="43" t="s">
        <v>6</v>
      </c>
      <c r="AM82" s="44">
        <f t="shared" si="77"/>
        <v>0</v>
      </c>
      <c r="AN82" s="44">
        <f t="shared" si="78"/>
        <v>0</v>
      </c>
      <c r="AO82" s="45" t="s">
        <v>243</v>
      </c>
      <c r="AP82" s="45" t="s">
        <v>254</v>
      </c>
      <c r="AQ82" s="37" t="s">
        <v>255</v>
      </c>
      <c r="AS82" s="44">
        <f t="shared" si="79"/>
        <v>0</v>
      </c>
      <c r="AT82" s="44">
        <f t="shared" si="80"/>
        <v>0</v>
      </c>
      <c r="AU82" s="44">
        <v>0</v>
      </c>
      <c r="AV82" s="44">
        <f t="shared" si="81"/>
        <v>2.475</v>
      </c>
    </row>
    <row r="83" spans="1:37" ht="12.75">
      <c r="A83" s="3"/>
      <c r="B83" s="8"/>
      <c r="C83" s="8" t="s">
        <v>98</v>
      </c>
      <c r="D83" s="79" t="s">
        <v>168</v>
      </c>
      <c r="E83" s="80"/>
      <c r="F83" s="80"/>
      <c r="G83" s="80"/>
      <c r="H83" s="40">
        <f>SUM(H84:H86)</f>
        <v>0</v>
      </c>
      <c r="I83" s="40">
        <f>SUM(I84:I86)</f>
        <v>0</v>
      </c>
      <c r="J83" s="40">
        <f>H83+I83</f>
        <v>0</v>
      </c>
      <c r="K83" s="37"/>
      <c r="L83" s="40">
        <f>SUM(L84:L86)</f>
        <v>0.0357823</v>
      </c>
      <c r="M83" s="37"/>
      <c r="Y83" s="37"/>
      <c r="AI83" s="40">
        <f>SUM(Z84:Z86)</f>
        <v>0</v>
      </c>
      <c r="AJ83" s="40">
        <f>SUM(AA84:AA86)</f>
        <v>0</v>
      </c>
      <c r="AK83" s="40">
        <f>SUM(AB84:AB86)</f>
        <v>0</v>
      </c>
    </row>
    <row r="84" spans="1:48" ht="12.75">
      <c r="A84" s="2" t="s">
        <v>65</v>
      </c>
      <c r="B84" s="2"/>
      <c r="C84" s="2"/>
      <c r="D84" s="28" t="s">
        <v>169</v>
      </c>
      <c r="E84" s="2" t="s">
        <v>202</v>
      </c>
      <c r="F84" s="10">
        <v>509.32</v>
      </c>
      <c r="G84" s="42">
        <v>0</v>
      </c>
      <c r="H84" s="41">
        <f>F84*AE84</f>
        <v>0</v>
      </c>
      <c r="I84" s="41">
        <f>J84-H84</f>
        <v>0</v>
      </c>
      <c r="J84" s="41">
        <f>F84*G84</f>
        <v>0</v>
      </c>
      <c r="K84" s="41">
        <v>1E-05</v>
      </c>
      <c r="L84" s="41">
        <f>F84*K84</f>
        <v>0.0050932</v>
      </c>
      <c r="M84" s="43"/>
      <c r="P84" s="44">
        <f>IF(AG84="5",J84,0)</f>
        <v>0</v>
      </c>
      <c r="R84" s="44">
        <f>IF(AG84="1",H84,0)</f>
        <v>0</v>
      </c>
      <c r="S84" s="44">
        <f>IF(AG84="1",I84,0)</f>
        <v>0</v>
      </c>
      <c r="T84" s="44">
        <f>IF(AG84="7",H84,0)</f>
        <v>0</v>
      </c>
      <c r="U84" s="44">
        <f>IF(AG84="7",I84,0)</f>
        <v>0</v>
      </c>
      <c r="V84" s="44">
        <f>IF(AG84="2",H84,0)</f>
        <v>0</v>
      </c>
      <c r="W84" s="44">
        <f>IF(AG84="2",I84,0)</f>
        <v>0</v>
      </c>
      <c r="X84" s="44">
        <f>IF(AG84="0",J84,0)</f>
        <v>0</v>
      </c>
      <c r="Y84" s="37"/>
      <c r="Z84" s="41">
        <f>IF(AD84=0,J84,0)</f>
        <v>0</v>
      </c>
      <c r="AA84" s="41">
        <f>IF(AD84=15,J84,0)</f>
        <v>0</v>
      </c>
      <c r="AB84" s="41">
        <f>IF(AD84=21,J84,0)</f>
        <v>0</v>
      </c>
      <c r="AD84" s="44">
        <v>21</v>
      </c>
      <c r="AE84" s="44">
        <f>G84*0.0260233125508268</f>
        <v>0</v>
      </c>
      <c r="AF84" s="44">
        <f>G84*(1-0.0260233125508268)</f>
        <v>0</v>
      </c>
      <c r="AG84" s="43" t="s">
        <v>6</v>
      </c>
      <c r="AM84" s="44">
        <f>F84*AE84</f>
        <v>0</v>
      </c>
      <c r="AN84" s="44">
        <f>F84*AF84</f>
        <v>0</v>
      </c>
      <c r="AO84" s="45" t="s">
        <v>244</v>
      </c>
      <c r="AP84" s="45" t="s">
        <v>254</v>
      </c>
      <c r="AQ84" s="37" t="s">
        <v>255</v>
      </c>
      <c r="AS84" s="44">
        <f>AM84+AN84</f>
        <v>0</v>
      </c>
      <c r="AT84" s="44">
        <f>G84/(100-AU84)*100</f>
        <v>0</v>
      </c>
      <c r="AU84" s="44">
        <v>0</v>
      </c>
      <c r="AV84" s="44">
        <f>L84</f>
        <v>0.0050932</v>
      </c>
    </row>
    <row r="85" spans="1:48" ht="12.75">
      <c r="A85" s="2" t="s">
        <v>66</v>
      </c>
      <c r="B85" s="2"/>
      <c r="C85" s="2"/>
      <c r="D85" s="28" t="s">
        <v>170</v>
      </c>
      <c r="E85" s="2" t="s">
        <v>202</v>
      </c>
      <c r="F85" s="10">
        <v>260.91</v>
      </c>
      <c r="G85" s="42">
        <v>0</v>
      </c>
      <c r="H85" s="41">
        <f>F85*AE85</f>
        <v>0</v>
      </c>
      <c r="I85" s="41">
        <f>J85-H85</f>
        <v>0</v>
      </c>
      <c r="J85" s="41">
        <f>F85*G85</f>
        <v>0</v>
      </c>
      <c r="K85" s="41">
        <v>1E-05</v>
      </c>
      <c r="L85" s="41">
        <f>F85*K85</f>
        <v>0.0026091000000000005</v>
      </c>
      <c r="M85" s="43"/>
      <c r="P85" s="44">
        <f>IF(AG85="5",J85,0)</f>
        <v>0</v>
      </c>
      <c r="R85" s="44">
        <f>IF(AG85="1",H85,0)</f>
        <v>0</v>
      </c>
      <c r="S85" s="44">
        <f>IF(AG85="1",I85,0)</f>
        <v>0</v>
      </c>
      <c r="T85" s="44">
        <f>IF(AG85="7",H85,0)</f>
        <v>0</v>
      </c>
      <c r="U85" s="44">
        <f>IF(AG85="7",I85,0)</f>
        <v>0</v>
      </c>
      <c r="V85" s="44">
        <f>IF(AG85="2",H85,0)</f>
        <v>0</v>
      </c>
      <c r="W85" s="44">
        <f>IF(AG85="2",I85,0)</f>
        <v>0</v>
      </c>
      <c r="X85" s="44">
        <f>IF(AG85="0",J85,0)</f>
        <v>0</v>
      </c>
      <c r="Y85" s="37"/>
      <c r="Z85" s="41">
        <f>IF(AD85=0,J85,0)</f>
        <v>0</v>
      </c>
      <c r="AA85" s="41">
        <f>IF(AD85=15,J85,0)</f>
        <v>0</v>
      </c>
      <c r="AB85" s="41">
        <f>IF(AD85=21,J85,0)</f>
        <v>0</v>
      </c>
      <c r="AD85" s="44">
        <v>21</v>
      </c>
      <c r="AE85" s="44">
        <f>G85*0.311890838206628</f>
        <v>0</v>
      </c>
      <c r="AF85" s="44">
        <f>G85*(1-0.311890838206628)</f>
        <v>0</v>
      </c>
      <c r="AG85" s="43" t="s">
        <v>6</v>
      </c>
      <c r="AM85" s="44">
        <f>F85*AE85</f>
        <v>0</v>
      </c>
      <c r="AN85" s="44">
        <f>F85*AF85</f>
        <v>0</v>
      </c>
      <c r="AO85" s="45" t="s">
        <v>244</v>
      </c>
      <c r="AP85" s="45" t="s">
        <v>254</v>
      </c>
      <c r="AQ85" s="37" t="s">
        <v>255</v>
      </c>
      <c r="AS85" s="44">
        <f>AM85+AN85</f>
        <v>0</v>
      </c>
      <c r="AT85" s="44">
        <f>G85/(100-AU85)*100</f>
        <v>0</v>
      </c>
      <c r="AU85" s="44">
        <v>0</v>
      </c>
      <c r="AV85" s="44">
        <f>L85</f>
        <v>0.0026091000000000005</v>
      </c>
    </row>
    <row r="86" spans="1:48" ht="25.5">
      <c r="A86" s="2" t="s">
        <v>67</v>
      </c>
      <c r="B86" s="2"/>
      <c r="C86" s="2"/>
      <c r="D86" s="28" t="s">
        <v>171</v>
      </c>
      <c r="E86" s="2" t="s">
        <v>202</v>
      </c>
      <c r="F86" s="10">
        <v>702</v>
      </c>
      <c r="G86" s="42">
        <v>0</v>
      </c>
      <c r="H86" s="41">
        <f>F86*AE86</f>
        <v>0</v>
      </c>
      <c r="I86" s="41">
        <f>J86-H86</f>
        <v>0</v>
      </c>
      <c r="J86" s="41">
        <f>F86*G86</f>
        <v>0</v>
      </c>
      <c r="K86" s="41">
        <v>4E-05</v>
      </c>
      <c r="L86" s="41">
        <f>F86*K86</f>
        <v>0.02808</v>
      </c>
      <c r="M86" s="43"/>
      <c r="P86" s="44">
        <f>IF(AG86="5",J86,0)</f>
        <v>0</v>
      </c>
      <c r="R86" s="44">
        <f>IF(AG86="1",H86,0)</f>
        <v>0</v>
      </c>
      <c r="S86" s="44">
        <f>IF(AG86="1",I86,0)</f>
        <v>0</v>
      </c>
      <c r="T86" s="44">
        <f>IF(AG86="7",H86,0)</f>
        <v>0</v>
      </c>
      <c r="U86" s="44">
        <f>IF(AG86="7",I86,0)</f>
        <v>0</v>
      </c>
      <c r="V86" s="44">
        <f>IF(AG86="2",H86,0)</f>
        <v>0</v>
      </c>
      <c r="W86" s="44">
        <f>IF(AG86="2",I86,0)</f>
        <v>0</v>
      </c>
      <c r="X86" s="44">
        <f>IF(AG86="0",J86,0)</f>
        <v>0</v>
      </c>
      <c r="Y86" s="37"/>
      <c r="Z86" s="41">
        <f>IF(AD86=0,J86,0)</f>
        <v>0</v>
      </c>
      <c r="AA86" s="41">
        <f>IF(AD86=15,J86,0)</f>
        <v>0</v>
      </c>
      <c r="AB86" s="41">
        <f>IF(AD86=21,J86,0)</f>
        <v>0</v>
      </c>
      <c r="AD86" s="44">
        <v>21</v>
      </c>
      <c r="AE86" s="44">
        <f>G86*0.0215037593984962</f>
        <v>0</v>
      </c>
      <c r="AF86" s="44">
        <f>G86*(1-0.0215037593984962)</f>
        <v>0</v>
      </c>
      <c r="AG86" s="43" t="s">
        <v>6</v>
      </c>
      <c r="AM86" s="44">
        <f>F86*AE86</f>
        <v>0</v>
      </c>
      <c r="AN86" s="44">
        <f>F86*AF86</f>
        <v>0</v>
      </c>
      <c r="AO86" s="45" t="s">
        <v>244</v>
      </c>
      <c r="AP86" s="45" t="s">
        <v>254</v>
      </c>
      <c r="AQ86" s="37" t="s">
        <v>255</v>
      </c>
      <c r="AS86" s="44">
        <f>AM86+AN86</f>
        <v>0</v>
      </c>
      <c r="AT86" s="44">
        <f>G86/(100-AU86)*100</f>
        <v>0</v>
      </c>
      <c r="AU86" s="44">
        <v>0</v>
      </c>
      <c r="AV86" s="44">
        <f>L86</f>
        <v>0.02808</v>
      </c>
    </row>
    <row r="87" spans="1:37" ht="12.75">
      <c r="A87" s="3"/>
      <c r="B87" s="8"/>
      <c r="C87" s="8" t="s">
        <v>99</v>
      </c>
      <c r="D87" s="79" t="s">
        <v>172</v>
      </c>
      <c r="E87" s="80"/>
      <c r="F87" s="80"/>
      <c r="G87" s="80"/>
      <c r="H87" s="40">
        <f>SUM(H88:H92)</f>
        <v>0</v>
      </c>
      <c r="I87" s="40">
        <f>SUM(I88:I92)</f>
        <v>0</v>
      </c>
      <c r="J87" s="40">
        <f>H87+I87</f>
        <v>0</v>
      </c>
      <c r="K87" s="37"/>
      <c r="L87" s="40">
        <f>SUM(L88:L92)</f>
        <v>9.741698999999999</v>
      </c>
      <c r="M87" s="37"/>
      <c r="Y87" s="37"/>
      <c r="AI87" s="40">
        <f>SUM(Z88:Z92)</f>
        <v>0</v>
      </c>
      <c r="AJ87" s="40">
        <f>SUM(AA88:AA92)</f>
        <v>0</v>
      </c>
      <c r="AK87" s="40">
        <f>SUM(AB88:AB92)</f>
        <v>0</v>
      </c>
    </row>
    <row r="88" spans="1:48" ht="12.75">
      <c r="A88" s="2" t="s">
        <v>68</v>
      </c>
      <c r="B88" s="2"/>
      <c r="C88" s="2"/>
      <c r="D88" s="28" t="s">
        <v>173</v>
      </c>
      <c r="E88" s="2" t="s">
        <v>203</v>
      </c>
      <c r="F88" s="10">
        <v>226</v>
      </c>
      <c r="G88" s="42">
        <v>0</v>
      </c>
      <c r="H88" s="41">
        <f>F88*AE88</f>
        <v>0</v>
      </c>
      <c r="I88" s="41">
        <f>J88-H88</f>
        <v>0</v>
      </c>
      <c r="J88" s="41">
        <f>F88*G88</f>
        <v>0</v>
      </c>
      <c r="K88" s="41">
        <v>0</v>
      </c>
      <c r="L88" s="41">
        <f>F88*K88</f>
        <v>0</v>
      </c>
      <c r="M88" s="43"/>
      <c r="P88" s="44">
        <f>IF(AG88="5",J88,0)</f>
        <v>0</v>
      </c>
      <c r="R88" s="44">
        <f>IF(AG88="1",H88,0)</f>
        <v>0</v>
      </c>
      <c r="S88" s="44">
        <f>IF(AG88="1",I88,0)</f>
        <v>0</v>
      </c>
      <c r="T88" s="44">
        <f>IF(AG88="7",H88,0)</f>
        <v>0</v>
      </c>
      <c r="U88" s="44">
        <f>IF(AG88="7",I88,0)</f>
        <v>0</v>
      </c>
      <c r="V88" s="44">
        <f>IF(AG88="2",H88,0)</f>
        <v>0</v>
      </c>
      <c r="W88" s="44">
        <f>IF(AG88="2",I88,0)</f>
        <v>0</v>
      </c>
      <c r="X88" s="44">
        <f>IF(AG88="0",J88,0)</f>
        <v>0</v>
      </c>
      <c r="Y88" s="37"/>
      <c r="Z88" s="41">
        <f>IF(AD88=0,J88,0)</f>
        <v>0</v>
      </c>
      <c r="AA88" s="41">
        <f>IF(AD88=15,J88,0)</f>
        <v>0</v>
      </c>
      <c r="AB88" s="41">
        <f>IF(AD88=21,J88,0)</f>
        <v>0</v>
      </c>
      <c r="AD88" s="44">
        <v>21</v>
      </c>
      <c r="AE88" s="44">
        <f>G88*0</f>
        <v>0</v>
      </c>
      <c r="AF88" s="44">
        <f>G88*(1-0)</f>
        <v>0</v>
      </c>
      <c r="AG88" s="43" t="s">
        <v>6</v>
      </c>
      <c r="AM88" s="44">
        <f>F88*AE88</f>
        <v>0</v>
      </c>
      <c r="AN88" s="44">
        <f>F88*AF88</f>
        <v>0</v>
      </c>
      <c r="AO88" s="45" t="s">
        <v>245</v>
      </c>
      <c r="AP88" s="45" t="s">
        <v>254</v>
      </c>
      <c r="AQ88" s="37" t="s">
        <v>255</v>
      </c>
      <c r="AS88" s="44">
        <f>AM88+AN88</f>
        <v>0</v>
      </c>
      <c r="AT88" s="44">
        <f>G88/(100-AU88)*100</f>
        <v>0</v>
      </c>
      <c r="AU88" s="44">
        <v>0</v>
      </c>
      <c r="AV88" s="44">
        <f>L88</f>
        <v>0</v>
      </c>
    </row>
    <row r="89" spans="1:48" ht="25.5">
      <c r="A89" s="2" t="s">
        <v>69</v>
      </c>
      <c r="B89" s="2"/>
      <c r="C89" s="2"/>
      <c r="D89" s="28" t="s">
        <v>174</v>
      </c>
      <c r="E89" s="2" t="s">
        <v>202</v>
      </c>
      <c r="F89" s="10">
        <v>129.26</v>
      </c>
      <c r="G89" s="42">
        <v>0</v>
      </c>
      <c r="H89" s="41">
        <f>F89*AE89</f>
        <v>0</v>
      </c>
      <c r="I89" s="41">
        <f>J89-H89</f>
        <v>0</v>
      </c>
      <c r="J89" s="41">
        <f>F89*G89</f>
        <v>0</v>
      </c>
      <c r="K89" s="41">
        <v>0.063</v>
      </c>
      <c r="L89" s="41">
        <f>F89*K89</f>
        <v>8.143379999999999</v>
      </c>
      <c r="M89" s="43"/>
      <c r="P89" s="44">
        <f>IF(AG89="5",J89,0)</f>
        <v>0</v>
      </c>
      <c r="R89" s="44">
        <f>IF(AG89="1",H89,0)</f>
        <v>0</v>
      </c>
      <c r="S89" s="44">
        <f>IF(AG89="1",I89,0)</f>
        <v>0</v>
      </c>
      <c r="T89" s="44">
        <f>IF(AG89="7",H89,0)</f>
        <v>0</v>
      </c>
      <c r="U89" s="44">
        <f>IF(AG89="7",I89,0)</f>
        <v>0</v>
      </c>
      <c r="V89" s="44">
        <f>IF(AG89="2",H89,0)</f>
        <v>0</v>
      </c>
      <c r="W89" s="44">
        <f>IF(AG89="2",I89,0)</f>
        <v>0</v>
      </c>
      <c r="X89" s="44">
        <f>IF(AG89="0",J89,0)</f>
        <v>0</v>
      </c>
      <c r="Y89" s="37"/>
      <c r="Z89" s="41">
        <f>IF(AD89=0,J89,0)</f>
        <v>0</v>
      </c>
      <c r="AA89" s="41">
        <f>IF(AD89=15,J89,0)</f>
        <v>0</v>
      </c>
      <c r="AB89" s="41">
        <f>IF(AD89=21,J89,0)</f>
        <v>0</v>
      </c>
      <c r="AD89" s="44">
        <v>21</v>
      </c>
      <c r="AE89" s="44">
        <f>G89*0.12498687664042</f>
        <v>0</v>
      </c>
      <c r="AF89" s="44">
        <f>G89*(1-0.12498687664042)</f>
        <v>0</v>
      </c>
      <c r="AG89" s="43" t="s">
        <v>6</v>
      </c>
      <c r="AM89" s="44">
        <f>F89*AE89</f>
        <v>0</v>
      </c>
      <c r="AN89" s="44">
        <f>F89*AF89</f>
        <v>0</v>
      </c>
      <c r="AO89" s="45" t="s">
        <v>245</v>
      </c>
      <c r="AP89" s="45" t="s">
        <v>254</v>
      </c>
      <c r="AQ89" s="37" t="s">
        <v>255</v>
      </c>
      <c r="AS89" s="44">
        <f>AM89+AN89</f>
        <v>0</v>
      </c>
      <c r="AT89" s="44">
        <f>G89/(100-AU89)*100</f>
        <v>0</v>
      </c>
      <c r="AU89" s="44">
        <v>0</v>
      </c>
      <c r="AV89" s="44">
        <f>L89</f>
        <v>8.143379999999999</v>
      </c>
    </row>
    <row r="90" spans="1:48" ht="12.75">
      <c r="A90" s="2" t="s">
        <v>70</v>
      </c>
      <c r="B90" s="2"/>
      <c r="C90" s="2"/>
      <c r="D90" s="28" t="s">
        <v>175</v>
      </c>
      <c r="E90" s="2" t="s">
        <v>203</v>
      </c>
      <c r="F90" s="10">
        <v>2</v>
      </c>
      <c r="G90" s="42">
        <v>0</v>
      </c>
      <c r="H90" s="41">
        <f>F90*AE90</f>
        <v>0</v>
      </c>
      <c r="I90" s="41">
        <f>J90-H90</f>
        <v>0</v>
      </c>
      <c r="J90" s="41">
        <f>F90*G90</f>
        <v>0</v>
      </c>
      <c r="K90" s="41">
        <v>0</v>
      </c>
      <c r="L90" s="41">
        <f>F90*K90</f>
        <v>0</v>
      </c>
      <c r="M90" s="43"/>
      <c r="P90" s="44">
        <f>IF(AG90="5",J90,0)</f>
        <v>0</v>
      </c>
      <c r="R90" s="44">
        <f>IF(AG90="1",H90,0)</f>
        <v>0</v>
      </c>
      <c r="S90" s="44">
        <f>IF(AG90="1",I90,0)</f>
        <v>0</v>
      </c>
      <c r="T90" s="44">
        <f>IF(AG90="7",H90,0)</f>
        <v>0</v>
      </c>
      <c r="U90" s="44">
        <f>IF(AG90="7",I90,0)</f>
        <v>0</v>
      </c>
      <c r="V90" s="44">
        <f>IF(AG90="2",H90,0)</f>
        <v>0</v>
      </c>
      <c r="W90" s="44">
        <f>IF(AG90="2",I90,0)</f>
        <v>0</v>
      </c>
      <c r="X90" s="44">
        <f>IF(AG90="0",J90,0)</f>
        <v>0</v>
      </c>
      <c r="Y90" s="37"/>
      <c r="Z90" s="41">
        <f>IF(AD90=0,J90,0)</f>
        <v>0</v>
      </c>
      <c r="AA90" s="41">
        <f>IF(AD90=15,J90,0)</f>
        <v>0</v>
      </c>
      <c r="AB90" s="41">
        <f>IF(AD90=21,J90,0)</f>
        <v>0</v>
      </c>
      <c r="AD90" s="44">
        <v>21</v>
      </c>
      <c r="AE90" s="44">
        <f>G90*0</f>
        <v>0</v>
      </c>
      <c r="AF90" s="44">
        <f>G90*(1-0)</f>
        <v>0</v>
      </c>
      <c r="AG90" s="43" t="s">
        <v>6</v>
      </c>
      <c r="AM90" s="44">
        <f>F90*AE90</f>
        <v>0</v>
      </c>
      <c r="AN90" s="44">
        <f>F90*AF90</f>
        <v>0</v>
      </c>
      <c r="AO90" s="45" t="s">
        <v>245</v>
      </c>
      <c r="AP90" s="45" t="s">
        <v>254</v>
      </c>
      <c r="AQ90" s="37" t="s">
        <v>255</v>
      </c>
      <c r="AS90" s="44">
        <f>AM90+AN90</f>
        <v>0</v>
      </c>
      <c r="AT90" s="44">
        <f>G90/(100-AU90)*100</f>
        <v>0</v>
      </c>
      <c r="AU90" s="44">
        <v>0</v>
      </c>
      <c r="AV90" s="44">
        <f>L90</f>
        <v>0</v>
      </c>
    </row>
    <row r="91" spans="1:48" ht="12.75">
      <c r="A91" s="2" t="s">
        <v>71</v>
      </c>
      <c r="B91" s="2"/>
      <c r="C91" s="2"/>
      <c r="D91" s="28" t="s">
        <v>176</v>
      </c>
      <c r="E91" s="2" t="s">
        <v>202</v>
      </c>
      <c r="F91" s="10">
        <v>12.8</v>
      </c>
      <c r="G91" s="42">
        <v>0</v>
      </c>
      <c r="H91" s="41">
        <f>F91*AE91</f>
        <v>0</v>
      </c>
      <c r="I91" s="41">
        <f>J91-H91</f>
        <v>0</v>
      </c>
      <c r="J91" s="41">
        <f>F91*G91</f>
        <v>0</v>
      </c>
      <c r="K91" s="41">
        <v>0.064</v>
      </c>
      <c r="L91" s="41">
        <f>F91*K91</f>
        <v>0.8192</v>
      </c>
      <c r="M91" s="43"/>
      <c r="P91" s="44">
        <f>IF(AG91="5",J91,0)</f>
        <v>0</v>
      </c>
      <c r="R91" s="44">
        <f>IF(AG91="1",H91,0)</f>
        <v>0</v>
      </c>
      <c r="S91" s="44">
        <f>IF(AG91="1",I91,0)</f>
        <v>0</v>
      </c>
      <c r="T91" s="44">
        <f>IF(AG91="7",H91,0)</f>
        <v>0</v>
      </c>
      <c r="U91" s="44">
        <f>IF(AG91="7",I91,0)</f>
        <v>0</v>
      </c>
      <c r="V91" s="44">
        <f>IF(AG91="2",H91,0)</f>
        <v>0</v>
      </c>
      <c r="W91" s="44">
        <f>IF(AG91="2",I91,0)</f>
        <v>0</v>
      </c>
      <c r="X91" s="44">
        <f>IF(AG91="0",J91,0)</f>
        <v>0</v>
      </c>
      <c r="Y91" s="37"/>
      <c r="Z91" s="41">
        <f>IF(AD91=0,J91,0)</f>
        <v>0</v>
      </c>
      <c r="AA91" s="41">
        <f>IF(AD91=15,J91,0)</f>
        <v>0</v>
      </c>
      <c r="AB91" s="41">
        <f>IF(AD91=21,J91,0)</f>
        <v>0</v>
      </c>
      <c r="AD91" s="44">
        <v>21</v>
      </c>
      <c r="AE91" s="44">
        <f>G91*0.108721461187215</f>
        <v>0</v>
      </c>
      <c r="AF91" s="44">
        <f>G91*(1-0.108721461187215)</f>
        <v>0</v>
      </c>
      <c r="AG91" s="43" t="s">
        <v>6</v>
      </c>
      <c r="AM91" s="44">
        <f>F91*AE91</f>
        <v>0</v>
      </c>
      <c r="AN91" s="44">
        <f>F91*AF91</f>
        <v>0</v>
      </c>
      <c r="AO91" s="45" t="s">
        <v>245</v>
      </c>
      <c r="AP91" s="45" t="s">
        <v>254</v>
      </c>
      <c r="AQ91" s="37" t="s">
        <v>255</v>
      </c>
      <c r="AS91" s="44">
        <f>AM91+AN91</f>
        <v>0</v>
      </c>
      <c r="AT91" s="44">
        <f>G91/(100-AU91)*100</f>
        <v>0</v>
      </c>
      <c r="AU91" s="44">
        <v>0</v>
      </c>
      <c r="AV91" s="44">
        <f>L91</f>
        <v>0.8192</v>
      </c>
    </row>
    <row r="92" spans="1:48" ht="12.75">
      <c r="A92" s="2" t="s">
        <v>72</v>
      </c>
      <c r="B92" s="2"/>
      <c r="C92" s="2"/>
      <c r="D92" s="28" t="s">
        <v>177</v>
      </c>
      <c r="E92" s="2" t="s">
        <v>204</v>
      </c>
      <c r="F92" s="10">
        <v>51.7</v>
      </c>
      <c r="G92" s="42">
        <v>0</v>
      </c>
      <c r="H92" s="41">
        <f>F92*AE92</f>
        <v>0</v>
      </c>
      <c r="I92" s="41">
        <f>J92-H92</f>
        <v>0</v>
      </c>
      <c r="J92" s="41">
        <f>F92*G92</f>
        <v>0</v>
      </c>
      <c r="K92" s="41">
        <v>0.01507</v>
      </c>
      <c r="L92" s="41">
        <f>F92*K92</f>
        <v>0.779119</v>
      </c>
      <c r="M92" s="43"/>
      <c r="P92" s="44">
        <f>IF(AG92="5",J92,0)</f>
        <v>0</v>
      </c>
      <c r="R92" s="44">
        <f>IF(AG92="1",H92,0)</f>
        <v>0</v>
      </c>
      <c r="S92" s="44">
        <f>IF(AG92="1",I92,0)</f>
        <v>0</v>
      </c>
      <c r="T92" s="44">
        <f>IF(AG92="7",H92,0)</f>
        <v>0</v>
      </c>
      <c r="U92" s="44">
        <f>IF(AG92="7",I92,0)</f>
        <v>0</v>
      </c>
      <c r="V92" s="44">
        <f>IF(AG92="2",H92,0)</f>
        <v>0</v>
      </c>
      <c r="W92" s="44">
        <f>IF(AG92="2",I92,0)</f>
        <v>0</v>
      </c>
      <c r="X92" s="44">
        <f>IF(AG92="0",J92,0)</f>
        <v>0</v>
      </c>
      <c r="Y92" s="37"/>
      <c r="Z92" s="41">
        <f>IF(AD92=0,J92,0)</f>
        <v>0</v>
      </c>
      <c r="AA92" s="41">
        <f>IF(AD92=15,J92,0)</f>
        <v>0</v>
      </c>
      <c r="AB92" s="41">
        <f>IF(AD92=21,J92,0)</f>
        <v>0</v>
      </c>
      <c r="AD92" s="44">
        <v>21</v>
      </c>
      <c r="AE92" s="44">
        <f>G92*0</f>
        <v>0</v>
      </c>
      <c r="AF92" s="44">
        <f>G92*(1-0)</f>
        <v>0</v>
      </c>
      <c r="AG92" s="43" t="s">
        <v>6</v>
      </c>
      <c r="AM92" s="44">
        <f>F92*AE92</f>
        <v>0</v>
      </c>
      <c r="AN92" s="44">
        <f>F92*AF92</f>
        <v>0</v>
      </c>
      <c r="AO92" s="45" t="s">
        <v>245</v>
      </c>
      <c r="AP92" s="45" t="s">
        <v>254</v>
      </c>
      <c r="AQ92" s="37" t="s">
        <v>255</v>
      </c>
      <c r="AS92" s="44">
        <f>AM92+AN92</f>
        <v>0</v>
      </c>
      <c r="AT92" s="44">
        <f>G92/(100-AU92)*100</f>
        <v>0</v>
      </c>
      <c r="AU92" s="44">
        <v>0</v>
      </c>
      <c r="AV92" s="44">
        <f>L92</f>
        <v>0.779119</v>
      </c>
    </row>
    <row r="93" spans="1:37" ht="12.75">
      <c r="A93" s="3"/>
      <c r="B93" s="8"/>
      <c r="C93" s="8" t="s">
        <v>100</v>
      </c>
      <c r="D93" s="79" t="s">
        <v>178</v>
      </c>
      <c r="E93" s="80"/>
      <c r="F93" s="80"/>
      <c r="G93" s="80"/>
      <c r="H93" s="40">
        <f>SUM(H94:H97)</f>
        <v>0</v>
      </c>
      <c r="I93" s="40">
        <f>SUM(I94:I97)</f>
        <v>0</v>
      </c>
      <c r="J93" s="40">
        <f>H93+I93</f>
        <v>0</v>
      </c>
      <c r="K93" s="37"/>
      <c r="L93" s="40">
        <f>SUM(L94:L97)</f>
        <v>37.67426</v>
      </c>
      <c r="M93" s="37"/>
      <c r="Y93" s="37"/>
      <c r="AI93" s="40">
        <f>SUM(Z94:Z97)</f>
        <v>0</v>
      </c>
      <c r="AJ93" s="40">
        <f>SUM(AA94:AA97)</f>
        <v>0</v>
      </c>
      <c r="AK93" s="40">
        <f>SUM(AB94:AB97)</f>
        <v>0</v>
      </c>
    </row>
    <row r="94" spans="1:48" ht="25.5">
      <c r="A94" s="2" t="s">
        <v>73</v>
      </c>
      <c r="B94" s="2"/>
      <c r="C94" s="2"/>
      <c r="D94" s="28" t="s">
        <v>179</v>
      </c>
      <c r="E94" s="2" t="s">
        <v>202</v>
      </c>
      <c r="F94" s="10">
        <v>149.2</v>
      </c>
      <c r="G94" s="42">
        <v>0</v>
      </c>
      <c r="H94" s="41">
        <f>F94*AE94</f>
        <v>0</v>
      </c>
      <c r="I94" s="41">
        <f>J94-H94</f>
        <v>0</v>
      </c>
      <c r="J94" s="41">
        <f>F94*G94</f>
        <v>0</v>
      </c>
      <c r="K94" s="41">
        <v>0.046</v>
      </c>
      <c r="L94" s="41">
        <f>F94*K94</f>
        <v>6.863199999999999</v>
      </c>
      <c r="M94" s="43"/>
      <c r="P94" s="44">
        <f>IF(AG94="5",J94,0)</f>
        <v>0</v>
      </c>
      <c r="R94" s="44">
        <f>IF(AG94="1",H94,0)</f>
        <v>0</v>
      </c>
      <c r="S94" s="44">
        <f>IF(AG94="1",I94,0)</f>
        <v>0</v>
      </c>
      <c r="T94" s="44">
        <f>IF(AG94="7",H94,0)</f>
        <v>0</v>
      </c>
      <c r="U94" s="44">
        <f>IF(AG94="7",I94,0)</f>
        <v>0</v>
      </c>
      <c r="V94" s="44">
        <f>IF(AG94="2",H94,0)</f>
        <v>0</v>
      </c>
      <c r="W94" s="44">
        <f>IF(AG94="2",I94,0)</f>
        <v>0</v>
      </c>
      <c r="X94" s="44">
        <f>IF(AG94="0",J94,0)</f>
        <v>0</v>
      </c>
      <c r="Y94" s="37"/>
      <c r="Z94" s="41">
        <f>IF(AD94=0,J94,0)</f>
        <v>0</v>
      </c>
      <c r="AA94" s="41">
        <f>IF(AD94=15,J94,0)</f>
        <v>0</v>
      </c>
      <c r="AB94" s="41">
        <f>IF(AD94=21,J94,0)</f>
        <v>0</v>
      </c>
      <c r="AD94" s="44">
        <v>21</v>
      </c>
      <c r="AE94" s="44">
        <f>G94*0</f>
        <v>0</v>
      </c>
      <c r="AF94" s="44">
        <f>G94*(1-0)</f>
        <v>0</v>
      </c>
      <c r="AG94" s="43" t="s">
        <v>6</v>
      </c>
      <c r="AM94" s="44">
        <f>F94*AE94</f>
        <v>0</v>
      </c>
      <c r="AN94" s="44">
        <f>F94*AF94</f>
        <v>0</v>
      </c>
      <c r="AO94" s="45" t="s">
        <v>246</v>
      </c>
      <c r="AP94" s="45" t="s">
        <v>254</v>
      </c>
      <c r="AQ94" s="37" t="s">
        <v>255</v>
      </c>
      <c r="AS94" s="44">
        <f>AM94+AN94</f>
        <v>0</v>
      </c>
      <c r="AT94" s="44">
        <f>G94/(100-AU94)*100</f>
        <v>0</v>
      </c>
      <c r="AU94" s="44">
        <v>0</v>
      </c>
      <c r="AV94" s="44">
        <f>L94</f>
        <v>6.863199999999999</v>
      </c>
    </row>
    <row r="95" spans="1:48" ht="12.75">
      <c r="A95" s="2" t="s">
        <v>74</v>
      </c>
      <c r="B95" s="2"/>
      <c r="C95" s="2"/>
      <c r="D95" s="28" t="s">
        <v>180</v>
      </c>
      <c r="E95" s="2" t="s">
        <v>202</v>
      </c>
      <c r="F95" s="10">
        <v>156.6</v>
      </c>
      <c r="G95" s="42">
        <v>0</v>
      </c>
      <c r="H95" s="41">
        <f>F95*AE95</f>
        <v>0</v>
      </c>
      <c r="I95" s="41">
        <f>J95-H95</f>
        <v>0</v>
      </c>
      <c r="J95" s="41">
        <f>F95*G95</f>
        <v>0</v>
      </c>
      <c r="K95" s="41">
        <v>0.036</v>
      </c>
      <c r="L95" s="41">
        <f>F95*K95</f>
        <v>5.637599999999999</v>
      </c>
      <c r="M95" s="43"/>
      <c r="P95" s="44">
        <f>IF(AG95="5",J95,0)</f>
        <v>0</v>
      </c>
      <c r="R95" s="44">
        <f>IF(AG95="1",H95,0)</f>
        <v>0</v>
      </c>
      <c r="S95" s="44">
        <f>IF(AG95="1",I95,0)</f>
        <v>0</v>
      </c>
      <c r="T95" s="44">
        <f>IF(AG95="7",H95,0)</f>
        <v>0</v>
      </c>
      <c r="U95" s="44">
        <f>IF(AG95="7",I95,0)</f>
        <v>0</v>
      </c>
      <c r="V95" s="44">
        <f>IF(AG95="2",H95,0)</f>
        <v>0</v>
      </c>
      <c r="W95" s="44">
        <f>IF(AG95="2",I95,0)</f>
        <v>0</v>
      </c>
      <c r="X95" s="44">
        <f>IF(AG95="0",J95,0)</f>
        <v>0</v>
      </c>
      <c r="Y95" s="37"/>
      <c r="Z95" s="41">
        <f>IF(AD95=0,J95,0)</f>
        <v>0</v>
      </c>
      <c r="AA95" s="41">
        <f>IF(AD95=15,J95,0)</f>
        <v>0</v>
      </c>
      <c r="AB95" s="41">
        <f>IF(AD95=21,J95,0)</f>
        <v>0</v>
      </c>
      <c r="AD95" s="44">
        <v>21</v>
      </c>
      <c r="AE95" s="44">
        <f>G95*0</f>
        <v>0</v>
      </c>
      <c r="AF95" s="44">
        <f>G95*(1-0)</f>
        <v>0</v>
      </c>
      <c r="AG95" s="43" t="s">
        <v>6</v>
      </c>
      <c r="AM95" s="44">
        <f>F95*AE95</f>
        <v>0</v>
      </c>
      <c r="AN95" s="44">
        <f>F95*AF95</f>
        <v>0</v>
      </c>
      <c r="AO95" s="45" t="s">
        <v>246</v>
      </c>
      <c r="AP95" s="45" t="s">
        <v>254</v>
      </c>
      <c r="AQ95" s="37" t="s">
        <v>255</v>
      </c>
      <c r="AS95" s="44">
        <f>AM95+AN95</f>
        <v>0</v>
      </c>
      <c r="AT95" s="44">
        <f>G95/(100-AU95)*100</f>
        <v>0</v>
      </c>
      <c r="AU95" s="44">
        <v>0</v>
      </c>
      <c r="AV95" s="44">
        <f>L95</f>
        <v>5.637599999999999</v>
      </c>
    </row>
    <row r="96" spans="1:48" ht="12.75">
      <c r="A96" s="2" t="s">
        <v>75</v>
      </c>
      <c r="B96" s="2"/>
      <c r="C96" s="2"/>
      <c r="D96" s="28" t="s">
        <v>181</v>
      </c>
      <c r="E96" s="2" t="s">
        <v>202</v>
      </c>
      <c r="F96" s="10">
        <v>412.23</v>
      </c>
      <c r="G96" s="42">
        <v>0</v>
      </c>
      <c r="H96" s="41">
        <f>F96*AE96</f>
        <v>0</v>
      </c>
      <c r="I96" s="41">
        <f>J96-H96</f>
        <v>0</v>
      </c>
      <c r="J96" s="41">
        <f>F96*G96</f>
        <v>0</v>
      </c>
      <c r="K96" s="41">
        <v>0.058</v>
      </c>
      <c r="L96" s="41">
        <f>F96*K96</f>
        <v>23.909340000000004</v>
      </c>
      <c r="M96" s="43"/>
      <c r="P96" s="44">
        <f>IF(AG96="5",J96,0)</f>
        <v>0</v>
      </c>
      <c r="R96" s="44">
        <f>IF(AG96="1",H96,0)</f>
        <v>0</v>
      </c>
      <c r="S96" s="44">
        <f>IF(AG96="1",I96,0)</f>
        <v>0</v>
      </c>
      <c r="T96" s="44">
        <f>IF(AG96="7",H96,0)</f>
        <v>0</v>
      </c>
      <c r="U96" s="44">
        <f>IF(AG96="7",I96,0)</f>
        <v>0</v>
      </c>
      <c r="V96" s="44">
        <f>IF(AG96="2",H96,0)</f>
        <v>0</v>
      </c>
      <c r="W96" s="44">
        <f>IF(AG96="2",I96,0)</f>
        <v>0</v>
      </c>
      <c r="X96" s="44">
        <f>IF(AG96="0",J96,0)</f>
        <v>0</v>
      </c>
      <c r="Y96" s="37"/>
      <c r="Z96" s="41">
        <f>IF(AD96=0,J96,0)</f>
        <v>0</v>
      </c>
      <c r="AA96" s="41">
        <f>IF(AD96=15,J96,0)</f>
        <v>0</v>
      </c>
      <c r="AB96" s="41">
        <f>IF(AD96=21,J96,0)</f>
        <v>0</v>
      </c>
      <c r="AD96" s="44">
        <v>21</v>
      </c>
      <c r="AE96" s="44">
        <f>G96*0</f>
        <v>0</v>
      </c>
      <c r="AF96" s="44">
        <f>G96*(1-0)</f>
        <v>0</v>
      </c>
      <c r="AG96" s="43" t="s">
        <v>6</v>
      </c>
      <c r="AM96" s="44">
        <f>F96*AE96</f>
        <v>0</v>
      </c>
      <c r="AN96" s="44">
        <f>F96*AF96</f>
        <v>0</v>
      </c>
      <c r="AO96" s="45" t="s">
        <v>246</v>
      </c>
      <c r="AP96" s="45" t="s">
        <v>254</v>
      </c>
      <c r="AQ96" s="37" t="s">
        <v>255</v>
      </c>
      <c r="AS96" s="44">
        <f>AM96+AN96</f>
        <v>0</v>
      </c>
      <c r="AT96" s="44">
        <f>G96/(100-AU96)*100</f>
        <v>0</v>
      </c>
      <c r="AU96" s="44">
        <v>0</v>
      </c>
      <c r="AV96" s="44">
        <f>L96</f>
        <v>23.909340000000004</v>
      </c>
    </row>
    <row r="97" spans="1:48" ht="25.5">
      <c r="A97" s="2" t="s">
        <v>76</v>
      </c>
      <c r="B97" s="2"/>
      <c r="C97" s="2"/>
      <c r="D97" s="28" t="s">
        <v>182</v>
      </c>
      <c r="E97" s="2" t="s">
        <v>202</v>
      </c>
      <c r="F97" s="10">
        <v>18.59</v>
      </c>
      <c r="G97" s="42">
        <v>0</v>
      </c>
      <c r="H97" s="41">
        <f>F97*AE97</f>
        <v>0</v>
      </c>
      <c r="I97" s="41">
        <f>J97-H97</f>
        <v>0</v>
      </c>
      <c r="J97" s="41">
        <f>F97*G97</f>
        <v>0</v>
      </c>
      <c r="K97" s="41">
        <v>0.068</v>
      </c>
      <c r="L97" s="41">
        <f>F97*K97</f>
        <v>1.2641200000000001</v>
      </c>
      <c r="M97" s="43"/>
      <c r="P97" s="44">
        <f>IF(AG97="5",J97,0)</f>
        <v>0</v>
      </c>
      <c r="R97" s="44">
        <f>IF(AG97="1",H97,0)</f>
        <v>0</v>
      </c>
      <c r="S97" s="44">
        <f>IF(AG97="1",I97,0)</f>
        <v>0</v>
      </c>
      <c r="T97" s="44">
        <f>IF(AG97="7",H97,0)</f>
        <v>0</v>
      </c>
      <c r="U97" s="44">
        <f>IF(AG97="7",I97,0)</f>
        <v>0</v>
      </c>
      <c r="V97" s="44">
        <f>IF(AG97="2",H97,0)</f>
        <v>0</v>
      </c>
      <c r="W97" s="44">
        <f>IF(AG97="2",I97,0)</f>
        <v>0</v>
      </c>
      <c r="X97" s="44">
        <f>IF(AG97="0",J97,0)</f>
        <v>0</v>
      </c>
      <c r="Y97" s="37"/>
      <c r="Z97" s="41">
        <f>IF(AD97=0,J97,0)</f>
        <v>0</v>
      </c>
      <c r="AA97" s="41">
        <f>IF(AD97=15,J97,0)</f>
        <v>0</v>
      </c>
      <c r="AB97" s="41">
        <f>IF(AD97=21,J97,0)</f>
        <v>0</v>
      </c>
      <c r="AD97" s="44">
        <v>21</v>
      </c>
      <c r="AE97" s="44">
        <f>G97*0</f>
        <v>0</v>
      </c>
      <c r="AF97" s="44">
        <f>G97*(1-0)</f>
        <v>0</v>
      </c>
      <c r="AG97" s="43" t="s">
        <v>6</v>
      </c>
      <c r="AM97" s="44">
        <f>F97*AE97</f>
        <v>0</v>
      </c>
      <c r="AN97" s="44">
        <f>F97*AF97</f>
        <v>0</v>
      </c>
      <c r="AO97" s="45" t="s">
        <v>246</v>
      </c>
      <c r="AP97" s="45" t="s">
        <v>254</v>
      </c>
      <c r="AQ97" s="37" t="s">
        <v>255</v>
      </c>
      <c r="AS97" s="44">
        <f>AM97+AN97</f>
        <v>0</v>
      </c>
      <c r="AT97" s="44">
        <f>G97/(100-AU97)*100</f>
        <v>0</v>
      </c>
      <c r="AU97" s="44">
        <v>0</v>
      </c>
      <c r="AV97" s="44">
        <f>L97</f>
        <v>1.2641200000000001</v>
      </c>
    </row>
    <row r="98" spans="1:37" ht="12.75">
      <c r="A98" s="3"/>
      <c r="B98" s="8"/>
      <c r="C98" s="8" t="s">
        <v>101</v>
      </c>
      <c r="D98" s="79" t="s">
        <v>183</v>
      </c>
      <c r="E98" s="80"/>
      <c r="F98" s="80"/>
      <c r="G98" s="80"/>
      <c r="H98" s="40">
        <f>SUM(H99:H99)</f>
        <v>0</v>
      </c>
      <c r="I98" s="40">
        <f>SUM(I99:I99)</f>
        <v>0</v>
      </c>
      <c r="J98" s="40">
        <f>H98+I98</f>
        <v>0</v>
      </c>
      <c r="K98" s="37"/>
      <c r="L98" s="40">
        <f>SUM(L99:L99)</f>
        <v>0</v>
      </c>
      <c r="M98" s="37"/>
      <c r="Y98" s="37"/>
      <c r="AI98" s="40">
        <f>SUM(Z99:Z99)</f>
        <v>0</v>
      </c>
      <c r="AJ98" s="40">
        <f>SUM(AA99:AA99)</f>
        <v>0</v>
      </c>
      <c r="AK98" s="40">
        <f>SUM(AB99:AB99)</f>
        <v>0</v>
      </c>
    </row>
    <row r="99" spans="1:48" ht="12.75">
      <c r="A99" s="2" t="s">
        <v>77</v>
      </c>
      <c r="B99" s="2"/>
      <c r="C99" s="2"/>
      <c r="D99" s="28" t="s">
        <v>184</v>
      </c>
      <c r="E99" s="2" t="s">
        <v>205</v>
      </c>
      <c r="F99" s="10">
        <v>44.9778</v>
      </c>
      <c r="G99" s="42">
        <v>0</v>
      </c>
      <c r="H99" s="41">
        <f>F99*AE99</f>
        <v>0</v>
      </c>
      <c r="I99" s="41">
        <f>J99-H99</f>
        <v>0</v>
      </c>
      <c r="J99" s="41">
        <f>F99*G99</f>
        <v>0</v>
      </c>
      <c r="K99" s="41">
        <v>0</v>
      </c>
      <c r="L99" s="41">
        <f>F99*K99</f>
        <v>0</v>
      </c>
      <c r="M99" s="43"/>
      <c r="P99" s="44">
        <f>IF(AG99="5",J99,0)</f>
        <v>0</v>
      </c>
      <c r="R99" s="44">
        <f>IF(AG99="1",H99,0)</f>
        <v>0</v>
      </c>
      <c r="S99" s="44">
        <f>IF(AG99="1",I99,0)</f>
        <v>0</v>
      </c>
      <c r="T99" s="44">
        <f>IF(AG99="7",H99,0)</f>
        <v>0</v>
      </c>
      <c r="U99" s="44">
        <f>IF(AG99="7",I99,0)</f>
        <v>0</v>
      </c>
      <c r="V99" s="44">
        <f>IF(AG99="2",H99,0)</f>
        <v>0</v>
      </c>
      <c r="W99" s="44">
        <f>IF(AG99="2",I99,0)</f>
        <v>0</v>
      </c>
      <c r="X99" s="44">
        <f>IF(AG99="0",J99,0)</f>
        <v>0</v>
      </c>
      <c r="Y99" s="37"/>
      <c r="Z99" s="41">
        <f>IF(AD99=0,J99,0)</f>
        <v>0</v>
      </c>
      <c r="AA99" s="41">
        <f>IF(AD99=15,J99,0)</f>
        <v>0</v>
      </c>
      <c r="AB99" s="41">
        <f>IF(AD99=21,J99,0)</f>
        <v>0</v>
      </c>
      <c r="AD99" s="44">
        <v>21</v>
      </c>
      <c r="AE99" s="44">
        <f>G99*0</f>
        <v>0</v>
      </c>
      <c r="AF99" s="44">
        <f>G99*(1-0)</f>
        <v>0</v>
      </c>
      <c r="AG99" s="43" t="s">
        <v>10</v>
      </c>
      <c r="AM99" s="44">
        <f>F99*AE99</f>
        <v>0</v>
      </c>
      <c r="AN99" s="44">
        <f>F99*AF99</f>
        <v>0</v>
      </c>
      <c r="AO99" s="45" t="s">
        <v>247</v>
      </c>
      <c r="AP99" s="45" t="s">
        <v>254</v>
      </c>
      <c r="AQ99" s="37" t="s">
        <v>255</v>
      </c>
      <c r="AS99" s="44">
        <f>AM99+AN99</f>
        <v>0</v>
      </c>
      <c r="AT99" s="44">
        <f>G99/(100-AU99)*100</f>
        <v>0</v>
      </c>
      <c r="AU99" s="44">
        <v>0</v>
      </c>
      <c r="AV99" s="44">
        <f>L99</f>
        <v>0</v>
      </c>
    </row>
    <row r="100" spans="1:37" ht="12.75">
      <c r="A100" s="3"/>
      <c r="B100" s="8"/>
      <c r="C100" s="8" t="s">
        <v>102</v>
      </c>
      <c r="D100" s="79" t="s">
        <v>185</v>
      </c>
      <c r="E100" s="80"/>
      <c r="F100" s="80"/>
      <c r="G100" s="80"/>
      <c r="H100" s="40">
        <f>SUM(H101:H101)</f>
        <v>0</v>
      </c>
      <c r="I100" s="40">
        <f>SUM(I101:I101)</f>
        <v>0</v>
      </c>
      <c r="J100" s="40">
        <f>H100+I100</f>
        <v>0</v>
      </c>
      <c r="K100" s="37"/>
      <c r="L100" s="40">
        <f>SUM(L101:L101)</f>
        <v>0</v>
      </c>
      <c r="M100" s="37"/>
      <c r="Y100" s="37"/>
      <c r="AI100" s="40">
        <f>SUM(Z101:Z101)</f>
        <v>0</v>
      </c>
      <c r="AJ100" s="40">
        <f>SUM(AA101:AA101)</f>
        <v>0</v>
      </c>
      <c r="AK100" s="40">
        <f>SUM(AB101:AB101)</f>
        <v>0</v>
      </c>
    </row>
    <row r="101" spans="1:48" ht="25.5">
      <c r="A101" s="2" t="s">
        <v>78</v>
      </c>
      <c r="B101" s="2"/>
      <c r="C101" s="2"/>
      <c r="D101" s="28" t="s">
        <v>186</v>
      </c>
      <c r="E101" s="2" t="s">
        <v>204</v>
      </c>
      <c r="F101" s="10">
        <v>30</v>
      </c>
      <c r="G101" s="42">
        <v>0</v>
      </c>
      <c r="H101" s="41">
        <f>F101*AE101</f>
        <v>0</v>
      </c>
      <c r="I101" s="41">
        <f>J101-H101</f>
        <v>0</v>
      </c>
      <c r="J101" s="41">
        <f>F101*G101</f>
        <v>0</v>
      </c>
      <c r="K101" s="41">
        <v>0</v>
      </c>
      <c r="L101" s="41">
        <f>F101*K101</f>
        <v>0</v>
      </c>
      <c r="M101" s="43"/>
      <c r="P101" s="44">
        <f>IF(AG101="5",J101,0)</f>
        <v>0</v>
      </c>
      <c r="R101" s="44">
        <f>IF(AG101="1",H101,0)</f>
        <v>0</v>
      </c>
      <c r="S101" s="44">
        <f>IF(AG101="1",I101,0)</f>
        <v>0</v>
      </c>
      <c r="T101" s="44">
        <f>IF(AG101="7",H101,0)</f>
        <v>0</v>
      </c>
      <c r="U101" s="44">
        <f>IF(AG101="7",I101,0)</f>
        <v>0</v>
      </c>
      <c r="V101" s="44">
        <f>IF(AG101="2",H101,0)</f>
        <v>0</v>
      </c>
      <c r="W101" s="44">
        <f>IF(AG101="2",I101,0)</f>
        <v>0</v>
      </c>
      <c r="X101" s="44">
        <f>IF(AG101="0",J101,0)</f>
        <v>0</v>
      </c>
      <c r="Y101" s="37"/>
      <c r="Z101" s="41">
        <f>IF(AD101=0,J101,0)</f>
        <v>0</v>
      </c>
      <c r="AA101" s="41">
        <f>IF(AD101=15,J101,0)</f>
        <v>0</v>
      </c>
      <c r="AB101" s="41">
        <f>IF(AD101=21,J101,0)</f>
        <v>0</v>
      </c>
      <c r="AD101" s="44">
        <v>21</v>
      </c>
      <c r="AE101" s="44">
        <f>G101*0.120320855614973</f>
        <v>0</v>
      </c>
      <c r="AF101" s="44">
        <f>G101*(1-0.120320855614973)</f>
        <v>0</v>
      </c>
      <c r="AG101" s="43" t="s">
        <v>7</v>
      </c>
      <c r="AM101" s="44">
        <f>F101*AE101</f>
        <v>0</v>
      </c>
      <c r="AN101" s="44">
        <f>F101*AF101</f>
        <v>0</v>
      </c>
      <c r="AO101" s="45" t="s">
        <v>248</v>
      </c>
      <c r="AP101" s="45" t="s">
        <v>254</v>
      </c>
      <c r="AQ101" s="37" t="s">
        <v>255</v>
      </c>
      <c r="AS101" s="44">
        <f>AM101+AN101</f>
        <v>0</v>
      </c>
      <c r="AT101" s="44">
        <f>G101/(100-AU101)*100</f>
        <v>0</v>
      </c>
      <c r="AU101" s="44">
        <v>0</v>
      </c>
      <c r="AV101" s="44">
        <f>L101</f>
        <v>0</v>
      </c>
    </row>
    <row r="102" spans="1:37" ht="12.75">
      <c r="A102" s="3"/>
      <c r="B102" s="8"/>
      <c r="C102" s="8" t="s">
        <v>103</v>
      </c>
      <c r="D102" s="79" t="s">
        <v>187</v>
      </c>
      <c r="E102" s="80"/>
      <c r="F102" s="80"/>
      <c r="G102" s="80"/>
      <c r="H102" s="40">
        <f>SUM(H103:H103)</f>
        <v>0</v>
      </c>
      <c r="I102" s="40">
        <f>SUM(I103:I103)</f>
        <v>0</v>
      </c>
      <c r="J102" s="40">
        <f>H102+I102</f>
        <v>0</v>
      </c>
      <c r="K102" s="37"/>
      <c r="L102" s="40">
        <f>SUM(L103:L103)</f>
        <v>0.01352</v>
      </c>
      <c r="M102" s="37"/>
      <c r="Y102" s="37"/>
      <c r="AI102" s="40">
        <f>SUM(Z103:Z103)</f>
        <v>0</v>
      </c>
      <c r="AJ102" s="40">
        <f>SUM(AA103:AA103)</f>
        <v>0</v>
      </c>
      <c r="AK102" s="40">
        <f>SUM(AB103:AB103)</f>
        <v>0</v>
      </c>
    </row>
    <row r="103" spans="1:48" ht="25.5">
      <c r="A103" s="2" t="s">
        <v>79</v>
      </c>
      <c r="B103" s="2"/>
      <c r="C103" s="2"/>
      <c r="D103" s="28" t="s">
        <v>188</v>
      </c>
      <c r="E103" s="2" t="s">
        <v>207</v>
      </c>
      <c r="F103" s="10">
        <v>1</v>
      </c>
      <c r="G103" s="42">
        <v>0</v>
      </c>
      <c r="H103" s="41">
        <f>F103*AE103</f>
        <v>0</v>
      </c>
      <c r="I103" s="41">
        <f>J103-H103</f>
        <v>0</v>
      </c>
      <c r="J103" s="41">
        <f>F103*G103</f>
        <v>0</v>
      </c>
      <c r="K103" s="41">
        <v>0.01352</v>
      </c>
      <c r="L103" s="41">
        <f>F103*K103</f>
        <v>0.01352</v>
      </c>
      <c r="M103" s="43"/>
      <c r="P103" s="44">
        <f>IF(AG103="5",J103,0)</f>
        <v>0</v>
      </c>
      <c r="R103" s="44">
        <f>IF(AG103="1",H103,0)</f>
        <v>0</v>
      </c>
      <c r="S103" s="44">
        <f>IF(AG103="1",I103,0)</f>
        <v>0</v>
      </c>
      <c r="T103" s="44">
        <f>IF(AG103="7",H103,0)</f>
        <v>0</v>
      </c>
      <c r="U103" s="44">
        <f>IF(AG103="7",I103,0)</f>
        <v>0</v>
      </c>
      <c r="V103" s="44">
        <f>IF(AG103="2",H103,0)</f>
        <v>0</v>
      </c>
      <c r="W103" s="44">
        <f>IF(AG103="2",I103,0)</f>
        <v>0</v>
      </c>
      <c r="X103" s="44">
        <f>IF(AG103="0",J103,0)</f>
        <v>0</v>
      </c>
      <c r="Y103" s="37"/>
      <c r="Z103" s="41">
        <f>IF(AD103=0,J103,0)</f>
        <v>0</v>
      </c>
      <c r="AA103" s="41">
        <f>IF(AD103=15,J103,0)</f>
        <v>0</v>
      </c>
      <c r="AB103" s="41">
        <f>IF(AD103=21,J103,0)</f>
        <v>0</v>
      </c>
      <c r="AD103" s="44">
        <v>21</v>
      </c>
      <c r="AE103" s="44">
        <f>G103*0.508714518556361</f>
        <v>0</v>
      </c>
      <c r="AF103" s="44">
        <f>G103*(1-0.508714518556361)</f>
        <v>0</v>
      </c>
      <c r="AG103" s="43" t="s">
        <v>7</v>
      </c>
      <c r="AM103" s="44">
        <f>F103*AE103</f>
        <v>0</v>
      </c>
      <c r="AN103" s="44">
        <f>F103*AF103</f>
        <v>0</v>
      </c>
      <c r="AO103" s="45" t="s">
        <v>249</v>
      </c>
      <c r="AP103" s="45" t="s">
        <v>254</v>
      </c>
      <c r="AQ103" s="37" t="s">
        <v>255</v>
      </c>
      <c r="AS103" s="44">
        <f>AM103+AN103</f>
        <v>0</v>
      </c>
      <c r="AT103" s="44">
        <f>G103/(100-AU103)*100</f>
        <v>0</v>
      </c>
      <c r="AU103" s="44">
        <v>0</v>
      </c>
      <c r="AV103" s="44">
        <f>L103</f>
        <v>0.01352</v>
      </c>
    </row>
    <row r="104" spans="1:37" ht="12.75">
      <c r="A104" s="3"/>
      <c r="B104" s="8"/>
      <c r="C104" s="8" t="s">
        <v>104</v>
      </c>
      <c r="D104" s="79" t="s">
        <v>189</v>
      </c>
      <c r="E104" s="80"/>
      <c r="F104" s="80"/>
      <c r="G104" s="80"/>
      <c r="H104" s="40">
        <f>SUM(H105:H111)</f>
        <v>0</v>
      </c>
      <c r="I104" s="40">
        <f>SUM(I105:I111)</f>
        <v>0</v>
      </c>
      <c r="J104" s="40">
        <f>H104+I104</f>
        <v>0</v>
      </c>
      <c r="K104" s="37"/>
      <c r="L104" s="40">
        <f>SUM(L105:L111)</f>
        <v>0</v>
      </c>
      <c r="M104" s="37"/>
      <c r="Y104" s="37"/>
      <c r="AI104" s="40">
        <f>SUM(Z105:Z111)</f>
        <v>0</v>
      </c>
      <c r="AJ104" s="40">
        <f>SUM(AA105:AA111)</f>
        <v>0</v>
      </c>
      <c r="AK104" s="40">
        <f>SUM(AB105:AB111)</f>
        <v>0</v>
      </c>
    </row>
    <row r="105" spans="1:48" ht="12.75">
      <c r="A105" s="2" t="s">
        <v>80</v>
      </c>
      <c r="B105" s="2"/>
      <c r="C105" s="2"/>
      <c r="D105" s="28" t="s">
        <v>190</v>
      </c>
      <c r="E105" s="2" t="s">
        <v>205</v>
      </c>
      <c r="F105" s="10">
        <v>48.1</v>
      </c>
      <c r="G105" s="42">
        <v>0</v>
      </c>
      <c r="H105" s="41">
        <f aca="true" t="shared" si="82" ref="H105:H111">F105*AE105</f>
        <v>0</v>
      </c>
      <c r="I105" s="41">
        <f aca="true" t="shared" si="83" ref="I105:I111">J105-H105</f>
        <v>0</v>
      </c>
      <c r="J105" s="41">
        <f aca="true" t="shared" si="84" ref="J105:J111">F105*G105</f>
        <v>0</v>
      </c>
      <c r="K105" s="41">
        <v>0</v>
      </c>
      <c r="L105" s="41">
        <f aca="true" t="shared" si="85" ref="L105:L111">F105*K105</f>
        <v>0</v>
      </c>
      <c r="M105" s="43"/>
      <c r="P105" s="44">
        <f aca="true" t="shared" si="86" ref="P105:P111">IF(AG105="5",J105,0)</f>
        <v>0</v>
      </c>
      <c r="R105" s="44">
        <f aca="true" t="shared" si="87" ref="R105:R111">IF(AG105="1",H105,0)</f>
        <v>0</v>
      </c>
      <c r="S105" s="44">
        <f aca="true" t="shared" si="88" ref="S105:S111">IF(AG105="1",I105,0)</f>
        <v>0</v>
      </c>
      <c r="T105" s="44">
        <f aca="true" t="shared" si="89" ref="T105:T111">IF(AG105="7",H105,0)</f>
        <v>0</v>
      </c>
      <c r="U105" s="44">
        <f aca="true" t="shared" si="90" ref="U105:U111">IF(AG105="7",I105,0)</f>
        <v>0</v>
      </c>
      <c r="V105" s="44">
        <f aca="true" t="shared" si="91" ref="V105:V111">IF(AG105="2",H105,0)</f>
        <v>0</v>
      </c>
      <c r="W105" s="44">
        <f aca="true" t="shared" si="92" ref="W105:W111">IF(AG105="2",I105,0)</f>
        <v>0</v>
      </c>
      <c r="X105" s="44">
        <f aca="true" t="shared" si="93" ref="X105:X111">IF(AG105="0",J105,0)</f>
        <v>0</v>
      </c>
      <c r="Y105" s="37"/>
      <c r="Z105" s="41">
        <f aca="true" t="shared" si="94" ref="Z105:Z111">IF(AD105=0,J105,0)</f>
        <v>0</v>
      </c>
      <c r="AA105" s="41">
        <f aca="true" t="shared" si="95" ref="AA105:AA111">IF(AD105=15,J105,0)</f>
        <v>0</v>
      </c>
      <c r="AB105" s="41">
        <f aca="true" t="shared" si="96" ref="AB105:AB111">IF(AD105=21,J105,0)</f>
        <v>0</v>
      </c>
      <c r="AD105" s="44">
        <v>21</v>
      </c>
      <c r="AE105" s="44">
        <f aca="true" t="shared" si="97" ref="AE105:AE111">G105*0</f>
        <v>0</v>
      </c>
      <c r="AF105" s="44">
        <f aca="true" t="shared" si="98" ref="AF105:AF111">G105*(1-0)</f>
        <v>0</v>
      </c>
      <c r="AG105" s="43" t="s">
        <v>10</v>
      </c>
      <c r="AM105" s="44">
        <f aca="true" t="shared" si="99" ref="AM105:AM111">F105*AE105</f>
        <v>0</v>
      </c>
      <c r="AN105" s="44">
        <f aca="true" t="shared" si="100" ref="AN105:AN111">F105*AF105</f>
        <v>0</v>
      </c>
      <c r="AO105" s="45" t="s">
        <v>250</v>
      </c>
      <c r="AP105" s="45" t="s">
        <v>254</v>
      </c>
      <c r="AQ105" s="37" t="s">
        <v>255</v>
      </c>
      <c r="AS105" s="44">
        <f aca="true" t="shared" si="101" ref="AS105:AS111">AM105+AN105</f>
        <v>0</v>
      </c>
      <c r="AT105" s="44">
        <f aca="true" t="shared" si="102" ref="AT105:AT111">G105/(100-AU105)*100</f>
        <v>0</v>
      </c>
      <c r="AU105" s="44">
        <v>0</v>
      </c>
      <c r="AV105" s="44">
        <f aca="true" t="shared" si="103" ref="AV105:AV111">L105</f>
        <v>0</v>
      </c>
    </row>
    <row r="106" spans="1:48" ht="12.75">
      <c r="A106" s="2" t="s">
        <v>81</v>
      </c>
      <c r="B106" s="2"/>
      <c r="C106" s="2"/>
      <c r="D106" s="28" t="s">
        <v>191</v>
      </c>
      <c r="E106" s="2" t="s">
        <v>205</v>
      </c>
      <c r="F106" s="10">
        <v>48.1</v>
      </c>
      <c r="G106" s="42">
        <v>0</v>
      </c>
      <c r="H106" s="41">
        <f t="shared" si="82"/>
        <v>0</v>
      </c>
      <c r="I106" s="41">
        <f t="shared" si="83"/>
        <v>0</v>
      </c>
      <c r="J106" s="41">
        <f t="shared" si="84"/>
        <v>0</v>
      </c>
      <c r="K106" s="41">
        <v>0</v>
      </c>
      <c r="L106" s="41">
        <f t="shared" si="85"/>
        <v>0</v>
      </c>
      <c r="M106" s="43"/>
      <c r="P106" s="44">
        <f t="shared" si="86"/>
        <v>0</v>
      </c>
      <c r="R106" s="44">
        <f t="shared" si="87"/>
        <v>0</v>
      </c>
      <c r="S106" s="44">
        <f t="shared" si="88"/>
        <v>0</v>
      </c>
      <c r="T106" s="44">
        <f t="shared" si="89"/>
        <v>0</v>
      </c>
      <c r="U106" s="44">
        <f t="shared" si="90"/>
        <v>0</v>
      </c>
      <c r="V106" s="44">
        <f t="shared" si="91"/>
        <v>0</v>
      </c>
      <c r="W106" s="44">
        <f t="shared" si="92"/>
        <v>0</v>
      </c>
      <c r="X106" s="44">
        <f t="shared" si="93"/>
        <v>0</v>
      </c>
      <c r="Y106" s="37"/>
      <c r="Z106" s="41">
        <f t="shared" si="94"/>
        <v>0</v>
      </c>
      <c r="AA106" s="41">
        <f t="shared" si="95"/>
        <v>0</v>
      </c>
      <c r="AB106" s="41">
        <f t="shared" si="96"/>
        <v>0</v>
      </c>
      <c r="AD106" s="44">
        <v>21</v>
      </c>
      <c r="AE106" s="44">
        <f t="shared" si="97"/>
        <v>0</v>
      </c>
      <c r="AF106" s="44">
        <f t="shared" si="98"/>
        <v>0</v>
      </c>
      <c r="AG106" s="43" t="s">
        <v>10</v>
      </c>
      <c r="AM106" s="44">
        <f t="shared" si="99"/>
        <v>0</v>
      </c>
      <c r="AN106" s="44">
        <f t="shared" si="100"/>
        <v>0</v>
      </c>
      <c r="AO106" s="45" t="s">
        <v>250</v>
      </c>
      <c r="AP106" s="45" t="s">
        <v>254</v>
      </c>
      <c r="AQ106" s="37" t="s">
        <v>255</v>
      </c>
      <c r="AS106" s="44">
        <f t="shared" si="101"/>
        <v>0</v>
      </c>
      <c r="AT106" s="44">
        <f t="shared" si="102"/>
        <v>0</v>
      </c>
      <c r="AU106" s="44">
        <v>0</v>
      </c>
      <c r="AV106" s="44">
        <f t="shared" si="103"/>
        <v>0</v>
      </c>
    </row>
    <row r="107" spans="1:48" ht="12.75">
      <c r="A107" s="2" t="s">
        <v>82</v>
      </c>
      <c r="B107" s="2"/>
      <c r="C107" s="2"/>
      <c r="D107" s="28" t="s">
        <v>192</v>
      </c>
      <c r="E107" s="2" t="s">
        <v>205</v>
      </c>
      <c r="F107" s="10">
        <v>144.3</v>
      </c>
      <c r="G107" s="42">
        <v>0</v>
      </c>
      <c r="H107" s="41">
        <f t="shared" si="82"/>
        <v>0</v>
      </c>
      <c r="I107" s="41">
        <f t="shared" si="83"/>
        <v>0</v>
      </c>
      <c r="J107" s="41">
        <f t="shared" si="84"/>
        <v>0</v>
      </c>
      <c r="K107" s="41">
        <v>0</v>
      </c>
      <c r="L107" s="41">
        <f t="shared" si="85"/>
        <v>0</v>
      </c>
      <c r="M107" s="43"/>
      <c r="P107" s="44">
        <f t="shared" si="86"/>
        <v>0</v>
      </c>
      <c r="R107" s="44">
        <f t="shared" si="87"/>
        <v>0</v>
      </c>
      <c r="S107" s="44">
        <f t="shared" si="88"/>
        <v>0</v>
      </c>
      <c r="T107" s="44">
        <f t="shared" si="89"/>
        <v>0</v>
      </c>
      <c r="U107" s="44">
        <f t="shared" si="90"/>
        <v>0</v>
      </c>
      <c r="V107" s="44">
        <f t="shared" si="91"/>
        <v>0</v>
      </c>
      <c r="W107" s="44">
        <f t="shared" si="92"/>
        <v>0</v>
      </c>
      <c r="X107" s="44">
        <f t="shared" si="93"/>
        <v>0</v>
      </c>
      <c r="Y107" s="37"/>
      <c r="Z107" s="41">
        <f t="shared" si="94"/>
        <v>0</v>
      </c>
      <c r="AA107" s="41">
        <f t="shared" si="95"/>
        <v>0</v>
      </c>
      <c r="AB107" s="41">
        <f t="shared" si="96"/>
        <v>0</v>
      </c>
      <c r="AD107" s="44">
        <v>21</v>
      </c>
      <c r="AE107" s="44">
        <f t="shared" si="97"/>
        <v>0</v>
      </c>
      <c r="AF107" s="44">
        <f t="shared" si="98"/>
        <v>0</v>
      </c>
      <c r="AG107" s="43" t="s">
        <v>10</v>
      </c>
      <c r="AM107" s="44">
        <f t="shared" si="99"/>
        <v>0</v>
      </c>
      <c r="AN107" s="44">
        <f t="shared" si="100"/>
        <v>0</v>
      </c>
      <c r="AO107" s="45" t="s">
        <v>250</v>
      </c>
      <c r="AP107" s="45" t="s">
        <v>254</v>
      </c>
      <c r="AQ107" s="37" t="s">
        <v>255</v>
      </c>
      <c r="AS107" s="44">
        <f t="shared" si="101"/>
        <v>0</v>
      </c>
      <c r="AT107" s="44">
        <f t="shared" si="102"/>
        <v>0</v>
      </c>
      <c r="AU107" s="44">
        <v>0</v>
      </c>
      <c r="AV107" s="44">
        <f t="shared" si="103"/>
        <v>0</v>
      </c>
    </row>
    <row r="108" spans="1:48" ht="12.75">
      <c r="A108" s="2" t="s">
        <v>83</v>
      </c>
      <c r="B108" s="2"/>
      <c r="C108" s="2"/>
      <c r="D108" s="28" t="s">
        <v>193</v>
      </c>
      <c r="E108" s="2" t="s">
        <v>205</v>
      </c>
      <c r="F108" s="10">
        <v>48.1</v>
      </c>
      <c r="G108" s="42">
        <v>0</v>
      </c>
      <c r="H108" s="41">
        <f t="shared" si="82"/>
        <v>0</v>
      </c>
      <c r="I108" s="41">
        <f t="shared" si="83"/>
        <v>0</v>
      </c>
      <c r="J108" s="41">
        <f t="shared" si="84"/>
        <v>0</v>
      </c>
      <c r="K108" s="41">
        <v>0</v>
      </c>
      <c r="L108" s="41">
        <f t="shared" si="85"/>
        <v>0</v>
      </c>
      <c r="M108" s="43"/>
      <c r="P108" s="44">
        <f t="shared" si="86"/>
        <v>0</v>
      </c>
      <c r="R108" s="44">
        <f t="shared" si="87"/>
        <v>0</v>
      </c>
      <c r="S108" s="44">
        <f t="shared" si="88"/>
        <v>0</v>
      </c>
      <c r="T108" s="44">
        <f t="shared" si="89"/>
        <v>0</v>
      </c>
      <c r="U108" s="44">
        <f t="shared" si="90"/>
        <v>0</v>
      </c>
      <c r="V108" s="44">
        <f t="shared" si="91"/>
        <v>0</v>
      </c>
      <c r="W108" s="44">
        <f t="shared" si="92"/>
        <v>0</v>
      </c>
      <c r="X108" s="44">
        <f t="shared" si="93"/>
        <v>0</v>
      </c>
      <c r="Y108" s="37"/>
      <c r="Z108" s="41">
        <f t="shared" si="94"/>
        <v>0</v>
      </c>
      <c r="AA108" s="41">
        <f t="shared" si="95"/>
        <v>0</v>
      </c>
      <c r="AB108" s="41">
        <f t="shared" si="96"/>
        <v>0</v>
      </c>
      <c r="AD108" s="44">
        <v>21</v>
      </c>
      <c r="AE108" s="44">
        <f t="shared" si="97"/>
        <v>0</v>
      </c>
      <c r="AF108" s="44">
        <f t="shared" si="98"/>
        <v>0</v>
      </c>
      <c r="AG108" s="43" t="s">
        <v>10</v>
      </c>
      <c r="AM108" s="44">
        <f t="shared" si="99"/>
        <v>0</v>
      </c>
      <c r="AN108" s="44">
        <f t="shared" si="100"/>
        <v>0</v>
      </c>
      <c r="AO108" s="45" t="s">
        <v>250</v>
      </c>
      <c r="AP108" s="45" t="s">
        <v>254</v>
      </c>
      <c r="AQ108" s="37" t="s">
        <v>255</v>
      </c>
      <c r="AS108" s="44">
        <f t="shared" si="101"/>
        <v>0</v>
      </c>
      <c r="AT108" s="44">
        <f t="shared" si="102"/>
        <v>0</v>
      </c>
      <c r="AU108" s="44">
        <v>0</v>
      </c>
      <c r="AV108" s="44">
        <f t="shared" si="103"/>
        <v>0</v>
      </c>
    </row>
    <row r="109" spans="1:48" ht="12.75">
      <c r="A109" s="2" t="s">
        <v>84</v>
      </c>
      <c r="B109" s="2"/>
      <c r="C109" s="2"/>
      <c r="D109" s="28" t="s">
        <v>194</v>
      </c>
      <c r="E109" s="2" t="s">
        <v>205</v>
      </c>
      <c r="F109" s="10">
        <v>48.1</v>
      </c>
      <c r="G109" s="42">
        <v>0</v>
      </c>
      <c r="H109" s="41">
        <f t="shared" si="82"/>
        <v>0</v>
      </c>
      <c r="I109" s="41">
        <f t="shared" si="83"/>
        <v>0</v>
      </c>
      <c r="J109" s="41">
        <f t="shared" si="84"/>
        <v>0</v>
      </c>
      <c r="K109" s="41">
        <v>0</v>
      </c>
      <c r="L109" s="41">
        <f t="shared" si="85"/>
        <v>0</v>
      </c>
      <c r="M109" s="43"/>
      <c r="P109" s="44">
        <f t="shared" si="86"/>
        <v>0</v>
      </c>
      <c r="R109" s="44">
        <f t="shared" si="87"/>
        <v>0</v>
      </c>
      <c r="S109" s="44">
        <f t="shared" si="88"/>
        <v>0</v>
      </c>
      <c r="T109" s="44">
        <f t="shared" si="89"/>
        <v>0</v>
      </c>
      <c r="U109" s="44">
        <f t="shared" si="90"/>
        <v>0</v>
      </c>
      <c r="V109" s="44">
        <f t="shared" si="91"/>
        <v>0</v>
      </c>
      <c r="W109" s="44">
        <f t="shared" si="92"/>
        <v>0</v>
      </c>
      <c r="X109" s="44">
        <f t="shared" si="93"/>
        <v>0</v>
      </c>
      <c r="Y109" s="37"/>
      <c r="Z109" s="41">
        <f t="shared" si="94"/>
        <v>0</v>
      </c>
      <c r="AA109" s="41">
        <f t="shared" si="95"/>
        <v>0</v>
      </c>
      <c r="AB109" s="41">
        <f t="shared" si="96"/>
        <v>0</v>
      </c>
      <c r="AD109" s="44">
        <v>21</v>
      </c>
      <c r="AE109" s="44">
        <f t="shared" si="97"/>
        <v>0</v>
      </c>
      <c r="AF109" s="44">
        <f t="shared" si="98"/>
        <v>0</v>
      </c>
      <c r="AG109" s="43" t="s">
        <v>10</v>
      </c>
      <c r="AM109" s="44">
        <f t="shared" si="99"/>
        <v>0</v>
      </c>
      <c r="AN109" s="44">
        <f t="shared" si="100"/>
        <v>0</v>
      </c>
      <c r="AO109" s="45" t="s">
        <v>250</v>
      </c>
      <c r="AP109" s="45" t="s">
        <v>254</v>
      </c>
      <c r="AQ109" s="37" t="s">
        <v>255</v>
      </c>
      <c r="AS109" s="44">
        <f t="shared" si="101"/>
        <v>0</v>
      </c>
      <c r="AT109" s="44">
        <f t="shared" si="102"/>
        <v>0</v>
      </c>
      <c r="AU109" s="44">
        <v>0</v>
      </c>
      <c r="AV109" s="44">
        <f t="shared" si="103"/>
        <v>0</v>
      </c>
    </row>
    <row r="110" spans="1:48" ht="12.75">
      <c r="A110" s="2" t="s">
        <v>85</v>
      </c>
      <c r="B110" s="2"/>
      <c r="C110" s="2"/>
      <c r="D110" s="28" t="s">
        <v>195</v>
      </c>
      <c r="E110" s="2" t="s">
        <v>205</v>
      </c>
      <c r="F110" s="10">
        <v>48.1</v>
      </c>
      <c r="G110" s="42">
        <v>0</v>
      </c>
      <c r="H110" s="41">
        <f t="shared" si="82"/>
        <v>0</v>
      </c>
      <c r="I110" s="41">
        <f t="shared" si="83"/>
        <v>0</v>
      </c>
      <c r="J110" s="41">
        <f t="shared" si="84"/>
        <v>0</v>
      </c>
      <c r="K110" s="41">
        <v>0</v>
      </c>
      <c r="L110" s="41">
        <f t="shared" si="85"/>
        <v>0</v>
      </c>
      <c r="M110" s="43"/>
      <c r="P110" s="44">
        <f t="shared" si="86"/>
        <v>0</v>
      </c>
      <c r="R110" s="44">
        <f t="shared" si="87"/>
        <v>0</v>
      </c>
      <c r="S110" s="44">
        <f t="shared" si="88"/>
        <v>0</v>
      </c>
      <c r="T110" s="44">
        <f t="shared" si="89"/>
        <v>0</v>
      </c>
      <c r="U110" s="44">
        <f t="shared" si="90"/>
        <v>0</v>
      </c>
      <c r="V110" s="44">
        <f t="shared" si="91"/>
        <v>0</v>
      </c>
      <c r="W110" s="44">
        <f t="shared" si="92"/>
        <v>0</v>
      </c>
      <c r="X110" s="44">
        <f t="shared" si="93"/>
        <v>0</v>
      </c>
      <c r="Y110" s="37"/>
      <c r="Z110" s="41">
        <f t="shared" si="94"/>
        <v>0</v>
      </c>
      <c r="AA110" s="41">
        <f t="shared" si="95"/>
        <v>0</v>
      </c>
      <c r="AB110" s="41">
        <f t="shared" si="96"/>
        <v>0</v>
      </c>
      <c r="AD110" s="44">
        <v>21</v>
      </c>
      <c r="AE110" s="44">
        <f t="shared" si="97"/>
        <v>0</v>
      </c>
      <c r="AF110" s="44">
        <f t="shared" si="98"/>
        <v>0</v>
      </c>
      <c r="AG110" s="43" t="s">
        <v>10</v>
      </c>
      <c r="AM110" s="44">
        <f t="shared" si="99"/>
        <v>0</v>
      </c>
      <c r="AN110" s="44">
        <f t="shared" si="100"/>
        <v>0</v>
      </c>
      <c r="AO110" s="45" t="s">
        <v>250</v>
      </c>
      <c r="AP110" s="45" t="s">
        <v>254</v>
      </c>
      <c r="AQ110" s="37" t="s">
        <v>255</v>
      </c>
      <c r="AS110" s="44">
        <f t="shared" si="101"/>
        <v>0</v>
      </c>
      <c r="AT110" s="44">
        <f t="shared" si="102"/>
        <v>0</v>
      </c>
      <c r="AU110" s="44">
        <v>0</v>
      </c>
      <c r="AV110" s="44">
        <f t="shared" si="103"/>
        <v>0</v>
      </c>
    </row>
    <row r="111" spans="1:48" ht="12.75">
      <c r="A111" s="5" t="s">
        <v>86</v>
      </c>
      <c r="B111" s="5"/>
      <c r="C111" s="5"/>
      <c r="D111" s="33" t="s">
        <v>196</v>
      </c>
      <c r="E111" s="5" t="s">
        <v>205</v>
      </c>
      <c r="F111" s="12">
        <v>48.1</v>
      </c>
      <c r="G111" s="42">
        <v>0</v>
      </c>
      <c r="H111" s="48">
        <f t="shared" si="82"/>
        <v>0</v>
      </c>
      <c r="I111" s="48">
        <f t="shared" si="83"/>
        <v>0</v>
      </c>
      <c r="J111" s="48">
        <f t="shared" si="84"/>
        <v>0</v>
      </c>
      <c r="K111" s="48">
        <v>0</v>
      </c>
      <c r="L111" s="48">
        <f t="shared" si="85"/>
        <v>0</v>
      </c>
      <c r="M111" s="43"/>
      <c r="P111" s="44">
        <f t="shared" si="86"/>
        <v>0</v>
      </c>
      <c r="R111" s="44">
        <f t="shared" si="87"/>
        <v>0</v>
      </c>
      <c r="S111" s="44">
        <f t="shared" si="88"/>
        <v>0</v>
      </c>
      <c r="T111" s="44">
        <f t="shared" si="89"/>
        <v>0</v>
      </c>
      <c r="U111" s="44">
        <f t="shared" si="90"/>
        <v>0</v>
      </c>
      <c r="V111" s="44">
        <f t="shared" si="91"/>
        <v>0</v>
      </c>
      <c r="W111" s="44">
        <f t="shared" si="92"/>
        <v>0</v>
      </c>
      <c r="X111" s="44">
        <f t="shared" si="93"/>
        <v>0</v>
      </c>
      <c r="Y111" s="37"/>
      <c r="Z111" s="41">
        <f t="shared" si="94"/>
        <v>0</v>
      </c>
      <c r="AA111" s="41">
        <f t="shared" si="95"/>
        <v>0</v>
      </c>
      <c r="AB111" s="41">
        <f t="shared" si="96"/>
        <v>0</v>
      </c>
      <c r="AD111" s="44">
        <v>21</v>
      </c>
      <c r="AE111" s="44">
        <f t="shared" si="97"/>
        <v>0</v>
      </c>
      <c r="AF111" s="44">
        <f t="shared" si="98"/>
        <v>0</v>
      </c>
      <c r="AG111" s="43" t="s">
        <v>10</v>
      </c>
      <c r="AM111" s="44">
        <f t="shared" si="99"/>
        <v>0</v>
      </c>
      <c r="AN111" s="44">
        <f t="shared" si="100"/>
        <v>0</v>
      </c>
      <c r="AO111" s="45" t="s">
        <v>250</v>
      </c>
      <c r="AP111" s="45" t="s">
        <v>254</v>
      </c>
      <c r="AQ111" s="37" t="s">
        <v>255</v>
      </c>
      <c r="AS111" s="44">
        <f t="shared" si="101"/>
        <v>0</v>
      </c>
      <c r="AT111" s="44">
        <f t="shared" si="102"/>
        <v>0</v>
      </c>
      <c r="AU111" s="44">
        <v>0</v>
      </c>
      <c r="AV111" s="44">
        <f t="shared" si="103"/>
        <v>0</v>
      </c>
    </row>
    <row r="112" spans="1:13" ht="12.75">
      <c r="A112" s="49"/>
      <c r="B112" s="49"/>
      <c r="C112" s="49"/>
      <c r="D112" s="49"/>
      <c r="E112" s="49"/>
      <c r="F112" s="49"/>
      <c r="G112" s="49"/>
      <c r="H112" s="147" t="s">
        <v>213</v>
      </c>
      <c r="I112" s="148"/>
      <c r="J112" s="50">
        <f>J12+J14+J20+J23+J29+J40+J43+J51+J57+J59+J62+J74+J83+J87+J93+J98+J100+J102+J104</f>
        <v>0</v>
      </c>
      <c r="K112" s="49"/>
      <c r="L112" s="49"/>
      <c r="M112" s="49"/>
    </row>
    <row r="113" spans="1:13" ht="11.25" customHeight="1">
      <c r="A113" s="6" t="s">
        <v>87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3" ht="12.75">
      <c r="A114" s="81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</row>
    <row r="115" spans="1:13" ht="12.75">
      <c r="A115" s="52" t="s">
        <v>409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ht="12.75">
      <c r="A116" s="52" t="s">
        <v>410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ht="12.75">
      <c r="A117" s="52" t="s">
        <v>411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</row>
    <row r="118" spans="1:13" ht="12.75">
      <c r="A118" s="52" t="s">
        <v>412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</row>
    <row r="119" spans="1:13" ht="12.75">
      <c r="A119" s="52" t="s">
        <v>413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</row>
    <row r="120" spans="1:13" ht="12.75">
      <c r="A120" s="52" t="s">
        <v>414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</row>
    <row r="121" spans="1:13" ht="12.75">
      <c r="A121" s="52" t="s">
        <v>415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</row>
    <row r="122" spans="1:13" ht="12.75">
      <c r="A122" s="52" t="s">
        <v>416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</row>
    <row r="123" spans="1:13" ht="12.75">
      <c r="A123" s="52" t="s">
        <v>417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</row>
    <row r="124" spans="1:13" ht="12.75">
      <c r="A124" s="52" t="s">
        <v>418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</row>
    <row r="125" spans="1:13" ht="12.75">
      <c r="A125" s="52" t="s">
        <v>419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</row>
    <row r="126" spans="1:13" ht="12.75">
      <c r="A126" s="52" t="s">
        <v>420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</row>
    <row r="127" spans="1:13" ht="12.75">
      <c r="A127" s="53" t="s">
        <v>421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</row>
  </sheetData>
  <sheetProtection password="CC2B" sheet="1"/>
  <mergeCells count="48">
    <mergeCell ref="D100:G100"/>
    <mergeCell ref="D102:G102"/>
    <mergeCell ref="D104:G104"/>
    <mergeCell ref="H112:I112"/>
    <mergeCell ref="A114:M114"/>
    <mergeCell ref="D62:G62"/>
    <mergeCell ref="D74:G74"/>
    <mergeCell ref="D83:G83"/>
    <mergeCell ref="D87:G87"/>
    <mergeCell ref="D93:G93"/>
    <mergeCell ref="D98:G98"/>
    <mergeCell ref="D29:G29"/>
    <mergeCell ref="D40:G40"/>
    <mergeCell ref="D43:G43"/>
    <mergeCell ref="D51:G51"/>
    <mergeCell ref="D57:G57"/>
    <mergeCell ref="D59:G59"/>
    <mergeCell ref="H10:J10"/>
    <mergeCell ref="K10:L10"/>
    <mergeCell ref="D12:G12"/>
    <mergeCell ref="D14:G14"/>
    <mergeCell ref="D20:G20"/>
    <mergeCell ref="D23:G23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2" width="16.57421875" style="34" customWidth="1"/>
    <col min="3" max="3" width="43.00390625" style="34" customWidth="1"/>
    <col min="4" max="4" width="22.140625" style="34" customWidth="1"/>
    <col min="5" max="5" width="21.00390625" style="34" customWidth="1"/>
    <col min="6" max="6" width="20.8515625" style="34" customWidth="1"/>
    <col min="7" max="7" width="19.7109375" style="34" customWidth="1"/>
    <col min="8" max="9" width="0" style="34" hidden="1" customWidth="1"/>
    <col min="10" max="16384" width="11.57421875" style="34" customWidth="1"/>
  </cols>
  <sheetData>
    <row r="1" spans="1:7" ht="28.5" customHeight="1">
      <c r="A1" s="83" t="s">
        <v>398</v>
      </c>
      <c r="B1" s="84"/>
      <c r="C1" s="84"/>
      <c r="D1" s="84"/>
      <c r="E1" s="84"/>
      <c r="F1" s="84"/>
      <c r="G1" s="84"/>
    </row>
    <row r="2" spans="1:8" ht="12.75" customHeight="1">
      <c r="A2" s="85" t="s">
        <v>0</v>
      </c>
      <c r="B2" s="87" t="s">
        <v>400</v>
      </c>
      <c r="C2" s="88"/>
      <c r="D2" s="90" t="s">
        <v>214</v>
      </c>
      <c r="E2" s="90" t="s">
        <v>406</v>
      </c>
      <c r="F2" s="92"/>
      <c r="G2" s="93"/>
      <c r="H2" s="35"/>
    </row>
    <row r="3" spans="1:8" ht="21.75" customHeight="1">
      <c r="A3" s="86"/>
      <c r="B3" s="89"/>
      <c r="C3" s="89"/>
      <c r="D3" s="91"/>
      <c r="E3" s="91"/>
      <c r="F3" s="91"/>
      <c r="G3" s="94"/>
      <c r="H3" s="35"/>
    </row>
    <row r="4" spans="1:8" ht="12.75">
      <c r="A4" s="95" t="s">
        <v>1</v>
      </c>
      <c r="B4" s="96"/>
      <c r="C4" s="91"/>
      <c r="D4" s="97" t="s">
        <v>215</v>
      </c>
      <c r="E4" s="97" t="s">
        <v>402</v>
      </c>
      <c r="F4" s="91"/>
      <c r="G4" s="94"/>
      <c r="H4" s="35"/>
    </row>
    <row r="5" spans="1:8" ht="12.75">
      <c r="A5" s="86"/>
      <c r="B5" s="91"/>
      <c r="C5" s="91"/>
      <c r="D5" s="91"/>
      <c r="E5" s="91"/>
      <c r="F5" s="91"/>
      <c r="G5" s="94"/>
      <c r="H5" s="35"/>
    </row>
    <row r="6" spans="1:8" ht="12.75">
      <c r="A6" s="95" t="s">
        <v>2</v>
      </c>
      <c r="B6" s="97" t="s">
        <v>401</v>
      </c>
      <c r="C6" s="91"/>
      <c r="D6" s="97" t="s">
        <v>216</v>
      </c>
      <c r="E6" s="74"/>
      <c r="F6" s="70"/>
      <c r="G6" s="72"/>
      <c r="H6" s="35"/>
    </row>
    <row r="7" spans="1:8" ht="12.75">
      <c r="A7" s="86"/>
      <c r="B7" s="91"/>
      <c r="C7" s="91"/>
      <c r="D7" s="91"/>
      <c r="E7" s="70"/>
      <c r="F7" s="70"/>
      <c r="G7" s="72"/>
      <c r="H7" s="35"/>
    </row>
    <row r="8" spans="1:8" ht="12.75">
      <c r="A8" s="95" t="s">
        <v>217</v>
      </c>
      <c r="B8" s="76"/>
      <c r="C8" s="70"/>
      <c r="D8" s="100" t="s">
        <v>200</v>
      </c>
      <c r="E8" s="73"/>
      <c r="F8" s="70"/>
      <c r="G8" s="72"/>
      <c r="H8" s="35"/>
    </row>
    <row r="9" spans="1:8" ht="12.75">
      <c r="A9" s="98"/>
      <c r="B9" s="75"/>
      <c r="C9" s="75"/>
      <c r="D9" s="99"/>
      <c r="E9" s="75"/>
      <c r="F9" s="75"/>
      <c r="G9" s="149"/>
      <c r="H9" s="35"/>
    </row>
    <row r="10" spans="1:8" ht="12.75">
      <c r="A10" s="15" t="s">
        <v>88</v>
      </c>
      <c r="B10" s="17" t="s">
        <v>89</v>
      </c>
      <c r="C10" s="18" t="s">
        <v>105</v>
      </c>
      <c r="D10" s="19" t="s">
        <v>256</v>
      </c>
      <c r="E10" s="19" t="s">
        <v>257</v>
      </c>
      <c r="F10" s="19" t="s">
        <v>258</v>
      </c>
      <c r="G10" s="21" t="s">
        <v>259</v>
      </c>
      <c r="H10" s="36"/>
    </row>
    <row r="11" spans="1:9" ht="12.75">
      <c r="A11" s="16"/>
      <c r="B11" s="16" t="s">
        <v>66</v>
      </c>
      <c r="C11" s="16" t="s">
        <v>107</v>
      </c>
      <c r="D11" s="150">
        <f>'Stavební rozpočet'!H12</f>
        <v>0</v>
      </c>
      <c r="E11" s="150">
        <f>'Stavební rozpočet'!I12</f>
        <v>0</v>
      </c>
      <c r="F11" s="150">
        <f aca="true" t="shared" si="0" ref="F11:F29">D11+E11</f>
        <v>0</v>
      </c>
      <c r="G11" s="22">
        <f>'Stavební rozpočet'!L12</f>
        <v>8.54715239</v>
      </c>
      <c r="H11" s="44" t="s">
        <v>260</v>
      </c>
      <c r="I11" s="44">
        <f aca="true" t="shared" si="1" ref="I11:I29">IF(H11="F",0,F11)</f>
        <v>0</v>
      </c>
    </row>
    <row r="12" spans="1:9" ht="12.75">
      <c r="A12" s="9"/>
      <c r="B12" s="9" t="s">
        <v>67</v>
      </c>
      <c r="C12" s="9" t="s">
        <v>109</v>
      </c>
      <c r="D12" s="44">
        <f>'Stavební rozpočet'!H14</f>
        <v>0</v>
      </c>
      <c r="E12" s="44">
        <f>'Stavební rozpočet'!I14</f>
        <v>0</v>
      </c>
      <c r="F12" s="44">
        <f t="shared" si="0"/>
        <v>0</v>
      </c>
      <c r="G12" s="14">
        <f>'Stavební rozpočet'!L14</f>
        <v>24.544009239999998</v>
      </c>
      <c r="H12" s="44" t="s">
        <v>260</v>
      </c>
      <c r="I12" s="44">
        <f t="shared" si="1"/>
        <v>0</v>
      </c>
    </row>
    <row r="13" spans="1:9" ht="12.75">
      <c r="A13" s="9"/>
      <c r="B13" s="9" t="s">
        <v>68</v>
      </c>
      <c r="C13" s="9" t="s">
        <v>114</v>
      </c>
      <c r="D13" s="44">
        <f>'Stavební rozpočet'!H20</f>
        <v>0</v>
      </c>
      <c r="E13" s="44">
        <f>'Stavební rozpočet'!I20</f>
        <v>0</v>
      </c>
      <c r="F13" s="44">
        <f t="shared" si="0"/>
        <v>0</v>
      </c>
      <c r="G13" s="14">
        <f>'Stavební rozpočet'!L20</f>
        <v>4.2391366</v>
      </c>
      <c r="H13" s="44" t="s">
        <v>260</v>
      </c>
      <c r="I13" s="44">
        <f t="shared" si="1"/>
        <v>0</v>
      </c>
    </row>
    <row r="14" spans="1:9" ht="12.75">
      <c r="A14" s="9"/>
      <c r="B14" s="9" t="s">
        <v>69</v>
      </c>
      <c r="C14" s="9" t="s">
        <v>117</v>
      </c>
      <c r="D14" s="44">
        <f>'Stavební rozpočet'!H23</f>
        <v>0</v>
      </c>
      <c r="E14" s="44">
        <f>'Stavební rozpočet'!I23</f>
        <v>0</v>
      </c>
      <c r="F14" s="44">
        <f t="shared" si="0"/>
        <v>0</v>
      </c>
      <c r="G14" s="14">
        <f>'Stavební rozpočet'!L23</f>
        <v>4.305</v>
      </c>
      <c r="H14" s="44" t="s">
        <v>260</v>
      </c>
      <c r="I14" s="44">
        <f t="shared" si="1"/>
        <v>0</v>
      </c>
    </row>
    <row r="15" spans="1:9" ht="12.75">
      <c r="A15" s="9"/>
      <c r="B15" s="9" t="s">
        <v>90</v>
      </c>
      <c r="C15" s="9" t="s">
        <v>118</v>
      </c>
      <c r="D15" s="44">
        <f>'Stavební rozpočet'!H29</f>
        <v>0</v>
      </c>
      <c r="E15" s="44">
        <f>'Stavební rozpočet'!I29</f>
        <v>0</v>
      </c>
      <c r="F15" s="44">
        <f t="shared" si="0"/>
        <v>0</v>
      </c>
      <c r="G15" s="14">
        <f>'Stavební rozpočet'!L29</f>
        <v>1.552002</v>
      </c>
      <c r="H15" s="44" t="s">
        <v>260</v>
      </c>
      <c r="I15" s="44">
        <f t="shared" si="1"/>
        <v>0</v>
      </c>
    </row>
    <row r="16" spans="1:9" ht="12.75">
      <c r="A16" s="9"/>
      <c r="B16" s="9" t="s">
        <v>91</v>
      </c>
      <c r="C16" s="9" t="s">
        <v>129</v>
      </c>
      <c r="D16" s="44">
        <f>'Stavební rozpočet'!H40</f>
        <v>0</v>
      </c>
      <c r="E16" s="44">
        <f>'Stavební rozpočet'!I40</f>
        <v>0</v>
      </c>
      <c r="F16" s="44">
        <f t="shared" si="0"/>
        <v>0</v>
      </c>
      <c r="G16" s="14">
        <f>'Stavební rozpočet'!L40</f>
        <v>0.568183</v>
      </c>
      <c r="H16" s="44" t="s">
        <v>260</v>
      </c>
      <c r="I16" s="44">
        <f t="shared" si="1"/>
        <v>0</v>
      </c>
    </row>
    <row r="17" spans="1:9" ht="12.75">
      <c r="A17" s="9"/>
      <c r="B17" s="9" t="s">
        <v>92</v>
      </c>
      <c r="C17" s="9" t="s">
        <v>132</v>
      </c>
      <c r="D17" s="44">
        <f>'Stavební rozpočet'!H43</f>
        <v>0</v>
      </c>
      <c r="E17" s="44">
        <f>'Stavební rozpočet'!I43</f>
        <v>0</v>
      </c>
      <c r="F17" s="44">
        <f t="shared" si="0"/>
        <v>0</v>
      </c>
      <c r="G17" s="14">
        <f>'Stavební rozpočet'!L43</f>
        <v>0.25375</v>
      </c>
      <c r="H17" s="44" t="s">
        <v>260</v>
      </c>
      <c r="I17" s="44">
        <f t="shared" si="1"/>
        <v>0</v>
      </c>
    </row>
    <row r="18" spans="1:9" ht="12.75">
      <c r="A18" s="9"/>
      <c r="B18" s="9" t="s">
        <v>93</v>
      </c>
      <c r="C18" s="9" t="s">
        <v>139</v>
      </c>
      <c r="D18" s="44">
        <f>'Stavební rozpočet'!H51</f>
        <v>0</v>
      </c>
      <c r="E18" s="44">
        <f>'Stavební rozpočet'!I51</f>
        <v>0</v>
      </c>
      <c r="F18" s="44">
        <f t="shared" si="0"/>
        <v>0</v>
      </c>
      <c r="G18" s="14">
        <f>'Stavební rozpočet'!L51</f>
        <v>0.4169737</v>
      </c>
      <c r="H18" s="44" t="s">
        <v>260</v>
      </c>
      <c r="I18" s="44">
        <f t="shared" si="1"/>
        <v>0</v>
      </c>
    </row>
    <row r="19" spans="1:9" ht="12.75">
      <c r="A19" s="9"/>
      <c r="B19" s="9" t="s">
        <v>94</v>
      </c>
      <c r="C19" s="9" t="s">
        <v>145</v>
      </c>
      <c r="D19" s="44">
        <f>'Stavební rozpočet'!H57</f>
        <v>0</v>
      </c>
      <c r="E19" s="44">
        <f>'Stavební rozpočet'!I57</f>
        <v>0</v>
      </c>
      <c r="F19" s="44">
        <f t="shared" si="0"/>
        <v>0</v>
      </c>
      <c r="G19" s="14">
        <f>'Stavební rozpočet'!L57</f>
        <v>0.03363966</v>
      </c>
      <c r="H19" s="44" t="s">
        <v>260</v>
      </c>
      <c r="I19" s="44">
        <f t="shared" si="1"/>
        <v>0</v>
      </c>
    </row>
    <row r="20" spans="1:9" ht="12.75">
      <c r="A20" s="9"/>
      <c r="B20" s="9" t="s">
        <v>95</v>
      </c>
      <c r="C20" s="9" t="s">
        <v>147</v>
      </c>
      <c r="D20" s="44">
        <f>'Stavební rozpočet'!H59</f>
        <v>0</v>
      </c>
      <c r="E20" s="44">
        <f>'Stavební rozpočet'!I59</f>
        <v>0</v>
      </c>
      <c r="F20" s="44">
        <f t="shared" si="0"/>
        <v>0</v>
      </c>
      <c r="G20" s="14">
        <f>'Stavební rozpočet'!L59</f>
        <v>0.08056313999999999</v>
      </c>
      <c r="H20" s="44" t="s">
        <v>260</v>
      </c>
      <c r="I20" s="44">
        <f t="shared" si="1"/>
        <v>0</v>
      </c>
    </row>
    <row r="21" spans="1:9" ht="12.75">
      <c r="A21" s="9"/>
      <c r="B21" s="9" t="s">
        <v>96</v>
      </c>
      <c r="C21" s="9" t="s">
        <v>150</v>
      </c>
      <c r="D21" s="44">
        <f>'Stavební rozpočet'!H62</f>
        <v>0</v>
      </c>
      <c r="E21" s="44">
        <f>'Stavební rozpočet'!I62</f>
        <v>0</v>
      </c>
      <c r="F21" s="44">
        <f t="shared" si="0"/>
        <v>0</v>
      </c>
      <c r="G21" s="14">
        <f>'Stavební rozpočet'!L62</f>
        <v>0</v>
      </c>
      <c r="H21" s="44" t="s">
        <v>260</v>
      </c>
      <c r="I21" s="44">
        <f t="shared" si="1"/>
        <v>0</v>
      </c>
    </row>
    <row r="22" spans="1:9" ht="12.75">
      <c r="A22" s="9"/>
      <c r="B22" s="9" t="s">
        <v>97</v>
      </c>
      <c r="C22" s="9" t="s">
        <v>159</v>
      </c>
      <c r="D22" s="44">
        <f>'Stavební rozpočet'!H74</f>
        <v>0</v>
      </c>
      <c r="E22" s="44">
        <f>'Stavební rozpočet'!I74</f>
        <v>0</v>
      </c>
      <c r="F22" s="44">
        <f t="shared" si="0"/>
        <v>0</v>
      </c>
      <c r="G22" s="14">
        <f>'Stavební rozpočet'!L74</f>
        <v>3.1903728</v>
      </c>
      <c r="H22" s="44" t="s">
        <v>260</v>
      </c>
      <c r="I22" s="44">
        <f t="shared" si="1"/>
        <v>0</v>
      </c>
    </row>
    <row r="23" spans="1:9" ht="12.75">
      <c r="A23" s="9"/>
      <c r="B23" s="9" t="s">
        <v>98</v>
      </c>
      <c r="C23" s="9" t="s">
        <v>168</v>
      </c>
      <c r="D23" s="44">
        <f>'Stavební rozpočet'!H83</f>
        <v>0</v>
      </c>
      <c r="E23" s="44">
        <f>'Stavební rozpočet'!I83</f>
        <v>0</v>
      </c>
      <c r="F23" s="44">
        <f t="shared" si="0"/>
        <v>0</v>
      </c>
      <c r="G23" s="14">
        <f>'Stavební rozpočet'!L83</f>
        <v>0.0357823</v>
      </c>
      <c r="H23" s="44" t="s">
        <v>260</v>
      </c>
      <c r="I23" s="44">
        <f t="shared" si="1"/>
        <v>0</v>
      </c>
    </row>
    <row r="24" spans="1:9" ht="12.75">
      <c r="A24" s="9"/>
      <c r="B24" s="9" t="s">
        <v>99</v>
      </c>
      <c r="C24" s="9" t="s">
        <v>172</v>
      </c>
      <c r="D24" s="44">
        <f>'Stavební rozpočet'!H87</f>
        <v>0</v>
      </c>
      <c r="E24" s="44">
        <f>'Stavební rozpočet'!I87</f>
        <v>0</v>
      </c>
      <c r="F24" s="44">
        <f t="shared" si="0"/>
        <v>0</v>
      </c>
      <c r="G24" s="14">
        <f>'Stavební rozpočet'!L87</f>
        <v>9.741698999999999</v>
      </c>
      <c r="H24" s="44" t="s">
        <v>260</v>
      </c>
      <c r="I24" s="44">
        <f t="shared" si="1"/>
        <v>0</v>
      </c>
    </row>
    <row r="25" spans="1:9" ht="12.75">
      <c r="A25" s="9"/>
      <c r="B25" s="9" t="s">
        <v>100</v>
      </c>
      <c r="C25" s="9" t="s">
        <v>178</v>
      </c>
      <c r="D25" s="44">
        <f>'Stavební rozpočet'!H93</f>
        <v>0</v>
      </c>
      <c r="E25" s="44">
        <f>'Stavební rozpočet'!I93</f>
        <v>0</v>
      </c>
      <c r="F25" s="44">
        <f t="shared" si="0"/>
        <v>0</v>
      </c>
      <c r="G25" s="14">
        <f>'Stavební rozpočet'!L93</f>
        <v>37.67426</v>
      </c>
      <c r="H25" s="44" t="s">
        <v>260</v>
      </c>
      <c r="I25" s="44">
        <f t="shared" si="1"/>
        <v>0</v>
      </c>
    </row>
    <row r="26" spans="1:9" ht="12.75">
      <c r="A26" s="9"/>
      <c r="B26" s="9" t="s">
        <v>101</v>
      </c>
      <c r="C26" s="9" t="s">
        <v>183</v>
      </c>
      <c r="D26" s="44">
        <f>'Stavební rozpočet'!H98</f>
        <v>0</v>
      </c>
      <c r="E26" s="44">
        <f>'Stavební rozpočet'!I98</f>
        <v>0</v>
      </c>
      <c r="F26" s="44">
        <f t="shared" si="0"/>
        <v>0</v>
      </c>
      <c r="G26" s="14">
        <f>'Stavební rozpočet'!L98</f>
        <v>0</v>
      </c>
      <c r="H26" s="44" t="s">
        <v>260</v>
      </c>
      <c r="I26" s="44">
        <f t="shared" si="1"/>
        <v>0</v>
      </c>
    </row>
    <row r="27" spans="1:9" ht="12.75">
      <c r="A27" s="9"/>
      <c r="B27" s="9" t="s">
        <v>102</v>
      </c>
      <c r="C27" s="9" t="s">
        <v>185</v>
      </c>
      <c r="D27" s="44">
        <f>'Stavební rozpočet'!H100</f>
        <v>0</v>
      </c>
      <c r="E27" s="44">
        <f>'Stavební rozpočet'!I100</f>
        <v>0</v>
      </c>
      <c r="F27" s="44">
        <f t="shared" si="0"/>
        <v>0</v>
      </c>
      <c r="G27" s="14">
        <f>'Stavební rozpočet'!L100</f>
        <v>0</v>
      </c>
      <c r="H27" s="44" t="s">
        <v>260</v>
      </c>
      <c r="I27" s="44">
        <f t="shared" si="1"/>
        <v>0</v>
      </c>
    </row>
    <row r="28" spans="1:9" ht="12.75">
      <c r="A28" s="9"/>
      <c r="B28" s="9" t="s">
        <v>103</v>
      </c>
      <c r="C28" s="9" t="s">
        <v>187</v>
      </c>
      <c r="D28" s="44">
        <f>'Stavební rozpočet'!H102</f>
        <v>0</v>
      </c>
      <c r="E28" s="44">
        <f>'Stavební rozpočet'!I102</f>
        <v>0</v>
      </c>
      <c r="F28" s="44">
        <f t="shared" si="0"/>
        <v>0</v>
      </c>
      <c r="G28" s="14">
        <f>'Stavební rozpočet'!L102</f>
        <v>0.01352</v>
      </c>
      <c r="H28" s="44" t="s">
        <v>260</v>
      </c>
      <c r="I28" s="44">
        <f t="shared" si="1"/>
        <v>0</v>
      </c>
    </row>
    <row r="29" spans="1:9" ht="12.75">
      <c r="A29" s="9"/>
      <c r="B29" s="9" t="s">
        <v>104</v>
      </c>
      <c r="C29" s="9" t="s">
        <v>189</v>
      </c>
      <c r="D29" s="44">
        <f>'Stavební rozpočet'!H104</f>
        <v>0</v>
      </c>
      <c r="E29" s="44">
        <f>'Stavební rozpočet'!I104</f>
        <v>0</v>
      </c>
      <c r="F29" s="44">
        <f t="shared" si="0"/>
        <v>0</v>
      </c>
      <c r="G29" s="14">
        <f>'Stavební rozpočet'!L104</f>
        <v>0</v>
      </c>
      <c r="H29" s="44" t="s">
        <v>260</v>
      </c>
      <c r="I29" s="44">
        <f t="shared" si="1"/>
        <v>0</v>
      </c>
    </row>
    <row r="31" spans="5:6" ht="12.75">
      <c r="E31" s="20" t="s">
        <v>213</v>
      </c>
      <c r="F31" s="151">
        <f>SUM(I11:I29)</f>
        <v>0</v>
      </c>
    </row>
  </sheetData>
  <sheetProtection password="CC2B" sheet="1"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2" width="9.140625" style="34" customWidth="1"/>
    <col min="3" max="3" width="13.28125" style="34" customWidth="1"/>
    <col min="4" max="4" width="89.7109375" style="34" customWidth="1"/>
    <col min="5" max="5" width="14.57421875" style="34" customWidth="1"/>
    <col min="6" max="6" width="24.140625" style="34" customWidth="1"/>
    <col min="7" max="7" width="20.421875" style="34" customWidth="1"/>
    <col min="8" max="8" width="16.57421875" style="34" customWidth="1"/>
    <col min="9" max="16384" width="11.57421875" style="34" customWidth="1"/>
  </cols>
  <sheetData>
    <row r="1" spans="1:8" ht="27" customHeight="1">
      <c r="A1" s="67" t="s">
        <v>397</v>
      </c>
      <c r="B1" s="68"/>
      <c r="C1" s="68"/>
      <c r="D1" s="68"/>
      <c r="E1" s="68"/>
      <c r="F1" s="68"/>
      <c r="G1" s="68"/>
      <c r="H1" s="68"/>
    </row>
    <row r="2" spans="1:9" ht="12.75" customHeight="1">
      <c r="A2" s="85" t="s">
        <v>0</v>
      </c>
      <c r="B2" s="92"/>
      <c r="C2" s="103" t="s">
        <v>400</v>
      </c>
      <c r="D2" s="104"/>
      <c r="E2" s="90" t="s">
        <v>214</v>
      </c>
      <c r="F2" s="90" t="s">
        <v>407</v>
      </c>
      <c r="G2" s="92"/>
      <c r="H2" s="93"/>
      <c r="I2" s="35"/>
    </row>
    <row r="3" spans="1:9" ht="12.75">
      <c r="A3" s="86"/>
      <c r="B3" s="91"/>
      <c r="C3" s="105"/>
      <c r="D3" s="105"/>
      <c r="E3" s="91"/>
      <c r="F3" s="91"/>
      <c r="G3" s="91"/>
      <c r="H3" s="94"/>
      <c r="I3" s="35"/>
    </row>
    <row r="4" spans="1:9" ht="12.75" customHeight="1">
      <c r="A4" s="95" t="s">
        <v>1</v>
      </c>
      <c r="B4" s="91"/>
      <c r="C4" s="96"/>
      <c r="D4" s="91"/>
      <c r="E4" s="97" t="s">
        <v>215</v>
      </c>
      <c r="F4" s="97" t="s">
        <v>402</v>
      </c>
      <c r="G4" s="91"/>
      <c r="H4" s="94"/>
      <c r="I4" s="35"/>
    </row>
    <row r="5" spans="1:9" ht="12.75">
      <c r="A5" s="86"/>
      <c r="B5" s="91"/>
      <c r="C5" s="91"/>
      <c r="D5" s="91"/>
      <c r="E5" s="91"/>
      <c r="F5" s="91"/>
      <c r="G5" s="91"/>
      <c r="H5" s="94"/>
      <c r="I5" s="35"/>
    </row>
    <row r="6" spans="1:9" ht="12.75">
      <c r="A6" s="95" t="s">
        <v>2</v>
      </c>
      <c r="B6" s="91"/>
      <c r="C6" s="97" t="s">
        <v>401</v>
      </c>
      <c r="D6" s="91"/>
      <c r="E6" s="97" t="s">
        <v>216</v>
      </c>
      <c r="F6" s="74"/>
      <c r="G6" s="70"/>
      <c r="H6" s="72"/>
      <c r="I6" s="35"/>
    </row>
    <row r="7" spans="1:9" ht="12.75">
      <c r="A7" s="86"/>
      <c r="B7" s="91"/>
      <c r="C7" s="91"/>
      <c r="D7" s="91"/>
      <c r="E7" s="91"/>
      <c r="F7" s="70"/>
      <c r="G7" s="70"/>
      <c r="H7" s="72"/>
      <c r="I7" s="35"/>
    </row>
    <row r="8" spans="1:9" ht="12.75" customHeight="1">
      <c r="A8" s="95" t="s">
        <v>217</v>
      </c>
      <c r="B8" s="91"/>
      <c r="C8" s="96" t="s">
        <v>403</v>
      </c>
      <c r="D8" s="91"/>
      <c r="E8" s="100" t="s">
        <v>200</v>
      </c>
      <c r="F8" s="101">
        <v>42928</v>
      </c>
      <c r="G8" s="91"/>
      <c r="H8" s="94"/>
      <c r="I8" s="35"/>
    </row>
    <row r="9" spans="1:9" ht="12.75">
      <c r="A9" s="98"/>
      <c r="B9" s="99"/>
      <c r="C9" s="99"/>
      <c r="D9" s="99"/>
      <c r="E9" s="99"/>
      <c r="F9" s="99"/>
      <c r="G9" s="99"/>
      <c r="H9" s="102"/>
      <c r="I9" s="35"/>
    </row>
    <row r="10" spans="1:9" ht="12.75">
      <c r="A10" s="17" t="s">
        <v>4</v>
      </c>
      <c r="B10" s="18" t="s">
        <v>88</v>
      </c>
      <c r="C10" s="18" t="s">
        <v>89</v>
      </c>
      <c r="D10" s="18" t="s">
        <v>105</v>
      </c>
      <c r="E10" s="18" t="s">
        <v>201</v>
      </c>
      <c r="F10" s="18" t="s">
        <v>106</v>
      </c>
      <c r="G10" s="24" t="s">
        <v>208</v>
      </c>
      <c r="H10" s="15" t="s">
        <v>352</v>
      </c>
      <c r="I10" s="36"/>
    </row>
    <row r="11" spans="1:8" ht="25.5">
      <c r="A11" s="23" t="s">
        <v>6</v>
      </c>
      <c r="B11" s="23"/>
      <c r="C11" s="23"/>
      <c r="D11" s="31" t="s">
        <v>108</v>
      </c>
      <c r="E11" s="23" t="s">
        <v>202</v>
      </c>
      <c r="F11" s="27"/>
      <c r="G11" s="25">
        <v>149.191</v>
      </c>
      <c r="H11" s="13"/>
    </row>
    <row r="12" spans="1:8" ht="25.5">
      <c r="A12" s="51"/>
      <c r="B12" s="51"/>
      <c r="C12" s="51"/>
      <c r="D12" s="152"/>
      <c r="E12" s="51"/>
      <c r="F12" s="28" t="s">
        <v>261</v>
      </c>
      <c r="G12" s="10">
        <v>59.895</v>
      </c>
      <c r="H12" s="51"/>
    </row>
    <row r="13" spans="1:8" ht="12.75">
      <c r="A13" s="2"/>
      <c r="B13" s="2"/>
      <c r="C13" s="2"/>
      <c r="D13" s="28"/>
      <c r="E13" s="2"/>
      <c r="F13" s="28" t="s">
        <v>262</v>
      </c>
      <c r="G13" s="10">
        <v>8.64</v>
      </c>
      <c r="H13" s="51"/>
    </row>
    <row r="14" spans="1:8" ht="25.5">
      <c r="A14" s="2"/>
      <c r="B14" s="2"/>
      <c r="C14" s="2"/>
      <c r="D14" s="28"/>
      <c r="E14" s="2"/>
      <c r="F14" s="28" t="s">
        <v>263</v>
      </c>
      <c r="G14" s="10">
        <v>49.896</v>
      </c>
      <c r="H14" s="51"/>
    </row>
    <row r="15" spans="1:8" ht="25.5">
      <c r="A15" s="2"/>
      <c r="B15" s="2"/>
      <c r="C15" s="2"/>
      <c r="D15" s="28"/>
      <c r="E15" s="2"/>
      <c r="F15" s="28" t="s">
        <v>264</v>
      </c>
      <c r="G15" s="10">
        <v>23.76</v>
      </c>
      <c r="H15" s="51"/>
    </row>
    <row r="16" spans="1:8" ht="25.5">
      <c r="A16" s="2"/>
      <c r="B16" s="2"/>
      <c r="C16" s="2"/>
      <c r="D16" s="28"/>
      <c r="E16" s="2"/>
      <c r="F16" s="28" t="s">
        <v>265</v>
      </c>
      <c r="G16" s="10">
        <v>7</v>
      </c>
      <c r="H16" s="51"/>
    </row>
    <row r="17" spans="1:8" ht="25.5">
      <c r="A17" s="2" t="s">
        <v>7</v>
      </c>
      <c r="B17" s="2"/>
      <c r="C17" s="2"/>
      <c r="D17" s="28" t="s">
        <v>431</v>
      </c>
      <c r="E17" s="2" t="s">
        <v>202</v>
      </c>
      <c r="F17" s="28" t="s">
        <v>266</v>
      </c>
      <c r="G17" s="10">
        <v>568.9</v>
      </c>
      <c r="H17" s="13"/>
    </row>
    <row r="18" spans="1:8" ht="25.5">
      <c r="A18" s="2" t="s">
        <v>8</v>
      </c>
      <c r="B18" s="2"/>
      <c r="C18" s="2"/>
      <c r="D18" s="28" t="s">
        <v>110</v>
      </c>
      <c r="E18" s="2" t="s">
        <v>202</v>
      </c>
      <c r="F18" s="152"/>
      <c r="G18" s="10">
        <v>156.592</v>
      </c>
      <c r="H18" s="13"/>
    </row>
    <row r="19" spans="1:8" ht="12.75">
      <c r="A19" s="51"/>
      <c r="B19" s="51"/>
      <c r="C19" s="51"/>
      <c r="D19" s="152"/>
      <c r="E19" s="51"/>
      <c r="F19" s="28" t="s">
        <v>267</v>
      </c>
      <c r="G19" s="10">
        <v>183.6</v>
      </c>
      <c r="H19" s="51"/>
    </row>
    <row r="20" spans="1:8" ht="12.75">
      <c r="A20" s="2"/>
      <c r="B20" s="2"/>
      <c r="C20" s="2"/>
      <c r="D20" s="28"/>
      <c r="E20" s="2"/>
      <c r="F20" s="28" t="s">
        <v>268</v>
      </c>
      <c r="G20" s="10">
        <v>9.7</v>
      </c>
      <c r="H20" s="51"/>
    </row>
    <row r="21" spans="1:8" ht="25.5">
      <c r="A21" s="2"/>
      <c r="B21" s="2"/>
      <c r="C21" s="2"/>
      <c r="D21" s="28"/>
      <c r="E21" s="2"/>
      <c r="F21" s="28" t="s">
        <v>269</v>
      </c>
      <c r="G21" s="10">
        <v>-13.3</v>
      </c>
      <c r="H21" s="51"/>
    </row>
    <row r="22" spans="1:8" ht="25.5">
      <c r="A22" s="2"/>
      <c r="B22" s="2"/>
      <c r="C22" s="2"/>
      <c r="D22" s="28"/>
      <c r="E22" s="2"/>
      <c r="F22" s="28" t="s">
        <v>270</v>
      </c>
      <c r="G22" s="10">
        <v>-23.408</v>
      </c>
      <c r="H22" s="51"/>
    </row>
    <row r="23" spans="1:8" ht="25.5">
      <c r="A23" s="2" t="s">
        <v>9</v>
      </c>
      <c r="B23" s="2"/>
      <c r="C23" s="2"/>
      <c r="D23" s="28" t="s">
        <v>111</v>
      </c>
      <c r="E23" s="2" t="s">
        <v>202</v>
      </c>
      <c r="F23" s="152"/>
      <c r="G23" s="10">
        <v>369.102</v>
      </c>
      <c r="H23" s="13"/>
    </row>
    <row r="24" spans="1:8" ht="12.75">
      <c r="A24" s="51"/>
      <c r="B24" s="51"/>
      <c r="C24" s="51"/>
      <c r="D24" s="152"/>
      <c r="E24" s="51"/>
      <c r="F24" s="28" t="s">
        <v>271</v>
      </c>
      <c r="G24" s="10">
        <v>428.4</v>
      </c>
      <c r="H24" s="51"/>
    </row>
    <row r="25" spans="1:8" ht="12.75">
      <c r="A25" s="2"/>
      <c r="B25" s="2"/>
      <c r="C25" s="2"/>
      <c r="D25" s="28"/>
      <c r="E25" s="2"/>
      <c r="F25" s="28" t="s">
        <v>272</v>
      </c>
      <c r="G25" s="10">
        <v>38.06</v>
      </c>
      <c r="H25" s="51"/>
    </row>
    <row r="26" spans="1:8" ht="12.75">
      <c r="A26" s="2"/>
      <c r="B26" s="2"/>
      <c r="C26" s="2"/>
      <c r="D26" s="28"/>
      <c r="E26" s="2"/>
      <c r="F26" s="28" t="s">
        <v>273</v>
      </c>
      <c r="G26" s="10">
        <v>-11.84</v>
      </c>
      <c r="H26" s="51"/>
    </row>
    <row r="27" spans="1:8" ht="25.5">
      <c r="A27" s="2"/>
      <c r="B27" s="2"/>
      <c r="C27" s="2"/>
      <c r="D27" s="28"/>
      <c r="E27" s="2"/>
      <c r="F27" s="28" t="s">
        <v>274</v>
      </c>
      <c r="G27" s="10">
        <v>-26.6</v>
      </c>
      <c r="H27" s="51"/>
    </row>
    <row r="28" spans="1:8" ht="25.5">
      <c r="A28" s="2"/>
      <c r="B28" s="2"/>
      <c r="C28" s="2"/>
      <c r="D28" s="28"/>
      <c r="E28" s="2"/>
      <c r="F28" s="28" t="s">
        <v>275</v>
      </c>
      <c r="G28" s="10">
        <v>-52.668</v>
      </c>
      <c r="H28" s="51"/>
    </row>
    <row r="29" spans="1:8" ht="25.5">
      <c r="A29" s="2"/>
      <c r="B29" s="2"/>
      <c r="C29" s="2"/>
      <c r="D29" s="28"/>
      <c r="E29" s="2"/>
      <c r="F29" s="28" t="s">
        <v>276</v>
      </c>
      <c r="G29" s="10">
        <v>-6.25</v>
      </c>
      <c r="H29" s="51"/>
    </row>
    <row r="30" spans="1:8" ht="25.5">
      <c r="A30" s="2" t="s">
        <v>10</v>
      </c>
      <c r="B30" s="2"/>
      <c r="C30" s="2"/>
      <c r="D30" s="28" t="s">
        <v>112</v>
      </c>
      <c r="E30" s="2" t="s">
        <v>202</v>
      </c>
      <c r="F30" s="152"/>
      <c r="G30" s="10">
        <v>43.131</v>
      </c>
      <c r="H30" s="13"/>
    </row>
    <row r="31" spans="1:8" ht="25.5">
      <c r="A31" s="51"/>
      <c r="B31" s="51"/>
      <c r="C31" s="51"/>
      <c r="D31" s="152"/>
      <c r="E31" s="51"/>
      <c r="F31" s="28" t="s">
        <v>277</v>
      </c>
      <c r="G31" s="10">
        <v>36.081</v>
      </c>
      <c r="H31" s="51"/>
    </row>
    <row r="32" spans="1:8" ht="25.5">
      <c r="A32" s="2"/>
      <c r="B32" s="2"/>
      <c r="C32" s="2"/>
      <c r="D32" s="28"/>
      <c r="E32" s="2"/>
      <c r="F32" s="28" t="s">
        <v>278</v>
      </c>
      <c r="G32" s="10">
        <v>3.75</v>
      </c>
      <c r="H32" s="51"/>
    </row>
    <row r="33" spans="1:8" ht="12.75">
      <c r="A33" s="2"/>
      <c r="B33" s="2"/>
      <c r="C33" s="2"/>
      <c r="D33" s="28"/>
      <c r="E33" s="2"/>
      <c r="F33" s="28" t="s">
        <v>279</v>
      </c>
      <c r="G33" s="10">
        <v>3.3</v>
      </c>
      <c r="H33" s="51"/>
    </row>
    <row r="34" spans="1:8" ht="12.75">
      <c r="A34" s="2" t="s">
        <v>11</v>
      </c>
      <c r="B34" s="2"/>
      <c r="C34" s="2"/>
      <c r="D34" s="28" t="s">
        <v>113</v>
      </c>
      <c r="E34" s="2" t="s">
        <v>202</v>
      </c>
      <c r="F34" s="28" t="s">
        <v>266</v>
      </c>
      <c r="G34" s="10">
        <v>568.9</v>
      </c>
      <c r="H34" s="13"/>
    </row>
    <row r="35" spans="1:8" ht="25.5">
      <c r="A35" s="2" t="s">
        <v>12</v>
      </c>
      <c r="B35" s="2"/>
      <c r="C35" s="2"/>
      <c r="D35" s="28" t="s">
        <v>115</v>
      </c>
      <c r="E35" s="2" t="s">
        <v>202</v>
      </c>
      <c r="F35" s="152"/>
      <c r="G35" s="10">
        <v>58.935</v>
      </c>
      <c r="H35" s="13"/>
    </row>
    <row r="36" spans="1:8" ht="12.75">
      <c r="A36" s="51"/>
      <c r="B36" s="51"/>
      <c r="C36" s="51"/>
      <c r="D36" s="152"/>
      <c r="E36" s="51"/>
      <c r="F36" s="28" t="s">
        <v>280</v>
      </c>
      <c r="G36" s="10">
        <v>9.775</v>
      </c>
      <c r="H36" s="51"/>
    </row>
    <row r="37" spans="1:8" ht="12.75">
      <c r="A37" s="2"/>
      <c r="B37" s="2"/>
      <c r="C37" s="2"/>
      <c r="D37" s="28"/>
      <c r="E37" s="2"/>
      <c r="F37" s="28" t="s">
        <v>281</v>
      </c>
      <c r="G37" s="10">
        <v>6.75</v>
      </c>
      <c r="H37" s="51"/>
    </row>
    <row r="38" spans="1:8" ht="12.75">
      <c r="A38" s="2"/>
      <c r="B38" s="2"/>
      <c r="C38" s="2"/>
      <c r="D38" s="28"/>
      <c r="E38" s="2"/>
      <c r="F38" s="28" t="s">
        <v>282</v>
      </c>
      <c r="G38" s="10">
        <v>25.3</v>
      </c>
      <c r="H38" s="51"/>
    </row>
    <row r="39" spans="1:8" ht="12.75">
      <c r="A39" s="2"/>
      <c r="B39" s="2"/>
      <c r="C39" s="2"/>
      <c r="D39" s="28"/>
      <c r="E39" s="2"/>
      <c r="F39" s="28" t="s">
        <v>283</v>
      </c>
      <c r="G39" s="10">
        <v>3.75</v>
      </c>
      <c r="H39" s="51"/>
    </row>
    <row r="40" spans="1:8" ht="12.75">
      <c r="A40" s="2"/>
      <c r="B40" s="2"/>
      <c r="C40" s="2"/>
      <c r="D40" s="28"/>
      <c r="E40" s="2"/>
      <c r="F40" s="28" t="s">
        <v>284</v>
      </c>
      <c r="G40" s="10">
        <v>7.9</v>
      </c>
      <c r="H40" s="51"/>
    </row>
    <row r="41" spans="1:8" ht="12.75">
      <c r="A41" s="2"/>
      <c r="B41" s="2"/>
      <c r="C41" s="2"/>
      <c r="D41" s="28"/>
      <c r="E41" s="2"/>
      <c r="F41" s="28" t="s">
        <v>285</v>
      </c>
      <c r="G41" s="10">
        <v>1.56</v>
      </c>
      <c r="H41" s="51"/>
    </row>
    <row r="42" spans="1:8" ht="12.75">
      <c r="A42" s="2"/>
      <c r="B42" s="2"/>
      <c r="C42" s="2"/>
      <c r="D42" s="28"/>
      <c r="E42" s="2"/>
      <c r="F42" s="28" t="s">
        <v>286</v>
      </c>
      <c r="G42" s="10">
        <v>3.9</v>
      </c>
      <c r="H42" s="51"/>
    </row>
    <row r="43" spans="1:8" ht="25.5">
      <c r="A43" s="2" t="s">
        <v>13</v>
      </c>
      <c r="B43" s="2"/>
      <c r="C43" s="2"/>
      <c r="D43" s="28" t="s">
        <v>116</v>
      </c>
      <c r="E43" s="2" t="s">
        <v>202</v>
      </c>
      <c r="F43" s="28" t="s">
        <v>287</v>
      </c>
      <c r="G43" s="10">
        <v>3.2</v>
      </c>
      <c r="H43" s="13"/>
    </row>
    <row r="44" spans="1:8" ht="38.25">
      <c r="A44" s="2" t="s">
        <v>14</v>
      </c>
      <c r="B44" s="2"/>
      <c r="C44" s="2"/>
      <c r="D44" s="30" t="s">
        <v>424</v>
      </c>
      <c r="E44" s="2" t="s">
        <v>203</v>
      </c>
      <c r="F44" s="28" t="s">
        <v>29</v>
      </c>
      <c r="G44" s="10">
        <v>24</v>
      </c>
      <c r="H44" s="13"/>
    </row>
    <row r="45" spans="1:8" ht="38.25">
      <c r="A45" s="2" t="s">
        <v>15</v>
      </c>
      <c r="B45" s="2"/>
      <c r="C45" s="2"/>
      <c r="D45" s="30" t="s">
        <v>425</v>
      </c>
      <c r="E45" s="2" t="s">
        <v>203</v>
      </c>
      <c r="F45" s="28" t="s">
        <v>9</v>
      </c>
      <c r="G45" s="10">
        <v>4</v>
      </c>
      <c r="H45" s="13"/>
    </row>
    <row r="46" spans="1:8" ht="38.25">
      <c r="A46" s="2" t="s">
        <v>16</v>
      </c>
      <c r="B46" s="2"/>
      <c r="C46" s="2"/>
      <c r="D46" s="30" t="s">
        <v>426</v>
      </c>
      <c r="E46" s="2" t="s">
        <v>203</v>
      </c>
      <c r="F46" s="28" t="s">
        <v>12</v>
      </c>
      <c r="G46" s="10">
        <v>7</v>
      </c>
      <c r="H46" s="13"/>
    </row>
    <row r="47" spans="1:8" ht="38.25">
      <c r="A47" s="2" t="s">
        <v>17</v>
      </c>
      <c r="B47" s="2"/>
      <c r="C47" s="2"/>
      <c r="D47" s="30" t="s">
        <v>427</v>
      </c>
      <c r="E47" s="2" t="s">
        <v>203</v>
      </c>
      <c r="F47" s="28" t="s">
        <v>9</v>
      </c>
      <c r="G47" s="10">
        <v>4</v>
      </c>
      <c r="H47" s="13"/>
    </row>
    <row r="48" spans="1:8" ht="25.5">
      <c r="A48" s="2" t="s">
        <v>18</v>
      </c>
      <c r="B48" s="2"/>
      <c r="C48" s="2"/>
      <c r="D48" s="32" t="s">
        <v>428</v>
      </c>
      <c r="E48" s="2" t="s">
        <v>203</v>
      </c>
      <c r="F48" s="28" t="s">
        <v>6</v>
      </c>
      <c r="G48" s="10">
        <v>1</v>
      </c>
      <c r="H48" s="13"/>
    </row>
    <row r="49" spans="1:8" ht="12.75">
      <c r="A49" s="2" t="s">
        <v>19</v>
      </c>
      <c r="B49" s="2"/>
      <c r="C49" s="2"/>
      <c r="D49" s="28" t="s">
        <v>119</v>
      </c>
      <c r="E49" s="2" t="s">
        <v>204</v>
      </c>
      <c r="F49" s="152"/>
      <c r="G49" s="10">
        <v>47.1</v>
      </c>
      <c r="H49" s="13"/>
    </row>
    <row r="50" spans="1:8" ht="12.75">
      <c r="A50" s="51"/>
      <c r="B50" s="51"/>
      <c r="C50" s="51"/>
      <c r="D50" s="152"/>
      <c r="E50" s="51"/>
      <c r="F50" s="28" t="s">
        <v>288</v>
      </c>
      <c r="G50" s="10">
        <v>21.6</v>
      </c>
      <c r="H50" s="51"/>
    </row>
    <row r="51" spans="1:8" ht="25.5">
      <c r="A51" s="2"/>
      <c r="B51" s="2"/>
      <c r="C51" s="2"/>
      <c r="D51" s="28"/>
      <c r="E51" s="2"/>
      <c r="F51" s="28" t="s">
        <v>289</v>
      </c>
      <c r="G51" s="10">
        <v>25.5</v>
      </c>
      <c r="H51" s="51"/>
    </row>
    <row r="52" spans="1:8" ht="12.75">
      <c r="A52" s="2" t="s">
        <v>20</v>
      </c>
      <c r="B52" s="2"/>
      <c r="C52" s="2"/>
      <c r="D52" s="28" t="s">
        <v>120</v>
      </c>
      <c r="E52" s="2" t="s">
        <v>204</v>
      </c>
      <c r="F52" s="152"/>
      <c r="G52" s="10">
        <v>31.2</v>
      </c>
      <c r="H52" s="13"/>
    </row>
    <row r="53" spans="1:8" ht="12.75">
      <c r="A53" s="51"/>
      <c r="B53" s="51"/>
      <c r="C53" s="51"/>
      <c r="D53" s="152"/>
      <c r="E53" s="51"/>
      <c r="F53" s="28" t="s">
        <v>290</v>
      </c>
      <c r="G53" s="10">
        <v>26</v>
      </c>
      <c r="H53" s="51"/>
    </row>
    <row r="54" spans="1:8" ht="12.75">
      <c r="A54" s="2"/>
      <c r="B54" s="2"/>
      <c r="C54" s="2"/>
      <c r="D54" s="28"/>
      <c r="E54" s="2"/>
      <c r="F54" s="28" t="s">
        <v>291</v>
      </c>
      <c r="G54" s="10">
        <v>5.2</v>
      </c>
      <c r="H54" s="51"/>
    </row>
    <row r="55" spans="1:8" ht="12.75">
      <c r="A55" s="2" t="s">
        <v>21</v>
      </c>
      <c r="B55" s="2"/>
      <c r="C55" s="2"/>
      <c r="D55" s="28" t="s">
        <v>121</v>
      </c>
      <c r="E55" s="2" t="s">
        <v>204</v>
      </c>
      <c r="F55" s="28" t="s">
        <v>292</v>
      </c>
      <c r="G55" s="10">
        <v>78.3</v>
      </c>
      <c r="H55" s="13"/>
    </row>
    <row r="56" spans="1:8" ht="25.5">
      <c r="A56" s="2" t="s">
        <v>22</v>
      </c>
      <c r="B56" s="2"/>
      <c r="C56" s="2"/>
      <c r="D56" s="28" t="s">
        <v>122</v>
      </c>
      <c r="E56" s="2" t="s">
        <v>204</v>
      </c>
      <c r="F56" s="28" t="s">
        <v>293</v>
      </c>
      <c r="G56" s="10">
        <v>42.3</v>
      </c>
      <c r="H56" s="13"/>
    </row>
    <row r="57" spans="1:8" ht="25.5">
      <c r="A57" s="2" t="s">
        <v>23</v>
      </c>
      <c r="B57" s="2"/>
      <c r="C57" s="2"/>
      <c r="D57" s="28" t="s">
        <v>123</v>
      </c>
      <c r="E57" s="2" t="s">
        <v>204</v>
      </c>
      <c r="F57" s="28" t="s">
        <v>294</v>
      </c>
      <c r="G57" s="10">
        <v>74.5</v>
      </c>
      <c r="H57" s="13"/>
    </row>
    <row r="58" spans="1:8" ht="12.75">
      <c r="A58" s="2" t="s">
        <v>24</v>
      </c>
      <c r="B58" s="2"/>
      <c r="C58" s="2"/>
      <c r="D58" s="28" t="s">
        <v>124</v>
      </c>
      <c r="E58" s="2" t="s">
        <v>204</v>
      </c>
      <c r="F58" s="28" t="s">
        <v>295</v>
      </c>
      <c r="G58" s="10">
        <v>116.8</v>
      </c>
      <c r="H58" s="13"/>
    </row>
    <row r="59" spans="1:8" ht="25.5">
      <c r="A59" s="2" t="s">
        <v>25</v>
      </c>
      <c r="B59" s="2"/>
      <c r="C59" s="2"/>
      <c r="D59" s="28" t="s">
        <v>125</v>
      </c>
      <c r="E59" s="2" t="s">
        <v>204</v>
      </c>
      <c r="F59" s="28" t="s">
        <v>296</v>
      </c>
      <c r="G59" s="10">
        <v>56.6</v>
      </c>
      <c r="H59" s="13"/>
    </row>
    <row r="60" spans="1:8" ht="25.5">
      <c r="A60" s="2" t="s">
        <v>26</v>
      </c>
      <c r="B60" s="2"/>
      <c r="C60" s="2"/>
      <c r="D60" s="28" t="s">
        <v>126</v>
      </c>
      <c r="E60" s="2" t="s">
        <v>204</v>
      </c>
      <c r="F60" s="28" t="s">
        <v>297</v>
      </c>
      <c r="G60" s="10">
        <v>7.5</v>
      </c>
      <c r="H60" s="13"/>
    </row>
    <row r="61" spans="1:8" ht="12.75">
      <c r="A61" s="2" t="s">
        <v>27</v>
      </c>
      <c r="B61" s="2"/>
      <c r="C61" s="2"/>
      <c r="D61" s="28" t="s">
        <v>127</v>
      </c>
      <c r="E61" s="2" t="s">
        <v>204</v>
      </c>
      <c r="F61" s="28" t="s">
        <v>298</v>
      </c>
      <c r="G61" s="10">
        <v>7.5</v>
      </c>
      <c r="H61" s="13"/>
    </row>
    <row r="62" spans="1:8" ht="12.75">
      <c r="A62" s="2" t="s">
        <v>28</v>
      </c>
      <c r="B62" s="2"/>
      <c r="C62" s="2"/>
      <c r="D62" s="28" t="s">
        <v>128</v>
      </c>
      <c r="E62" s="2" t="s">
        <v>205</v>
      </c>
      <c r="F62" s="28" t="s">
        <v>299</v>
      </c>
      <c r="G62" s="10">
        <v>1.552</v>
      </c>
      <c r="H62" s="13"/>
    </row>
    <row r="63" spans="1:8" ht="25.5">
      <c r="A63" s="2" t="s">
        <v>29</v>
      </c>
      <c r="B63" s="2"/>
      <c r="C63" s="2"/>
      <c r="D63" s="28" t="s">
        <v>130</v>
      </c>
      <c r="E63" s="2" t="s">
        <v>204</v>
      </c>
      <c r="F63" s="152"/>
      <c r="G63" s="10">
        <v>51.7</v>
      </c>
      <c r="H63" s="13"/>
    </row>
    <row r="64" spans="1:8" ht="12.75">
      <c r="A64" s="51"/>
      <c r="B64" s="51"/>
      <c r="C64" s="51"/>
      <c r="D64" s="152"/>
      <c r="E64" s="51"/>
      <c r="F64" s="28" t="s">
        <v>300</v>
      </c>
      <c r="G64" s="10">
        <v>46.5</v>
      </c>
      <c r="H64" s="51"/>
    </row>
    <row r="65" spans="1:8" ht="12.75">
      <c r="A65" s="2"/>
      <c r="B65" s="2"/>
      <c r="C65" s="2"/>
      <c r="D65" s="28"/>
      <c r="E65" s="2"/>
      <c r="F65" s="28" t="s">
        <v>301</v>
      </c>
      <c r="G65" s="10">
        <v>5.2</v>
      </c>
      <c r="H65" s="51"/>
    </row>
    <row r="66" spans="1:8" ht="12.75">
      <c r="A66" s="2" t="s">
        <v>30</v>
      </c>
      <c r="B66" s="2"/>
      <c r="C66" s="2"/>
      <c r="D66" s="28" t="s">
        <v>131</v>
      </c>
      <c r="E66" s="2" t="s">
        <v>205</v>
      </c>
      <c r="F66" s="28" t="s">
        <v>302</v>
      </c>
      <c r="G66" s="10">
        <v>0.5682</v>
      </c>
      <c r="H66" s="13"/>
    </row>
    <row r="67" spans="1:8" ht="12.75">
      <c r="A67" s="2" t="s">
        <v>31</v>
      </c>
      <c r="B67" s="2"/>
      <c r="C67" s="2"/>
      <c r="D67" s="28" t="s">
        <v>133</v>
      </c>
      <c r="E67" s="2" t="s">
        <v>203</v>
      </c>
      <c r="F67" s="28" t="s">
        <v>8</v>
      </c>
      <c r="G67" s="10">
        <v>3</v>
      </c>
      <c r="H67" s="13"/>
    </row>
    <row r="68" spans="1:8" ht="12.75">
      <c r="A68" s="2" t="s">
        <v>32</v>
      </c>
      <c r="B68" s="2"/>
      <c r="C68" s="2"/>
      <c r="D68" s="28" t="s">
        <v>134</v>
      </c>
      <c r="E68" s="2" t="s">
        <v>203</v>
      </c>
      <c r="F68" s="28" t="s">
        <v>6</v>
      </c>
      <c r="G68" s="10">
        <v>1</v>
      </c>
      <c r="H68" s="13"/>
    </row>
    <row r="69" spans="1:8" ht="25.5">
      <c r="A69" s="2" t="s">
        <v>33</v>
      </c>
      <c r="B69" s="2"/>
      <c r="C69" s="2"/>
      <c r="D69" s="28" t="s">
        <v>433</v>
      </c>
      <c r="E69" s="2" t="s">
        <v>203</v>
      </c>
      <c r="F69" s="28" t="s">
        <v>6</v>
      </c>
      <c r="G69" s="10">
        <v>1</v>
      </c>
      <c r="H69" s="13"/>
    </row>
    <row r="70" spans="1:8" ht="25.5">
      <c r="A70" s="2" t="s">
        <v>34</v>
      </c>
      <c r="B70" s="2"/>
      <c r="C70" s="2"/>
      <c r="D70" s="28" t="s">
        <v>135</v>
      </c>
      <c r="E70" s="2" t="s">
        <v>206</v>
      </c>
      <c r="F70" s="28" t="s">
        <v>303</v>
      </c>
      <c r="G70" s="10">
        <v>120</v>
      </c>
      <c r="H70" s="13"/>
    </row>
    <row r="71" spans="1:8" ht="12.75">
      <c r="A71" s="2" t="s">
        <v>35</v>
      </c>
      <c r="B71" s="2"/>
      <c r="C71" s="2"/>
      <c r="D71" s="28" t="s">
        <v>136</v>
      </c>
      <c r="E71" s="2" t="s">
        <v>206</v>
      </c>
      <c r="F71" s="28" t="s">
        <v>55</v>
      </c>
      <c r="G71" s="10">
        <v>50</v>
      </c>
      <c r="H71" s="13"/>
    </row>
    <row r="72" spans="1:8" ht="12.75">
      <c r="A72" s="2" t="s">
        <v>36</v>
      </c>
      <c r="B72" s="2"/>
      <c r="C72" s="2"/>
      <c r="D72" s="28" t="s">
        <v>137</v>
      </c>
      <c r="E72" s="2" t="s">
        <v>206</v>
      </c>
      <c r="F72" s="28" t="s">
        <v>304</v>
      </c>
      <c r="G72" s="10">
        <v>75</v>
      </c>
      <c r="H72" s="13"/>
    </row>
    <row r="73" spans="1:8" ht="12.75">
      <c r="A73" s="2" t="s">
        <v>37</v>
      </c>
      <c r="B73" s="2"/>
      <c r="C73" s="2"/>
      <c r="D73" s="28" t="s">
        <v>138</v>
      </c>
      <c r="E73" s="2" t="s">
        <v>205</v>
      </c>
      <c r="F73" s="28" t="s">
        <v>305</v>
      </c>
      <c r="G73" s="10">
        <v>0.2538</v>
      </c>
      <c r="H73" s="13"/>
    </row>
    <row r="74" spans="1:8" ht="12.75">
      <c r="A74" s="4" t="s">
        <v>38</v>
      </c>
      <c r="B74" s="4"/>
      <c r="C74" s="4"/>
      <c r="D74" s="29" t="s">
        <v>140</v>
      </c>
      <c r="E74" s="4" t="s">
        <v>202</v>
      </c>
      <c r="F74" s="29" t="s">
        <v>306</v>
      </c>
      <c r="G74" s="11">
        <v>22.308</v>
      </c>
      <c r="H74" s="13"/>
    </row>
    <row r="75" spans="1:8" ht="12.75">
      <c r="A75" s="2" t="s">
        <v>39</v>
      </c>
      <c r="B75" s="2"/>
      <c r="C75" s="2"/>
      <c r="D75" s="28" t="s">
        <v>141</v>
      </c>
      <c r="E75" s="2" t="s">
        <v>202</v>
      </c>
      <c r="F75" s="28" t="s">
        <v>307</v>
      </c>
      <c r="G75" s="10">
        <v>18.59</v>
      </c>
      <c r="H75" s="13"/>
    </row>
    <row r="76" spans="1:8" ht="25.5">
      <c r="A76" s="2" t="s">
        <v>40</v>
      </c>
      <c r="B76" s="2"/>
      <c r="C76" s="2"/>
      <c r="D76" s="28" t="s">
        <v>142</v>
      </c>
      <c r="E76" s="2" t="s">
        <v>202</v>
      </c>
      <c r="F76" s="28" t="s">
        <v>308</v>
      </c>
      <c r="G76" s="10">
        <v>18.59</v>
      </c>
      <c r="H76" s="13"/>
    </row>
    <row r="77" spans="1:8" ht="12.75">
      <c r="A77" s="2" t="s">
        <v>41</v>
      </c>
      <c r="B77" s="2"/>
      <c r="C77" s="2"/>
      <c r="D77" s="28" t="s">
        <v>143</v>
      </c>
      <c r="E77" s="2" t="s">
        <v>202</v>
      </c>
      <c r="F77" s="28" t="s">
        <v>307</v>
      </c>
      <c r="G77" s="10">
        <v>18.59</v>
      </c>
      <c r="H77" s="13"/>
    </row>
    <row r="78" spans="1:8" ht="12.75">
      <c r="A78" s="2" t="s">
        <v>42</v>
      </c>
      <c r="B78" s="2"/>
      <c r="C78" s="2"/>
      <c r="D78" s="28" t="s">
        <v>144</v>
      </c>
      <c r="E78" s="2" t="s">
        <v>205</v>
      </c>
      <c r="F78" s="28" t="s">
        <v>309</v>
      </c>
      <c r="G78" s="10">
        <v>0.417</v>
      </c>
      <c r="H78" s="13"/>
    </row>
    <row r="79" spans="1:8" ht="12.75">
      <c r="A79" s="2" t="s">
        <v>43</v>
      </c>
      <c r="B79" s="2"/>
      <c r="C79" s="2"/>
      <c r="D79" s="28" t="s">
        <v>146</v>
      </c>
      <c r="E79" s="2" t="s">
        <v>202</v>
      </c>
      <c r="F79" s="152"/>
      <c r="G79" s="10">
        <v>90.918</v>
      </c>
      <c r="H79" s="13"/>
    </row>
    <row r="80" spans="1:8" ht="12.75">
      <c r="A80" s="51"/>
      <c r="B80" s="51"/>
      <c r="C80" s="51"/>
      <c r="D80" s="152"/>
      <c r="E80" s="51"/>
      <c r="F80" s="28" t="s">
        <v>310</v>
      </c>
      <c r="G80" s="10">
        <v>15.543</v>
      </c>
      <c r="H80" s="51"/>
    </row>
    <row r="81" spans="1:8" ht="12.75">
      <c r="A81" s="2"/>
      <c r="B81" s="2"/>
      <c r="C81" s="2"/>
      <c r="D81" s="28"/>
      <c r="E81" s="2"/>
      <c r="F81" s="28" t="s">
        <v>311</v>
      </c>
      <c r="G81" s="10">
        <v>15.6</v>
      </c>
      <c r="H81" s="51"/>
    </row>
    <row r="82" spans="1:8" ht="12.75">
      <c r="A82" s="2"/>
      <c r="B82" s="2"/>
      <c r="C82" s="2"/>
      <c r="D82" s="28"/>
      <c r="E82" s="2"/>
      <c r="F82" s="28" t="s">
        <v>312</v>
      </c>
      <c r="G82" s="10">
        <v>10.575</v>
      </c>
      <c r="H82" s="51"/>
    </row>
    <row r="83" spans="1:8" ht="12.75">
      <c r="A83" s="2"/>
      <c r="B83" s="2"/>
      <c r="C83" s="2"/>
      <c r="D83" s="28"/>
      <c r="E83" s="2"/>
      <c r="F83" s="28" t="s">
        <v>313</v>
      </c>
      <c r="G83" s="10">
        <v>44.7</v>
      </c>
      <c r="H83" s="51"/>
    </row>
    <row r="84" spans="1:8" ht="12.75">
      <c r="A84" s="2"/>
      <c r="B84" s="2"/>
      <c r="C84" s="2"/>
      <c r="D84" s="28"/>
      <c r="E84" s="2"/>
      <c r="F84" s="28" t="s">
        <v>314</v>
      </c>
      <c r="G84" s="10">
        <v>4.5</v>
      </c>
      <c r="H84" s="51"/>
    </row>
    <row r="85" spans="1:8" ht="25.5">
      <c r="A85" s="2" t="s">
        <v>44</v>
      </c>
      <c r="B85" s="2"/>
      <c r="C85" s="2"/>
      <c r="D85" s="28" t="s">
        <v>148</v>
      </c>
      <c r="E85" s="2" t="s">
        <v>202</v>
      </c>
      <c r="F85" s="28" t="s">
        <v>315</v>
      </c>
      <c r="G85" s="10">
        <v>223.7865</v>
      </c>
      <c r="H85" s="13"/>
    </row>
    <row r="86" spans="1:8" ht="25.5">
      <c r="A86" s="2" t="s">
        <v>45</v>
      </c>
      <c r="B86" s="2"/>
      <c r="C86" s="2"/>
      <c r="D86" s="28" t="s">
        <v>149</v>
      </c>
      <c r="E86" s="2" t="s">
        <v>202</v>
      </c>
      <c r="F86" s="28" t="s">
        <v>315</v>
      </c>
      <c r="G86" s="10">
        <v>223.7865</v>
      </c>
      <c r="H86" s="13"/>
    </row>
    <row r="87" spans="1:8" ht="12.75">
      <c r="A87" s="2" t="s">
        <v>46</v>
      </c>
      <c r="B87" s="2"/>
      <c r="C87" s="2"/>
      <c r="D87" s="28" t="s">
        <v>432</v>
      </c>
      <c r="E87" s="2" t="s">
        <v>207</v>
      </c>
      <c r="F87" s="28" t="s">
        <v>6</v>
      </c>
      <c r="G87" s="10">
        <v>1</v>
      </c>
      <c r="H87" s="13"/>
    </row>
    <row r="88" spans="1:8" ht="25.5">
      <c r="A88" s="2" t="s">
        <v>47</v>
      </c>
      <c r="B88" s="2"/>
      <c r="C88" s="2"/>
      <c r="D88" s="32" t="s">
        <v>422</v>
      </c>
      <c r="E88" s="2" t="s">
        <v>207</v>
      </c>
      <c r="F88" s="28" t="s">
        <v>6</v>
      </c>
      <c r="G88" s="10">
        <v>1</v>
      </c>
      <c r="H88" s="13"/>
    </row>
    <row r="89" spans="1:8" ht="25.5">
      <c r="A89" s="2" t="s">
        <v>48</v>
      </c>
      <c r="B89" s="2"/>
      <c r="C89" s="2"/>
      <c r="D89" s="32" t="s">
        <v>423</v>
      </c>
      <c r="E89" s="2" t="s">
        <v>207</v>
      </c>
      <c r="F89" s="28" t="s">
        <v>6</v>
      </c>
      <c r="G89" s="10">
        <v>1</v>
      </c>
      <c r="H89" s="13"/>
    </row>
    <row r="90" spans="1:8" ht="25.5">
      <c r="A90" s="2" t="s">
        <v>49</v>
      </c>
      <c r="B90" s="2"/>
      <c r="C90" s="2"/>
      <c r="D90" s="28" t="s">
        <v>151</v>
      </c>
      <c r="E90" s="2" t="s">
        <v>207</v>
      </c>
      <c r="F90" s="28" t="s">
        <v>6</v>
      </c>
      <c r="G90" s="10">
        <v>1</v>
      </c>
      <c r="H90" s="13"/>
    </row>
    <row r="91" spans="1:8" ht="12.75">
      <c r="A91" s="2" t="s">
        <v>50</v>
      </c>
      <c r="B91" s="2"/>
      <c r="C91" s="2"/>
      <c r="D91" s="28" t="s">
        <v>152</v>
      </c>
      <c r="E91" s="2" t="s">
        <v>207</v>
      </c>
      <c r="F91" s="28" t="s">
        <v>6</v>
      </c>
      <c r="G91" s="10">
        <v>1</v>
      </c>
      <c r="H91" s="13"/>
    </row>
    <row r="92" spans="1:8" ht="25.5">
      <c r="A92" s="2" t="s">
        <v>51</v>
      </c>
      <c r="B92" s="2"/>
      <c r="C92" s="2"/>
      <c r="D92" s="28" t="s">
        <v>153</v>
      </c>
      <c r="E92" s="2" t="s">
        <v>207</v>
      </c>
      <c r="F92" s="28" t="s">
        <v>6</v>
      </c>
      <c r="G92" s="10">
        <v>1</v>
      </c>
      <c r="H92" s="13"/>
    </row>
    <row r="93" spans="1:8" ht="25.5">
      <c r="A93" s="2" t="s">
        <v>52</v>
      </c>
      <c r="B93" s="2"/>
      <c r="C93" s="2"/>
      <c r="D93" s="28" t="s">
        <v>154</v>
      </c>
      <c r="E93" s="2" t="s">
        <v>207</v>
      </c>
      <c r="F93" s="28" t="s">
        <v>6</v>
      </c>
      <c r="G93" s="10">
        <v>1</v>
      </c>
      <c r="H93" s="13"/>
    </row>
    <row r="94" spans="1:8" ht="12.75">
      <c r="A94" s="2" t="s">
        <v>53</v>
      </c>
      <c r="B94" s="2"/>
      <c r="C94" s="2"/>
      <c r="D94" s="28" t="s">
        <v>155</v>
      </c>
      <c r="E94" s="2" t="s">
        <v>207</v>
      </c>
      <c r="F94" s="28" t="s">
        <v>6</v>
      </c>
      <c r="G94" s="10">
        <v>1</v>
      </c>
      <c r="H94" s="13"/>
    </row>
    <row r="95" spans="1:8" ht="12.75">
      <c r="A95" s="2" t="s">
        <v>54</v>
      </c>
      <c r="B95" s="2"/>
      <c r="C95" s="2"/>
      <c r="D95" s="28" t="s">
        <v>156</v>
      </c>
      <c r="E95" s="2" t="s">
        <v>202</v>
      </c>
      <c r="F95" s="28" t="s">
        <v>316</v>
      </c>
      <c r="G95" s="10">
        <v>5343.75</v>
      </c>
      <c r="H95" s="13"/>
    </row>
    <row r="96" spans="1:8" ht="25.5">
      <c r="A96" s="2" t="s">
        <v>55</v>
      </c>
      <c r="B96" s="2"/>
      <c r="C96" s="2"/>
      <c r="D96" s="28" t="s">
        <v>157</v>
      </c>
      <c r="E96" s="2" t="s">
        <v>202</v>
      </c>
      <c r="F96" s="28" t="s">
        <v>317</v>
      </c>
      <c r="G96" s="10">
        <v>3750</v>
      </c>
      <c r="H96" s="13"/>
    </row>
    <row r="97" spans="1:8" ht="12.75">
      <c r="A97" s="2" t="s">
        <v>56</v>
      </c>
      <c r="B97" s="2"/>
      <c r="C97" s="2"/>
      <c r="D97" s="28" t="s">
        <v>158</v>
      </c>
      <c r="E97" s="2" t="s">
        <v>207</v>
      </c>
      <c r="F97" s="28" t="s">
        <v>6</v>
      </c>
      <c r="G97" s="10">
        <v>1</v>
      </c>
      <c r="H97" s="13"/>
    </row>
    <row r="98" spans="1:8" ht="12.75">
      <c r="A98" s="2" t="s">
        <v>57</v>
      </c>
      <c r="B98" s="2"/>
      <c r="C98" s="2"/>
      <c r="D98" s="28" t="s">
        <v>160</v>
      </c>
      <c r="E98" s="2" t="s">
        <v>202</v>
      </c>
      <c r="F98" s="152"/>
      <c r="G98" s="10">
        <v>686.9</v>
      </c>
      <c r="H98" s="13"/>
    </row>
    <row r="99" spans="1:8" ht="12.75">
      <c r="A99" s="51"/>
      <c r="B99" s="51"/>
      <c r="C99" s="51"/>
      <c r="D99" s="152"/>
      <c r="E99" s="51"/>
      <c r="F99" s="28" t="s">
        <v>318</v>
      </c>
      <c r="G99" s="10">
        <v>448.5</v>
      </c>
      <c r="H99" s="51"/>
    </row>
    <row r="100" spans="1:8" ht="25.5">
      <c r="A100" s="2"/>
      <c r="B100" s="2"/>
      <c r="C100" s="2"/>
      <c r="D100" s="28"/>
      <c r="E100" s="2"/>
      <c r="F100" s="28" t="s">
        <v>319</v>
      </c>
      <c r="G100" s="10">
        <v>49.4</v>
      </c>
      <c r="H100" s="51"/>
    </row>
    <row r="101" spans="1:8" ht="12.75">
      <c r="A101" s="2"/>
      <c r="B101" s="2"/>
      <c r="C101" s="2"/>
      <c r="D101" s="28"/>
      <c r="E101" s="2"/>
      <c r="F101" s="28" t="s">
        <v>320</v>
      </c>
      <c r="G101" s="10">
        <v>189</v>
      </c>
      <c r="H101" s="51"/>
    </row>
    <row r="102" spans="1:8" ht="12.75">
      <c r="A102" s="2" t="s">
        <v>58</v>
      </c>
      <c r="B102" s="2"/>
      <c r="C102" s="2"/>
      <c r="D102" s="28" t="s">
        <v>161</v>
      </c>
      <c r="E102" s="2" t="s">
        <v>202</v>
      </c>
      <c r="F102" s="28" t="s">
        <v>321</v>
      </c>
      <c r="G102" s="10">
        <v>1717.25</v>
      </c>
      <c r="H102" s="13"/>
    </row>
    <row r="103" spans="1:8" ht="12.75">
      <c r="A103" s="2" t="s">
        <v>59</v>
      </c>
      <c r="B103" s="2"/>
      <c r="C103" s="2"/>
      <c r="D103" s="28" t="s">
        <v>162</v>
      </c>
      <c r="E103" s="2" t="s">
        <v>202</v>
      </c>
      <c r="F103" s="28" t="s">
        <v>322</v>
      </c>
      <c r="G103" s="10">
        <v>686.9</v>
      </c>
      <c r="H103" s="13"/>
    </row>
    <row r="104" spans="1:8" ht="25.5">
      <c r="A104" s="2" t="s">
        <v>60</v>
      </c>
      <c r="B104" s="2"/>
      <c r="C104" s="2"/>
      <c r="D104" s="28" t="s">
        <v>163</v>
      </c>
      <c r="E104" s="2" t="s">
        <v>202</v>
      </c>
      <c r="F104" s="152"/>
      <c r="G104" s="10">
        <v>120.84</v>
      </c>
      <c r="H104" s="13"/>
    </row>
    <row r="105" spans="1:8" ht="12.75">
      <c r="A105" s="51"/>
      <c r="B105" s="51"/>
      <c r="C105" s="51"/>
      <c r="D105" s="152"/>
      <c r="E105" s="51"/>
      <c r="F105" s="28" t="s">
        <v>323</v>
      </c>
      <c r="G105" s="10">
        <v>117</v>
      </c>
      <c r="H105" s="51"/>
    </row>
    <row r="106" spans="1:8" ht="12.75">
      <c r="A106" s="2"/>
      <c r="B106" s="2"/>
      <c r="C106" s="2"/>
      <c r="D106" s="28"/>
      <c r="E106" s="2"/>
      <c r="F106" s="28" t="s">
        <v>324</v>
      </c>
      <c r="G106" s="10">
        <v>3.84</v>
      </c>
      <c r="H106" s="51"/>
    </row>
    <row r="107" spans="1:8" ht="12.75">
      <c r="A107" s="2" t="s">
        <v>61</v>
      </c>
      <c r="B107" s="2"/>
      <c r="C107" s="2"/>
      <c r="D107" s="28" t="s">
        <v>164</v>
      </c>
      <c r="E107" s="2" t="s">
        <v>202</v>
      </c>
      <c r="F107" s="152"/>
      <c r="G107" s="10">
        <v>733.7</v>
      </c>
      <c r="H107" s="13"/>
    </row>
    <row r="108" spans="1:8" ht="12.75">
      <c r="A108" s="51"/>
      <c r="B108" s="51"/>
      <c r="C108" s="51"/>
      <c r="D108" s="152"/>
      <c r="E108" s="51"/>
      <c r="F108" s="28" t="s">
        <v>325</v>
      </c>
      <c r="G108" s="10">
        <v>686.9</v>
      </c>
      <c r="H108" s="51"/>
    </row>
    <row r="109" spans="1:8" ht="25.5">
      <c r="A109" s="2"/>
      <c r="B109" s="2"/>
      <c r="C109" s="2"/>
      <c r="D109" s="28"/>
      <c r="E109" s="2"/>
      <c r="F109" s="28" t="s">
        <v>326</v>
      </c>
      <c r="G109" s="10">
        <v>46.8</v>
      </c>
      <c r="H109" s="51"/>
    </row>
    <row r="110" spans="1:8" ht="12.75">
      <c r="A110" s="2" t="s">
        <v>62</v>
      </c>
      <c r="B110" s="2"/>
      <c r="C110" s="2"/>
      <c r="D110" s="28" t="s">
        <v>165</v>
      </c>
      <c r="E110" s="2" t="s">
        <v>202</v>
      </c>
      <c r="F110" s="28" t="s">
        <v>327</v>
      </c>
      <c r="G110" s="10">
        <v>1834.25</v>
      </c>
      <c r="H110" s="13"/>
    </row>
    <row r="111" spans="1:8" ht="12.75">
      <c r="A111" s="2" t="s">
        <v>63</v>
      </c>
      <c r="B111" s="2"/>
      <c r="C111" s="2"/>
      <c r="D111" s="28" t="s">
        <v>166</v>
      </c>
      <c r="E111" s="2" t="s">
        <v>202</v>
      </c>
      <c r="F111" s="28" t="s">
        <v>328</v>
      </c>
      <c r="G111" s="10">
        <v>733.7</v>
      </c>
      <c r="H111" s="13"/>
    </row>
    <row r="112" spans="1:8" ht="25.5">
      <c r="A112" s="2" t="s">
        <v>64</v>
      </c>
      <c r="B112" s="2"/>
      <c r="C112" s="2"/>
      <c r="D112" s="28" t="s">
        <v>167</v>
      </c>
      <c r="E112" s="2" t="s">
        <v>202</v>
      </c>
      <c r="F112" s="28" t="s">
        <v>329</v>
      </c>
      <c r="G112" s="10">
        <v>16.5</v>
      </c>
      <c r="H112" s="13"/>
    </row>
    <row r="113" spans="1:8" ht="12.75">
      <c r="A113" s="2" t="s">
        <v>65</v>
      </c>
      <c r="B113" s="2"/>
      <c r="C113" s="2"/>
      <c r="D113" s="28" t="s">
        <v>169</v>
      </c>
      <c r="E113" s="2" t="s">
        <v>202</v>
      </c>
      <c r="F113" s="152"/>
      <c r="G113" s="10">
        <v>509.32</v>
      </c>
      <c r="H113" s="13"/>
    </row>
    <row r="114" spans="1:8" ht="12.75">
      <c r="A114" s="51"/>
      <c r="B114" s="51"/>
      <c r="C114" s="51"/>
      <c r="D114" s="152"/>
      <c r="E114" s="51"/>
      <c r="F114" s="28" t="s">
        <v>330</v>
      </c>
      <c r="G114" s="10">
        <v>24.32</v>
      </c>
      <c r="H114" s="51"/>
    </row>
    <row r="115" spans="1:8" ht="25.5">
      <c r="A115" s="2"/>
      <c r="B115" s="2"/>
      <c r="C115" s="2"/>
      <c r="D115" s="28"/>
      <c r="E115" s="2"/>
      <c r="F115" s="28" t="s">
        <v>331</v>
      </c>
      <c r="G115" s="10">
        <v>472.5</v>
      </c>
      <c r="H115" s="51"/>
    </row>
    <row r="116" spans="1:8" ht="25.5">
      <c r="A116" s="2"/>
      <c r="B116" s="2"/>
      <c r="C116" s="2"/>
      <c r="D116" s="28"/>
      <c r="E116" s="2"/>
      <c r="F116" s="28" t="s">
        <v>332</v>
      </c>
      <c r="G116" s="10">
        <v>12.5</v>
      </c>
      <c r="H116" s="51"/>
    </row>
    <row r="117" spans="1:8" ht="12.75">
      <c r="A117" s="2" t="s">
        <v>66</v>
      </c>
      <c r="B117" s="2"/>
      <c r="C117" s="2"/>
      <c r="D117" s="28" t="s">
        <v>170</v>
      </c>
      <c r="E117" s="2" t="s">
        <v>202</v>
      </c>
      <c r="F117" s="152"/>
      <c r="G117" s="10">
        <v>260.91</v>
      </c>
      <c r="H117" s="13"/>
    </row>
    <row r="118" spans="1:8" ht="12.75">
      <c r="A118" s="51"/>
      <c r="B118" s="51"/>
      <c r="C118" s="51"/>
      <c r="D118" s="152"/>
      <c r="E118" s="51"/>
      <c r="F118" s="28" t="s">
        <v>333</v>
      </c>
      <c r="G118" s="10">
        <v>12.16</v>
      </c>
      <c r="H118" s="51"/>
    </row>
    <row r="119" spans="1:8" ht="25.5">
      <c r="A119" s="2"/>
      <c r="B119" s="2"/>
      <c r="C119" s="2"/>
      <c r="D119" s="28"/>
      <c r="E119" s="2"/>
      <c r="F119" s="28" t="s">
        <v>334</v>
      </c>
      <c r="G119" s="10">
        <v>236.25</v>
      </c>
      <c r="H119" s="51"/>
    </row>
    <row r="120" spans="1:8" ht="25.5">
      <c r="A120" s="2"/>
      <c r="B120" s="2"/>
      <c r="C120" s="2"/>
      <c r="D120" s="28"/>
      <c r="E120" s="2"/>
      <c r="F120" s="28" t="s">
        <v>332</v>
      </c>
      <c r="G120" s="10">
        <v>12.5</v>
      </c>
      <c r="H120" s="51"/>
    </row>
    <row r="121" spans="1:8" ht="25.5">
      <c r="A121" s="2" t="s">
        <v>67</v>
      </c>
      <c r="B121" s="2"/>
      <c r="C121" s="2"/>
      <c r="D121" s="28" t="s">
        <v>171</v>
      </c>
      <c r="E121" s="2" t="s">
        <v>202</v>
      </c>
      <c r="F121" s="152"/>
      <c r="G121" s="10">
        <v>702</v>
      </c>
      <c r="H121" s="13"/>
    </row>
    <row r="122" spans="1:8" ht="12.75">
      <c r="A122" s="51"/>
      <c r="B122" s="51"/>
      <c r="C122" s="51"/>
      <c r="D122" s="152"/>
      <c r="E122" s="51"/>
      <c r="F122" s="28" t="s">
        <v>335</v>
      </c>
      <c r="G122" s="10">
        <v>200</v>
      </c>
      <c r="H122" s="51"/>
    </row>
    <row r="123" spans="1:8" ht="12.75">
      <c r="A123" s="2"/>
      <c r="B123" s="2"/>
      <c r="C123" s="2"/>
      <c r="D123" s="28"/>
      <c r="E123" s="2"/>
      <c r="F123" s="28" t="s">
        <v>336</v>
      </c>
      <c r="G123" s="10">
        <v>215</v>
      </c>
      <c r="H123" s="51"/>
    </row>
    <row r="124" spans="1:8" ht="12.75">
      <c r="A124" s="2"/>
      <c r="B124" s="2"/>
      <c r="C124" s="2"/>
      <c r="D124" s="28"/>
      <c r="E124" s="2"/>
      <c r="F124" s="28" t="s">
        <v>337</v>
      </c>
      <c r="G124" s="10">
        <v>215</v>
      </c>
      <c r="H124" s="51"/>
    </row>
    <row r="125" spans="1:8" ht="12.75">
      <c r="A125" s="2"/>
      <c r="B125" s="2"/>
      <c r="C125" s="2"/>
      <c r="D125" s="28"/>
      <c r="E125" s="2"/>
      <c r="F125" s="28" t="s">
        <v>338</v>
      </c>
      <c r="G125" s="10">
        <v>72</v>
      </c>
      <c r="H125" s="51"/>
    </row>
    <row r="126" spans="1:8" ht="12.75">
      <c r="A126" s="2" t="s">
        <v>68</v>
      </c>
      <c r="B126" s="2"/>
      <c r="C126" s="2"/>
      <c r="D126" s="28" t="s">
        <v>173</v>
      </c>
      <c r="E126" s="2" t="s">
        <v>203</v>
      </c>
      <c r="F126" s="152"/>
      <c r="G126" s="10">
        <v>226</v>
      </c>
      <c r="H126" s="13"/>
    </row>
    <row r="127" spans="1:8" ht="12.75">
      <c r="A127" s="51"/>
      <c r="B127" s="51"/>
      <c r="C127" s="51"/>
      <c r="D127" s="152"/>
      <c r="E127" s="51"/>
      <c r="F127" s="28" t="s">
        <v>339</v>
      </c>
      <c r="G127" s="10">
        <v>210</v>
      </c>
      <c r="H127" s="51"/>
    </row>
    <row r="128" spans="1:8" ht="12.75">
      <c r="A128" s="2"/>
      <c r="B128" s="2"/>
      <c r="C128" s="2"/>
      <c r="D128" s="28"/>
      <c r="E128" s="2"/>
      <c r="F128" s="28" t="s">
        <v>340</v>
      </c>
      <c r="G128" s="10">
        <v>16</v>
      </c>
      <c r="H128" s="51"/>
    </row>
    <row r="129" spans="1:8" ht="25.5">
      <c r="A129" s="2" t="s">
        <v>69</v>
      </c>
      <c r="B129" s="2"/>
      <c r="C129" s="2"/>
      <c r="D129" s="32" t="s">
        <v>429</v>
      </c>
      <c r="E129" s="2" t="s">
        <v>202</v>
      </c>
      <c r="F129" s="152"/>
      <c r="G129" s="10">
        <v>129.26</v>
      </c>
      <c r="H129" s="13"/>
    </row>
    <row r="130" spans="1:8" ht="12.75">
      <c r="A130" s="51"/>
      <c r="B130" s="51"/>
      <c r="C130" s="51"/>
      <c r="D130" s="152"/>
      <c r="E130" s="51"/>
      <c r="F130" s="28" t="s">
        <v>341</v>
      </c>
      <c r="G130" s="10">
        <v>122.5</v>
      </c>
      <c r="H130" s="51"/>
    </row>
    <row r="131" spans="1:8" ht="12.75">
      <c r="A131" s="2"/>
      <c r="B131" s="2"/>
      <c r="C131" s="2"/>
      <c r="D131" s="28"/>
      <c r="E131" s="2"/>
      <c r="F131" s="28" t="s">
        <v>342</v>
      </c>
      <c r="G131" s="10">
        <v>6.76</v>
      </c>
      <c r="H131" s="51"/>
    </row>
    <row r="132" spans="1:8" ht="12.75">
      <c r="A132" s="2" t="s">
        <v>70</v>
      </c>
      <c r="B132" s="2"/>
      <c r="C132" s="2"/>
      <c r="D132" s="28" t="s">
        <v>175</v>
      </c>
      <c r="E132" s="2" t="s">
        <v>203</v>
      </c>
      <c r="F132" s="28" t="s">
        <v>7</v>
      </c>
      <c r="G132" s="10">
        <v>2</v>
      </c>
      <c r="H132" s="13"/>
    </row>
    <row r="133" spans="1:8" ht="12.75">
      <c r="A133" s="2" t="s">
        <v>71</v>
      </c>
      <c r="B133" s="2"/>
      <c r="C133" s="2"/>
      <c r="D133" s="28" t="s">
        <v>176</v>
      </c>
      <c r="E133" s="2" t="s">
        <v>202</v>
      </c>
      <c r="F133" s="28" t="s">
        <v>343</v>
      </c>
      <c r="G133" s="10">
        <v>12.8</v>
      </c>
      <c r="H133" s="13"/>
    </row>
    <row r="134" spans="1:8" ht="12.75">
      <c r="A134" s="2" t="s">
        <v>72</v>
      </c>
      <c r="B134" s="2"/>
      <c r="C134" s="2"/>
      <c r="D134" s="28" t="s">
        <v>177</v>
      </c>
      <c r="E134" s="2" t="s">
        <v>204</v>
      </c>
      <c r="F134" s="28" t="s">
        <v>344</v>
      </c>
      <c r="G134" s="10">
        <v>51.7</v>
      </c>
      <c r="H134" s="13"/>
    </row>
    <row r="135" spans="1:8" ht="25.5">
      <c r="A135" s="2" t="s">
        <v>73</v>
      </c>
      <c r="B135" s="2"/>
      <c r="C135" s="2"/>
      <c r="D135" s="28" t="s">
        <v>179</v>
      </c>
      <c r="E135" s="2" t="s">
        <v>202</v>
      </c>
      <c r="F135" s="28" t="s">
        <v>345</v>
      </c>
      <c r="G135" s="10">
        <v>149.2</v>
      </c>
      <c r="H135" s="13"/>
    </row>
    <row r="136" spans="1:8" ht="12.75">
      <c r="A136" s="2" t="s">
        <v>74</v>
      </c>
      <c r="B136" s="2"/>
      <c r="C136" s="2"/>
      <c r="D136" s="28" t="s">
        <v>180</v>
      </c>
      <c r="E136" s="2" t="s">
        <v>202</v>
      </c>
      <c r="F136" s="28" t="s">
        <v>346</v>
      </c>
      <c r="G136" s="10">
        <v>156.6</v>
      </c>
      <c r="H136" s="13"/>
    </row>
    <row r="137" spans="1:8" ht="12.75">
      <c r="A137" s="2" t="s">
        <v>75</v>
      </c>
      <c r="B137" s="2"/>
      <c r="C137" s="2"/>
      <c r="D137" s="28" t="s">
        <v>181</v>
      </c>
      <c r="E137" s="2" t="s">
        <v>202</v>
      </c>
      <c r="F137" s="28" t="s">
        <v>347</v>
      </c>
      <c r="G137" s="10">
        <v>412.23</v>
      </c>
      <c r="H137" s="13"/>
    </row>
    <row r="138" spans="1:8" ht="25.5">
      <c r="A138" s="2" t="s">
        <v>76</v>
      </c>
      <c r="B138" s="2"/>
      <c r="C138" s="2"/>
      <c r="D138" s="28" t="s">
        <v>182</v>
      </c>
      <c r="E138" s="2" t="s">
        <v>202</v>
      </c>
      <c r="F138" s="28" t="s">
        <v>308</v>
      </c>
      <c r="G138" s="10">
        <v>18.59</v>
      </c>
      <c r="H138" s="13"/>
    </row>
    <row r="139" spans="1:8" ht="12.75">
      <c r="A139" s="2" t="s">
        <v>77</v>
      </c>
      <c r="B139" s="2"/>
      <c r="C139" s="2"/>
      <c r="D139" s="28" t="s">
        <v>184</v>
      </c>
      <c r="E139" s="2" t="s">
        <v>205</v>
      </c>
      <c r="F139" s="28" t="s">
        <v>348</v>
      </c>
      <c r="G139" s="10">
        <v>44.9778</v>
      </c>
      <c r="H139" s="13"/>
    </row>
    <row r="140" spans="1:8" ht="12.75">
      <c r="A140" s="2" t="s">
        <v>78</v>
      </c>
      <c r="B140" s="2"/>
      <c r="C140" s="2"/>
      <c r="D140" s="28" t="s">
        <v>186</v>
      </c>
      <c r="E140" s="2" t="s">
        <v>204</v>
      </c>
      <c r="F140" s="28" t="s">
        <v>349</v>
      </c>
      <c r="G140" s="10">
        <v>30</v>
      </c>
      <c r="H140" s="13"/>
    </row>
    <row r="141" spans="1:8" ht="25.5">
      <c r="A141" s="2" t="s">
        <v>79</v>
      </c>
      <c r="B141" s="2"/>
      <c r="C141" s="2"/>
      <c r="D141" s="28" t="s">
        <v>188</v>
      </c>
      <c r="E141" s="2" t="s">
        <v>207</v>
      </c>
      <c r="F141" s="28" t="s">
        <v>6</v>
      </c>
      <c r="G141" s="10">
        <v>1</v>
      </c>
      <c r="H141" s="13"/>
    </row>
    <row r="142" spans="1:8" ht="12.75">
      <c r="A142" s="2" t="s">
        <v>80</v>
      </c>
      <c r="B142" s="2"/>
      <c r="C142" s="2"/>
      <c r="D142" s="28" t="s">
        <v>190</v>
      </c>
      <c r="E142" s="2" t="s">
        <v>205</v>
      </c>
      <c r="F142" s="28" t="s">
        <v>350</v>
      </c>
      <c r="G142" s="10">
        <v>48.1</v>
      </c>
      <c r="H142" s="13"/>
    </row>
    <row r="143" spans="1:8" ht="12.75">
      <c r="A143" s="2" t="s">
        <v>81</v>
      </c>
      <c r="B143" s="2"/>
      <c r="C143" s="2"/>
      <c r="D143" s="28" t="s">
        <v>191</v>
      </c>
      <c r="E143" s="2" t="s">
        <v>205</v>
      </c>
      <c r="F143" s="28" t="s">
        <v>350</v>
      </c>
      <c r="G143" s="10">
        <v>48.1</v>
      </c>
      <c r="H143" s="13"/>
    </row>
    <row r="144" spans="1:8" ht="12.75">
      <c r="A144" s="2" t="s">
        <v>82</v>
      </c>
      <c r="B144" s="2"/>
      <c r="C144" s="2"/>
      <c r="D144" s="28" t="s">
        <v>192</v>
      </c>
      <c r="E144" s="2" t="s">
        <v>205</v>
      </c>
      <c r="F144" s="28" t="s">
        <v>351</v>
      </c>
      <c r="G144" s="10">
        <v>144.3</v>
      </c>
      <c r="H144" s="13"/>
    </row>
    <row r="145" spans="1:8" ht="12.75">
      <c r="A145" s="2" t="s">
        <v>83</v>
      </c>
      <c r="B145" s="2"/>
      <c r="C145" s="2"/>
      <c r="D145" s="28" t="s">
        <v>193</v>
      </c>
      <c r="E145" s="2" t="s">
        <v>205</v>
      </c>
      <c r="F145" s="28" t="s">
        <v>350</v>
      </c>
      <c r="G145" s="10">
        <v>48.1</v>
      </c>
      <c r="H145" s="13"/>
    </row>
    <row r="146" spans="1:8" ht="12.75">
      <c r="A146" s="2" t="s">
        <v>84</v>
      </c>
      <c r="B146" s="2"/>
      <c r="C146" s="2"/>
      <c r="D146" s="28" t="s">
        <v>194</v>
      </c>
      <c r="E146" s="2" t="s">
        <v>205</v>
      </c>
      <c r="F146" s="28" t="s">
        <v>350</v>
      </c>
      <c r="G146" s="10">
        <v>48.1</v>
      </c>
      <c r="H146" s="13"/>
    </row>
    <row r="147" spans="1:8" ht="12.75">
      <c r="A147" s="2" t="s">
        <v>85</v>
      </c>
      <c r="B147" s="2"/>
      <c r="C147" s="2"/>
      <c r="D147" s="28" t="s">
        <v>195</v>
      </c>
      <c r="E147" s="2" t="s">
        <v>205</v>
      </c>
      <c r="F147" s="28" t="s">
        <v>350</v>
      </c>
      <c r="G147" s="10">
        <v>48.1</v>
      </c>
      <c r="H147" s="13"/>
    </row>
    <row r="148" spans="1:8" ht="12.75">
      <c r="A148" s="2" t="s">
        <v>86</v>
      </c>
      <c r="B148" s="2"/>
      <c r="C148" s="2"/>
      <c r="D148" s="28" t="s">
        <v>196</v>
      </c>
      <c r="E148" s="2" t="s">
        <v>205</v>
      </c>
      <c r="F148" s="28" t="s">
        <v>350</v>
      </c>
      <c r="G148" s="10">
        <v>48.1</v>
      </c>
      <c r="H148" s="13"/>
    </row>
    <row r="149" spans="1:8" ht="12.75">
      <c r="A149" s="51"/>
      <c r="B149" s="51"/>
      <c r="C149" s="51"/>
      <c r="D149" s="51"/>
      <c r="E149" s="51"/>
      <c r="F149" s="51"/>
      <c r="G149" s="51"/>
      <c r="H149" s="51"/>
    </row>
    <row r="150" spans="1:8" ht="11.25" customHeight="1">
      <c r="A150" s="6" t="s">
        <v>87</v>
      </c>
      <c r="B150" s="51"/>
      <c r="C150" s="51"/>
      <c r="D150" s="51"/>
      <c r="E150" s="51"/>
      <c r="F150" s="51"/>
      <c r="G150" s="51"/>
      <c r="H150" s="51"/>
    </row>
    <row r="151" spans="1:7" ht="12.75">
      <c r="A151" s="118"/>
      <c r="B151" s="119"/>
      <c r="C151" s="119"/>
      <c r="D151" s="119"/>
      <c r="E151" s="119"/>
      <c r="F151" s="119"/>
      <c r="G151" s="119"/>
    </row>
  </sheetData>
  <sheetProtection password="CC2B" sheet="1"/>
  <mergeCells count="18">
    <mergeCell ref="A151:G151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:I1"/>
    </sheetView>
  </sheetViews>
  <sheetFormatPr defaultColWidth="11.57421875" defaultRowHeight="12.75"/>
  <cols>
    <col min="1" max="1" width="9.140625" style="34" customWidth="1"/>
    <col min="2" max="2" width="12.8515625" style="34" customWidth="1"/>
    <col min="3" max="3" width="26.57421875" style="34" customWidth="1"/>
    <col min="4" max="4" width="15.00390625" style="34" customWidth="1"/>
    <col min="5" max="5" width="14.00390625" style="34" customWidth="1"/>
    <col min="6" max="6" width="25.8515625" style="34" customWidth="1"/>
    <col min="7" max="7" width="13.28125" style="34" customWidth="1"/>
    <col min="8" max="8" width="12.8515625" style="34" customWidth="1"/>
    <col min="9" max="9" width="22.8515625" style="34" customWidth="1"/>
    <col min="10" max="16384" width="11.57421875" style="34" customWidth="1"/>
  </cols>
  <sheetData>
    <row r="1" spans="1:9" ht="35.25" customHeight="1">
      <c r="A1" s="153" t="s">
        <v>396</v>
      </c>
      <c r="B1" s="153"/>
      <c r="C1" s="153"/>
      <c r="D1" s="153"/>
      <c r="E1" s="153"/>
      <c r="F1" s="153"/>
      <c r="G1" s="153"/>
      <c r="H1" s="153"/>
      <c r="I1" s="153"/>
    </row>
    <row r="2" spans="1:10" ht="12.75" customHeight="1">
      <c r="A2" s="85" t="s">
        <v>0</v>
      </c>
      <c r="B2" s="92"/>
      <c r="C2" s="87" t="s">
        <v>400</v>
      </c>
      <c r="D2" s="88"/>
      <c r="E2" s="90" t="s">
        <v>214</v>
      </c>
      <c r="F2" s="90" t="s">
        <v>408</v>
      </c>
      <c r="G2" s="92"/>
      <c r="H2" s="90" t="s">
        <v>392</v>
      </c>
      <c r="I2" s="154"/>
      <c r="J2" s="35"/>
    </row>
    <row r="3" spans="1:10" ht="29.25" customHeight="1">
      <c r="A3" s="86"/>
      <c r="B3" s="91"/>
      <c r="C3" s="89"/>
      <c r="D3" s="89"/>
      <c r="E3" s="91"/>
      <c r="F3" s="91"/>
      <c r="G3" s="91"/>
      <c r="H3" s="91"/>
      <c r="I3" s="94"/>
      <c r="J3" s="35"/>
    </row>
    <row r="4" spans="1:10" ht="12.75" customHeight="1">
      <c r="A4" s="95" t="s">
        <v>1</v>
      </c>
      <c r="B4" s="91"/>
      <c r="C4" s="96"/>
      <c r="D4" s="89"/>
      <c r="E4" s="97" t="s">
        <v>215</v>
      </c>
      <c r="F4" s="97" t="s">
        <v>402</v>
      </c>
      <c r="G4" s="91"/>
      <c r="H4" s="97" t="s">
        <v>392</v>
      </c>
      <c r="I4" s="155"/>
      <c r="J4" s="35"/>
    </row>
    <row r="5" spans="1:10" ht="12.75">
      <c r="A5" s="86"/>
      <c r="B5" s="91"/>
      <c r="C5" s="89"/>
      <c r="D5" s="89"/>
      <c r="E5" s="91"/>
      <c r="F5" s="91"/>
      <c r="G5" s="91"/>
      <c r="H5" s="91"/>
      <c r="I5" s="94"/>
      <c r="J5" s="35"/>
    </row>
    <row r="6" spans="1:10" ht="18" customHeight="1">
      <c r="A6" s="95" t="s">
        <v>2</v>
      </c>
      <c r="B6" s="91"/>
      <c r="C6" s="156" t="s">
        <v>404</v>
      </c>
      <c r="D6" s="156"/>
      <c r="E6" s="97" t="s">
        <v>216</v>
      </c>
      <c r="F6" s="74"/>
      <c r="G6" s="70"/>
      <c r="H6" s="97" t="s">
        <v>392</v>
      </c>
      <c r="I6" s="106"/>
      <c r="J6" s="35"/>
    </row>
    <row r="7" spans="1:10" ht="7.5" customHeight="1">
      <c r="A7" s="86"/>
      <c r="B7" s="91"/>
      <c r="C7" s="156"/>
      <c r="D7" s="156"/>
      <c r="E7" s="91"/>
      <c r="F7" s="70"/>
      <c r="G7" s="70"/>
      <c r="H7" s="91"/>
      <c r="I7" s="72"/>
      <c r="J7" s="35"/>
    </row>
    <row r="8" spans="1:10" ht="12.75" customHeight="1">
      <c r="A8" s="95" t="s">
        <v>198</v>
      </c>
      <c r="B8" s="91"/>
      <c r="C8" s="73"/>
      <c r="D8" s="70"/>
      <c r="E8" s="97" t="s">
        <v>199</v>
      </c>
      <c r="F8" s="70"/>
      <c r="G8" s="70"/>
      <c r="H8" s="100" t="s">
        <v>393</v>
      </c>
      <c r="I8" s="155" t="s">
        <v>86</v>
      </c>
      <c r="J8" s="35"/>
    </row>
    <row r="9" spans="1:10" ht="12.75">
      <c r="A9" s="86"/>
      <c r="B9" s="91"/>
      <c r="C9" s="70"/>
      <c r="D9" s="70"/>
      <c r="E9" s="91"/>
      <c r="F9" s="70"/>
      <c r="G9" s="70"/>
      <c r="H9" s="91"/>
      <c r="I9" s="94"/>
      <c r="J9" s="35"/>
    </row>
    <row r="10" spans="1:10" ht="12.75">
      <c r="A10" s="95" t="s">
        <v>3</v>
      </c>
      <c r="B10" s="91"/>
      <c r="C10" s="74"/>
      <c r="D10" s="70"/>
      <c r="E10" s="97" t="s">
        <v>217</v>
      </c>
      <c r="F10" s="76"/>
      <c r="G10" s="70"/>
      <c r="H10" s="100" t="s">
        <v>394</v>
      </c>
      <c r="I10" s="108"/>
      <c r="J10" s="35"/>
    </row>
    <row r="11" spans="1:10" ht="12.75">
      <c r="A11" s="157"/>
      <c r="B11" s="158"/>
      <c r="C11" s="107"/>
      <c r="D11" s="107"/>
      <c r="E11" s="158"/>
      <c r="F11" s="70"/>
      <c r="G11" s="70"/>
      <c r="H11" s="158"/>
      <c r="I11" s="109"/>
      <c r="J11" s="35"/>
    </row>
    <row r="12" spans="1:9" ht="23.25" customHeight="1">
      <c r="A12" s="159" t="s">
        <v>353</v>
      </c>
      <c r="B12" s="160"/>
      <c r="C12" s="160"/>
      <c r="D12" s="160"/>
      <c r="E12" s="160"/>
      <c r="F12" s="160"/>
      <c r="G12" s="160"/>
      <c r="H12" s="160"/>
      <c r="I12" s="160"/>
    </row>
    <row r="13" spans="1:10" ht="26.25" customHeight="1">
      <c r="A13" s="161" t="s">
        <v>354</v>
      </c>
      <c r="B13" s="162" t="s">
        <v>366</v>
      </c>
      <c r="C13" s="163"/>
      <c r="D13" s="161" t="s">
        <v>368</v>
      </c>
      <c r="E13" s="162" t="s">
        <v>377</v>
      </c>
      <c r="F13" s="163"/>
      <c r="G13" s="161" t="s">
        <v>378</v>
      </c>
      <c r="H13" s="162" t="s">
        <v>395</v>
      </c>
      <c r="I13" s="163"/>
      <c r="J13" s="35"/>
    </row>
    <row r="14" spans="1:10" ht="15" customHeight="1">
      <c r="A14" s="164" t="s">
        <v>355</v>
      </c>
      <c r="B14" s="165" t="s">
        <v>367</v>
      </c>
      <c r="C14" s="54">
        <f>SUM('Stavební rozpočet'!R12:R111)</f>
        <v>0</v>
      </c>
      <c r="D14" s="169" t="s">
        <v>369</v>
      </c>
      <c r="E14" s="170"/>
      <c r="F14" s="26" t="s">
        <v>405</v>
      </c>
      <c r="G14" s="169" t="s">
        <v>379</v>
      </c>
      <c r="H14" s="170"/>
      <c r="I14" s="55">
        <v>0</v>
      </c>
      <c r="J14" s="35"/>
    </row>
    <row r="15" spans="1:10" ht="15" customHeight="1">
      <c r="A15" s="166"/>
      <c r="B15" s="165" t="s">
        <v>218</v>
      </c>
      <c r="C15" s="54">
        <f>SUM('Stavební rozpočet'!S12:S111)</f>
        <v>0</v>
      </c>
      <c r="D15" s="169" t="s">
        <v>370</v>
      </c>
      <c r="E15" s="170"/>
      <c r="F15" s="26" t="s">
        <v>405</v>
      </c>
      <c r="G15" s="169" t="s">
        <v>380</v>
      </c>
      <c r="H15" s="170"/>
      <c r="I15" s="55">
        <v>0</v>
      </c>
      <c r="J15" s="35"/>
    </row>
    <row r="16" spans="1:10" ht="15" customHeight="1">
      <c r="A16" s="164" t="s">
        <v>356</v>
      </c>
      <c r="B16" s="165" t="s">
        <v>367</v>
      </c>
      <c r="C16" s="54">
        <f>SUM('Stavební rozpočet'!T12:T111)</f>
        <v>0</v>
      </c>
      <c r="D16" s="169" t="s">
        <v>371</v>
      </c>
      <c r="E16" s="170"/>
      <c r="F16" s="26" t="s">
        <v>405</v>
      </c>
      <c r="G16" s="169" t="s">
        <v>381</v>
      </c>
      <c r="H16" s="170"/>
      <c r="I16" s="55">
        <v>0</v>
      </c>
      <c r="J16" s="35"/>
    </row>
    <row r="17" spans="1:10" ht="15" customHeight="1">
      <c r="A17" s="166"/>
      <c r="B17" s="165" t="s">
        <v>218</v>
      </c>
      <c r="C17" s="54">
        <f>SUM('Stavební rozpočet'!U12:U111)</f>
        <v>0</v>
      </c>
      <c r="D17" s="169"/>
      <c r="E17" s="170"/>
      <c r="F17" s="171"/>
      <c r="G17" s="169" t="s">
        <v>382</v>
      </c>
      <c r="H17" s="170"/>
      <c r="I17" s="26" t="s">
        <v>405</v>
      </c>
      <c r="J17" s="35"/>
    </row>
    <row r="18" spans="1:10" ht="15" customHeight="1">
      <c r="A18" s="164" t="s">
        <v>357</v>
      </c>
      <c r="B18" s="165" t="s">
        <v>367</v>
      </c>
      <c r="C18" s="54">
        <f>SUM('Stavební rozpočet'!V12:V111)</f>
        <v>0</v>
      </c>
      <c r="D18" s="169"/>
      <c r="E18" s="170"/>
      <c r="F18" s="171"/>
      <c r="G18" s="169" t="s">
        <v>383</v>
      </c>
      <c r="H18" s="170"/>
      <c r="I18" s="26" t="s">
        <v>405</v>
      </c>
      <c r="J18" s="35"/>
    </row>
    <row r="19" spans="1:10" ht="15" customHeight="1">
      <c r="A19" s="166"/>
      <c r="B19" s="165" t="s">
        <v>218</v>
      </c>
      <c r="C19" s="54">
        <f>SUM('Stavební rozpočet'!W12:W111)</f>
        <v>0</v>
      </c>
      <c r="D19" s="169"/>
      <c r="E19" s="170"/>
      <c r="F19" s="171"/>
      <c r="G19" s="169" t="s">
        <v>384</v>
      </c>
      <c r="H19" s="170"/>
      <c r="I19" s="26" t="s">
        <v>405</v>
      </c>
      <c r="J19" s="35"/>
    </row>
    <row r="20" spans="1:10" ht="15" customHeight="1">
      <c r="A20" s="167" t="s">
        <v>358</v>
      </c>
      <c r="B20" s="168"/>
      <c r="C20" s="54">
        <f>SUM('Stavební rozpočet'!X12:X111)</f>
        <v>0</v>
      </c>
      <c r="D20" s="169"/>
      <c r="E20" s="170"/>
      <c r="F20" s="171"/>
      <c r="G20" s="110"/>
      <c r="H20" s="111"/>
      <c r="I20" s="56"/>
      <c r="J20" s="35"/>
    </row>
    <row r="21" spans="1:10" ht="15" customHeight="1">
      <c r="A21" s="167" t="s">
        <v>359</v>
      </c>
      <c r="B21" s="168"/>
      <c r="C21" s="54">
        <f>SUM('Stavební rozpočet'!P12:P111)</f>
        <v>0</v>
      </c>
      <c r="D21" s="169"/>
      <c r="E21" s="170"/>
      <c r="F21" s="171"/>
      <c r="G21" s="110"/>
      <c r="H21" s="111"/>
      <c r="I21" s="56"/>
      <c r="J21" s="35"/>
    </row>
    <row r="22" spans="1:10" ht="16.5" customHeight="1">
      <c r="A22" s="167" t="s">
        <v>360</v>
      </c>
      <c r="B22" s="168"/>
      <c r="C22" s="54">
        <f>SUM(C14:C21)</f>
        <v>0</v>
      </c>
      <c r="D22" s="167" t="s">
        <v>372</v>
      </c>
      <c r="E22" s="168"/>
      <c r="F22" s="54">
        <f>SUM(F14:F21)</f>
        <v>0</v>
      </c>
      <c r="G22" s="167" t="s">
        <v>385</v>
      </c>
      <c r="H22" s="168"/>
      <c r="I22" s="54">
        <f>SUM(I14:I21)</f>
        <v>0</v>
      </c>
      <c r="J22" s="35"/>
    </row>
    <row r="23" spans="1:10" ht="15" customHeight="1">
      <c r="A23" s="49"/>
      <c r="B23" s="49"/>
      <c r="C23" s="57"/>
      <c r="D23" s="167" t="s">
        <v>373</v>
      </c>
      <c r="E23" s="168"/>
      <c r="F23" s="58">
        <v>0</v>
      </c>
      <c r="G23" s="167" t="s">
        <v>386</v>
      </c>
      <c r="H23" s="168"/>
      <c r="I23" s="54">
        <v>0</v>
      </c>
      <c r="J23" s="35"/>
    </row>
    <row r="24" spans="4:10" ht="15" customHeight="1">
      <c r="D24" s="49"/>
      <c r="E24" s="49"/>
      <c r="F24" s="59"/>
      <c r="G24" s="167" t="s">
        <v>387</v>
      </c>
      <c r="H24" s="168"/>
      <c r="I24" s="54">
        <v>0</v>
      </c>
      <c r="J24" s="35"/>
    </row>
    <row r="25" spans="6:10" ht="15" customHeight="1">
      <c r="F25" s="60"/>
      <c r="G25" s="167" t="s">
        <v>388</v>
      </c>
      <c r="H25" s="168"/>
      <c r="I25" s="54">
        <v>0</v>
      </c>
      <c r="J25" s="35"/>
    </row>
    <row r="26" spans="1:9" ht="12.75">
      <c r="A26" s="61"/>
      <c r="B26" s="61"/>
      <c r="C26" s="61"/>
      <c r="G26" s="49"/>
      <c r="H26" s="49"/>
      <c r="I26" s="49"/>
    </row>
    <row r="27" spans="1:9" ht="15" customHeight="1">
      <c r="A27" s="172" t="s">
        <v>361</v>
      </c>
      <c r="B27" s="173"/>
      <c r="C27" s="62">
        <f>SUM('Stavební rozpočet'!Z12:Z111)</f>
        <v>0</v>
      </c>
      <c r="D27" s="63"/>
      <c r="E27" s="61"/>
      <c r="F27" s="61"/>
      <c r="G27" s="61"/>
      <c r="H27" s="61"/>
      <c r="I27" s="61"/>
    </row>
    <row r="28" spans="1:10" ht="15" customHeight="1">
      <c r="A28" s="172" t="s">
        <v>362</v>
      </c>
      <c r="B28" s="173"/>
      <c r="C28" s="62">
        <f>SUM('Stavební rozpočet'!AA12:AA111)</f>
        <v>0</v>
      </c>
      <c r="D28" s="172" t="s">
        <v>374</v>
      </c>
      <c r="E28" s="173"/>
      <c r="F28" s="62">
        <f>ROUND(C28*(15/100),2)</f>
        <v>0</v>
      </c>
      <c r="G28" s="172" t="s">
        <v>389</v>
      </c>
      <c r="H28" s="173"/>
      <c r="I28" s="62">
        <f>SUM(C27:C29)</f>
        <v>0</v>
      </c>
      <c r="J28" s="35"/>
    </row>
    <row r="29" spans="1:10" ht="15" customHeight="1">
      <c r="A29" s="172" t="s">
        <v>363</v>
      </c>
      <c r="B29" s="173"/>
      <c r="C29" s="62">
        <f>SUM('Stavební rozpočet'!AB12:AB111)+(F22+I22+F23+I23+I24+I25)</f>
        <v>0</v>
      </c>
      <c r="D29" s="172" t="s">
        <v>375</v>
      </c>
      <c r="E29" s="173"/>
      <c r="F29" s="62">
        <f>ROUND(C29*(21/100),2)</f>
        <v>0</v>
      </c>
      <c r="G29" s="172" t="s">
        <v>390</v>
      </c>
      <c r="H29" s="173"/>
      <c r="I29" s="62">
        <f>SUM(F28:F29)+I28</f>
        <v>0</v>
      </c>
      <c r="J29" s="35"/>
    </row>
    <row r="30" spans="1:9" ht="12.75">
      <c r="A30" s="64"/>
      <c r="B30" s="64"/>
      <c r="C30" s="64"/>
      <c r="D30" s="64"/>
      <c r="E30" s="64"/>
      <c r="F30" s="64"/>
      <c r="G30" s="64"/>
      <c r="H30" s="64"/>
      <c r="I30" s="64"/>
    </row>
    <row r="31" spans="1:10" ht="14.25" customHeight="1">
      <c r="A31" s="112" t="s">
        <v>364</v>
      </c>
      <c r="B31" s="113"/>
      <c r="C31" s="114"/>
      <c r="D31" s="112" t="s">
        <v>376</v>
      </c>
      <c r="E31" s="113"/>
      <c r="F31" s="114"/>
      <c r="G31" s="112" t="s">
        <v>391</v>
      </c>
      <c r="H31" s="113"/>
      <c r="I31" s="114"/>
      <c r="J31" s="36"/>
    </row>
    <row r="32" spans="1:10" ht="14.25" customHeight="1">
      <c r="A32" s="115"/>
      <c r="B32" s="116"/>
      <c r="C32" s="117"/>
      <c r="D32" s="115"/>
      <c r="E32" s="116"/>
      <c r="F32" s="117"/>
      <c r="G32" s="115"/>
      <c r="H32" s="116"/>
      <c r="I32" s="117"/>
      <c r="J32" s="36"/>
    </row>
    <row r="33" spans="1:10" ht="14.25" customHeight="1">
      <c r="A33" s="115"/>
      <c r="B33" s="116"/>
      <c r="C33" s="117"/>
      <c r="D33" s="115"/>
      <c r="E33" s="116"/>
      <c r="F33" s="117"/>
      <c r="G33" s="115"/>
      <c r="H33" s="116"/>
      <c r="I33" s="117"/>
      <c r="J33" s="36"/>
    </row>
    <row r="34" spans="1:10" ht="14.25" customHeight="1">
      <c r="A34" s="115"/>
      <c r="B34" s="116"/>
      <c r="C34" s="117"/>
      <c r="D34" s="115"/>
      <c r="E34" s="116"/>
      <c r="F34" s="117"/>
      <c r="G34" s="115"/>
      <c r="H34" s="116"/>
      <c r="I34" s="117"/>
      <c r="J34" s="36"/>
    </row>
    <row r="35" spans="1:10" ht="14.25" customHeight="1">
      <c r="A35" s="120" t="s">
        <v>365</v>
      </c>
      <c r="B35" s="121"/>
      <c r="C35" s="122"/>
      <c r="D35" s="120" t="s">
        <v>365</v>
      </c>
      <c r="E35" s="121"/>
      <c r="F35" s="122"/>
      <c r="G35" s="120" t="s">
        <v>365</v>
      </c>
      <c r="H35" s="121"/>
      <c r="I35" s="122"/>
      <c r="J35" s="36"/>
    </row>
    <row r="36" spans="1:9" ht="11.25" customHeight="1">
      <c r="A36" s="65" t="s">
        <v>87</v>
      </c>
      <c r="B36" s="66"/>
      <c r="C36" s="66"/>
      <c r="D36" s="66"/>
      <c r="E36" s="66"/>
      <c r="F36" s="66"/>
      <c r="G36" s="66"/>
      <c r="H36" s="66"/>
      <c r="I36" s="66"/>
    </row>
    <row r="37" spans="1:9" ht="12.75">
      <c r="A37" s="118"/>
      <c r="B37" s="119"/>
      <c r="C37" s="119"/>
      <c r="D37" s="119"/>
      <c r="E37" s="119"/>
      <c r="F37" s="119"/>
      <c r="G37" s="119"/>
      <c r="H37" s="119"/>
      <c r="I37" s="119"/>
    </row>
  </sheetData>
  <sheetProtection password="CC2B" sheet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2:B3"/>
    <mergeCell ref="C2:D3"/>
    <mergeCell ref="E2:E3"/>
    <mergeCell ref="A6:B7"/>
    <mergeCell ref="C6:D7"/>
    <mergeCell ref="E6:E7"/>
    <mergeCell ref="F2:G3"/>
    <mergeCell ref="H2:H3"/>
    <mergeCell ref="I2:I3"/>
    <mergeCell ref="A1:I1"/>
    <mergeCell ref="A4:B5"/>
    <mergeCell ref="C4:D5"/>
    <mergeCell ref="E4:E5"/>
    <mergeCell ref="F4:G5"/>
    <mergeCell ref="H4:H5"/>
    <mergeCell ref="I4:I5"/>
  </mergeCells>
  <printOptions/>
  <pageMargins left="0.394" right="0.394" top="0.591" bottom="0.59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Semerád</cp:lastModifiedBy>
  <cp:lastPrinted>2017-10-24T20:42:49Z</cp:lastPrinted>
  <dcterms:modified xsi:type="dcterms:W3CDTF">2017-10-24T20:42:56Z</dcterms:modified>
  <cp:category/>
  <cp:version/>
  <cp:contentType/>
  <cp:contentStatus/>
</cp:coreProperties>
</file>