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tavební rozpočet" sheetId="1" r:id="rId1"/>
    <sheet name="Rozpočet - vybrané sloupce" sheetId="2" r:id="rId2"/>
    <sheet name="Stavební rozpočet - součet" sheetId="3" r:id="rId3"/>
    <sheet name="Výkaz výměr" sheetId="4" r:id="rId4"/>
    <sheet name="Harmonogram" sheetId="5" r:id="rId5"/>
    <sheet name="Čerpání rozpočtu" sheetId="6" r:id="rId6"/>
    <sheet name="Krycí list rozpočtu" sheetId="7" r:id="rId7"/>
    <sheet name="VORN" sheetId="8" r:id="rId8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<sst xmlns="http://schemas.openxmlformats.org/spreadsheetml/2006/main" count="1571" uniqueCount="323">
  <si>
    <t>Č</t>
  </si>
  <si>
    <t>Slepý stavební rozpočet</t>
  </si>
  <si>
    <t>Objekt</t>
  </si>
  <si>
    <t>Kód</t>
  </si>
  <si>
    <t>Zkrácený popis</t>
  </si>
  <si>
    <t>M.j.</t>
  </si>
  <si>
    <t>Sazba DPH</t>
  </si>
  <si>
    <t>Množství</t>
  </si>
  <si>
    <t>Jednotková cena (Kč)</t>
  </si>
  <si>
    <t>Náklady dodávka (Kč)</t>
  </si>
  <si>
    <t>Náklady montáž (Kč)</t>
  </si>
  <si>
    <t>Náklady celkem (Kč)</t>
  </si>
  <si>
    <t>Jednotková hmotnost(t)</t>
  </si>
  <si>
    <t>Celková hmotnost(t)</t>
  </si>
  <si>
    <t>Název stavby:</t>
  </si>
  <si>
    <t xml:space="preserve"> </t>
  </si>
  <si>
    <t>34</t>
  </si>
  <si>
    <t>Stěny a příčky</t>
  </si>
  <si>
    <t>Slepý stavební rozpočet - rekapitulace</t>
  </si>
  <si>
    <t>3. etapa výmalby a opravy podlah</t>
  </si>
  <si>
    <t>Objednatel:</t>
  </si>
  <si>
    <t>Gymnázium Říčany, Komenského nám. 1280</t>
  </si>
  <si>
    <t>1</t>
  </si>
  <si>
    <t>342212111R00</t>
  </si>
  <si>
    <t>Začištění větrací mřížky, včetné povrchové úpravy</t>
  </si>
  <si>
    <t>m2</t>
  </si>
  <si>
    <t>21</t>
  </si>
  <si>
    <t>Doba výstavby:</t>
  </si>
  <si>
    <t>64 dní</t>
  </si>
  <si>
    <t>61</t>
  </si>
  <si>
    <t>Úprava povrchů vnitřní</t>
  </si>
  <si>
    <t>Druh stavby:</t>
  </si>
  <si>
    <t>2</t>
  </si>
  <si>
    <t>612421331RT2</t>
  </si>
  <si>
    <t>Oprava vápen.omítek stěn do 40 % pl. - štukových</t>
  </si>
  <si>
    <t>Gymnázium Říčany</t>
  </si>
  <si>
    <t>Projektant:</t>
  </si>
  <si>
    <t>Začátek výstavby:</t>
  </si>
  <si>
    <t>3</t>
  </si>
  <si>
    <t>612401971R00</t>
  </si>
  <si>
    <t>Zakrývání výplní vnitřních otvorů</t>
  </si>
  <si>
    <t>Lokalita:</t>
  </si>
  <si>
    <t>Říčany u Prahy</t>
  </si>
  <si>
    <t>Zhotovitel:</t>
  </si>
  <si>
    <t>Konec výstavby:</t>
  </si>
  <si>
    <t>721</t>
  </si>
  <si>
    <t>Vnitřní kanalizace</t>
  </si>
  <si>
    <t>Zpracoval:</t>
  </si>
  <si>
    <t>Zpracováno dne:</t>
  </si>
  <si>
    <t>4</t>
  </si>
  <si>
    <t>721170905R00</t>
  </si>
  <si>
    <t>Výměna odpadního potrubí v chem. labor.</t>
  </si>
  <si>
    <t>soubor</t>
  </si>
  <si>
    <t>JKSO:</t>
  </si>
  <si>
    <t>722</t>
  </si>
  <si>
    <t>Vnitřní vodovod</t>
  </si>
  <si>
    <t>5</t>
  </si>
  <si>
    <t>722172311R00</t>
  </si>
  <si>
    <t>Potrubí z PPR Instaplast, studená, D 20/2,8 mm</t>
  </si>
  <si>
    <t>m</t>
  </si>
  <si>
    <t>6</t>
  </si>
  <si>
    <t>722173962R00</t>
  </si>
  <si>
    <t>Spoje pro rozvod vody plast lepené D 20 mm</t>
  </si>
  <si>
    <t>kus</t>
  </si>
  <si>
    <t>Náklady (Kč) - dodávka</t>
  </si>
  <si>
    <t>7</t>
  </si>
  <si>
    <t>722174912R00</t>
  </si>
  <si>
    <t>Sestavení plastového rozvodu vody D 20 mm</t>
  </si>
  <si>
    <t>Náklady (Kč) - Montáž</t>
  </si>
  <si>
    <t>Náklady (Kč) - celkem</t>
  </si>
  <si>
    <t>Celková hmotnost (t)</t>
  </si>
  <si>
    <t>Jednot.</t>
  </si>
  <si>
    <t>8</t>
  </si>
  <si>
    <t>722179191R00</t>
  </si>
  <si>
    <t>Spojovací materiál a pomocný materiál</t>
  </si>
  <si>
    <t>723</t>
  </si>
  <si>
    <t>Vnitřní plynovod</t>
  </si>
  <si>
    <t>9</t>
  </si>
  <si>
    <t>723191128R00</t>
  </si>
  <si>
    <t>Kontrola plynového rozvodu a výměna kulových kohoutů</t>
  </si>
  <si>
    <t>Náklady (Kč)</t>
  </si>
  <si>
    <t>725</t>
  </si>
  <si>
    <t>Zařizovací předměty</t>
  </si>
  <si>
    <t>10</t>
  </si>
  <si>
    <t>725112914R00</t>
  </si>
  <si>
    <t>Demontáž baterie</t>
  </si>
  <si>
    <t>F</t>
  </si>
  <si>
    <t>11</t>
  </si>
  <si>
    <t>725823111RT0</t>
  </si>
  <si>
    <t>Baterie umyvadlová stoján. ruční, bez otvír.odpadu</t>
  </si>
  <si>
    <t>Hmotnost (t)</t>
  </si>
  <si>
    <t>Cenová</t>
  </si>
  <si>
    <t>12</t>
  </si>
  <si>
    <t>725017163R00</t>
  </si>
  <si>
    <t>Umyvadlo na šrouby LYRA Plus , 60 x 49 cm, bílé</t>
  </si>
  <si>
    <t>766</t>
  </si>
  <si>
    <t>Konstrukce truhlářské</t>
  </si>
  <si>
    <t>13</t>
  </si>
  <si>
    <t>725529202R00</t>
  </si>
  <si>
    <t>Montáž umyvadla,sifonu a baterie</t>
  </si>
  <si>
    <t>Rozměry</t>
  </si>
  <si>
    <t>775</t>
  </si>
  <si>
    <t>Podlahy vlysové a parketové</t>
  </si>
  <si>
    <t>776</t>
  </si>
  <si>
    <t>Podlahy povlakové</t>
  </si>
  <si>
    <t>781</t>
  </si>
  <si>
    <t>Obklady (keramické)</t>
  </si>
  <si>
    <t>cena (Kč)</t>
  </si>
  <si>
    <t>783</t>
  </si>
  <si>
    <t>Nátěry</t>
  </si>
  <si>
    <t>784</t>
  </si>
  <si>
    <t>Malby</t>
  </si>
  <si>
    <t>14</t>
  </si>
  <si>
    <t>725860251R00</t>
  </si>
  <si>
    <t>Sifon umyvadlový chromovaný</t>
  </si>
  <si>
    <t>90</t>
  </si>
  <si>
    <t>Hodinové zúčtovací sazby (HZS)</t>
  </si>
  <si>
    <t>Dodávka</t>
  </si>
  <si>
    <t>Montáž</t>
  </si>
  <si>
    <t>Celkem</t>
  </si>
  <si>
    <t>15</t>
  </si>
  <si>
    <t>766624064R00</t>
  </si>
  <si>
    <t>Dodávka a montáž prahu na míru do délky 900 cm</t>
  </si>
  <si>
    <t>soustava</t>
  </si>
  <si>
    <t>94</t>
  </si>
  <si>
    <t>Lešení a stavební výtahy</t>
  </si>
  <si>
    <t>H01</t>
  </si>
  <si>
    <t>Přesuny</t>
  </si>
  <si>
    <t>Budovy občanské výstavby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</si>
  <si>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</si>
  <si>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</si>
  <si>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</si>
  <si>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</si>
  <si>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</si>
  <si>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</si>
  <si>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</si>
  <si>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</si>
  <si>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M21</t>
  </si>
  <si>
    <t>Elektromontáže</t>
  </si>
  <si>
    <t>Celkem:</t>
  </si>
  <si>
    <t>16</t>
  </si>
  <si>
    <t>766211710R00</t>
  </si>
  <si>
    <t>Dodávka a montáž lišt k ochraně výmalby za židlemi</t>
  </si>
  <si>
    <t>17</t>
  </si>
  <si>
    <t>775592000R00</t>
  </si>
  <si>
    <t>Broušení poškozených dřevěných podlah hrubé+střední+jemné</t>
  </si>
  <si>
    <t>18</t>
  </si>
  <si>
    <t>775599130R00</t>
  </si>
  <si>
    <t>Celoplošné tmelení podlahy</t>
  </si>
  <si>
    <t>HS</t>
  </si>
  <si>
    <t>19</t>
  </si>
  <si>
    <t>775599141R00</t>
  </si>
  <si>
    <t>Lak dřevěných podlah 2x, přebroušení</t>
  </si>
  <si>
    <t>20</t>
  </si>
  <si>
    <t>775981114RU2</t>
  </si>
  <si>
    <t>Lišta podlahová krycí</t>
  </si>
  <si>
    <t>775981115R00</t>
  </si>
  <si>
    <t>Lišta  podlahová lepená</t>
  </si>
  <si>
    <t>22</t>
  </si>
  <si>
    <t>776521100RU3</t>
  </si>
  <si>
    <t>Lepení.podlah z pásů PVC</t>
  </si>
  <si>
    <t>23</t>
  </si>
  <si>
    <t>776511810RT1</t>
  </si>
  <si>
    <t>Odstranění PVC a koberců lepených bez podložky</t>
  </si>
  <si>
    <t>RTS I / 2016</t>
  </si>
  <si>
    <t>Výkaz výměr</t>
  </si>
  <si>
    <t>24</t>
  </si>
  <si>
    <t>776101115R00</t>
  </si>
  <si>
    <t>Vyrovnání podkladů samonivelační hmotou - poškozené podlahy 2x</t>
  </si>
  <si>
    <t>25</t>
  </si>
  <si>
    <t>PVC Forbo Etermal orginal</t>
  </si>
  <si>
    <t>26</t>
  </si>
  <si>
    <t>776981101R00</t>
  </si>
  <si>
    <t>Dodávka a  montáž přechodové a podlahové lišty</t>
  </si>
  <si>
    <t>27</t>
  </si>
  <si>
    <t>781101111R00</t>
  </si>
  <si>
    <t>Vyrovnání podkladu maltou</t>
  </si>
  <si>
    <t>34_</t>
  </si>
  <si>
    <t>3_</t>
  </si>
  <si>
    <t>_</t>
  </si>
  <si>
    <t>28</t>
  </si>
  <si>
    <t>781101121R00</t>
  </si>
  <si>
    <t>Penetrace podkladu pod obklady</t>
  </si>
  <si>
    <t>29</t>
  </si>
  <si>
    <t>781471107R00</t>
  </si>
  <si>
    <t>Obklad vnitř.stěn,keram.režný,hladký, MC, 20x20 cm</t>
  </si>
  <si>
    <t>30</t>
  </si>
  <si>
    <t>781111121R00</t>
  </si>
  <si>
    <t>Odstranění obkladu</t>
  </si>
  <si>
    <t>31</t>
  </si>
  <si>
    <t>783215100R00</t>
  </si>
  <si>
    <t>Nátěr  kovových konstrukcí 2x</t>
  </si>
  <si>
    <t>Cenová soustava</t>
  </si>
  <si>
    <t>32</t>
  </si>
  <si>
    <t>784114221R00</t>
  </si>
  <si>
    <t>Malba omyvatelná 2x barva</t>
  </si>
  <si>
    <t>33</t>
  </si>
  <si>
    <t>784114222R00</t>
  </si>
  <si>
    <t>Malba tekutá, barva bílá 2x</t>
  </si>
  <si>
    <t>784111201R00</t>
  </si>
  <si>
    <t>Penetrace podkladu  1 x</t>
  </si>
  <si>
    <t>35</t>
  </si>
  <si>
    <t>900      R04</t>
  </si>
  <si>
    <t>Stavební pomocné práce</t>
  </si>
  <si>
    <t>h</t>
  </si>
  <si>
    <t>36</t>
  </si>
  <si>
    <t>941955001R00</t>
  </si>
  <si>
    <t>Lešení lehké pomocné, výška podlahy do 1,2 m</t>
  </si>
  <si>
    <t>37</t>
  </si>
  <si>
    <t>941954851R00</t>
  </si>
  <si>
    <t>Demontáž lešení</t>
  </si>
  <si>
    <t>38</t>
  </si>
  <si>
    <t>998011017R00</t>
  </si>
  <si>
    <t>Odvoz suti a vyb. hmot do 25 km</t>
  </si>
  <si>
    <t>39</t>
  </si>
  <si>
    <t>998011002R00</t>
  </si>
  <si>
    <t>Přesun hmot pro budovy zděné výšky do 12 m</t>
  </si>
  <si>
    <t>t</t>
  </si>
  <si>
    <t>40</t>
  </si>
  <si>
    <t>210150609R00</t>
  </si>
  <si>
    <t>Kontrola rozvodů elektroinstalace a její proměření po demontáži</t>
  </si>
  <si>
    <t>41</t>
  </si>
  <si>
    <t>210010001R00</t>
  </si>
  <si>
    <t>Elektromontáže - rozvod kabelů a začištění</t>
  </si>
  <si>
    <t>42</t>
  </si>
  <si>
    <t>210160141R00</t>
  </si>
  <si>
    <t>Zásuvka, dodávka</t>
  </si>
  <si>
    <t>43</t>
  </si>
  <si>
    <t>210160271R00</t>
  </si>
  <si>
    <t>Dádavka, vypínač</t>
  </si>
  <si>
    <t>Poznámka:</t>
  </si>
  <si>
    <t>61_</t>
  </si>
  <si>
    <t>6_</t>
  </si>
  <si>
    <t>PS</t>
  </si>
  <si>
    <t>Harmonogram</t>
  </si>
  <si>
    <t>Nh</t>
  </si>
  <si>
    <t>721_</t>
  </si>
  <si>
    <t>72_</t>
  </si>
  <si>
    <t>Zdroje</t>
  </si>
  <si>
    <t>Trvání</t>
  </si>
  <si>
    <t>Rozpočet (Kč)</t>
  </si>
  <si>
    <t>Čerpání rozpočtu</t>
  </si>
  <si>
    <t>722_</t>
  </si>
  <si>
    <t>Rozpočtové náklady (Kč)</t>
  </si>
  <si>
    <t>Fakturovaná cena (Kč)</t>
  </si>
  <si>
    <t>Rozdíl v Kč</t>
  </si>
  <si>
    <t>Rozdíl v %</t>
  </si>
  <si>
    <t>Uhrazená cena (Kč)</t>
  </si>
  <si>
    <t>Rozdíl úhrady v Kč</t>
  </si>
  <si>
    <t>Rozdíl úhrady v %</t>
  </si>
  <si>
    <t>Krycí list slepého rozpočtu</t>
  </si>
  <si>
    <t>IČ/DIČ:</t>
  </si>
  <si>
    <t>Položek:</t>
  </si>
  <si>
    <t>723_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</si>
  <si>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</si>
  <si>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</si>
  <si>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</si>
  <si>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</si>
  <si>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</si>
  <si>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</si>
  <si>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</si>
  <si>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</si>
  <si>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</si>
  <si>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</si>
  <si>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725_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</si>
  <si>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</si>
  <si>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</si>
  <si>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</si>
  <si>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</si>
  <si>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</si>
  <si>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</si>
  <si>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</si>
  <si>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</si>
  <si>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</si>
  <si>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</si>
  <si>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</si>
  <si>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</si>
  <si>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</si>
  <si>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766_</t>
  </si>
  <si>
    <t>76_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</si>
  <si>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</si>
  <si>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</si>
  <si>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</si>
  <si>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</si>
  <si>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</si>
  <si>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</si>
  <si>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</si>
  <si>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</si>
  <si>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</si>
  <si>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</si>
  <si>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775_</t>
  </si>
  <si>
    <t>77_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</si>
  <si>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</si>
  <si>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</si>
  <si>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</si>
  <si>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</si>
  <si>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</si>
  <si>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</si>
  <si>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</si>
  <si>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</si>
  <si>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776_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</si>
  <si>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</si>
  <si>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</si>
  <si>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</si>
  <si>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</si>
  <si>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</si>
  <si>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</si>
  <si>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781_</t>
  </si>
  <si>
    <t>78_</t>
  </si>
  <si>
    <t>Celkem DN</t>
  </si>
  <si>
    <t>Celkem NUS</t>
  </si>
  <si>
    <t>Celkem VRN</t>
  </si>
  <si>
    <t>783_</t>
  </si>
  <si>
    <t>Ostatní rozpočtové náklady ORN</t>
  </si>
  <si>
    <t>Ostatní rozpočtové náklady (ORN)</t>
  </si>
  <si>
    <t>Celkem ORN</t>
  </si>
  <si>
    <t>784_</t>
  </si>
  <si>
    <t>90_</t>
  </si>
  <si>
    <t>9_</t>
  </si>
  <si>
    <t>94_</t>
  </si>
  <si>
    <t>H01_</t>
  </si>
  <si>
    <t>MP</t>
  </si>
  <si>
    <t>M21_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</si>
</sst>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8"/>
      <color rgb="FF000000"/>
      <name val="Arial"/>
      <family val="2"/>
    </font>
    <font>
      <i/>
      <sz val="8"/>
      <color rgb="FF000000"/>
      <name val="Arial"/>
      <family val="2"/>
    </font>
    <font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49" fontId="2" fillId="2" borderId="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4" fontId="2" fillId="2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0" fillId="0" borderId="7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0" fontId="1" fillId="0" borderId="4" xfId="0" applyFont="1" applyBorder="1" applyAlignment="1">
      <alignment vertical="center"/>
    </xf>
    <xf numFmtId="49" fontId="2" fillId="2" borderId="0" xfId="0" applyNumberFormat="1" applyFont="1" applyBorder="1" applyAlignment="1">
      <alignment horizontal="left" vertical="center"/>
    </xf>
    <xf numFmtId="49" fontId="2" fillId="2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4" fontId="2" fillId="2" borderId="0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" fontId="0" fillId="0" borderId="5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0" fillId="2" borderId="5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2" borderId="5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0" fillId="2" borderId="0" xfId="0" applyNumberFormat="1" applyFont="1" applyBorder="1" applyAlignment="1">
      <alignment horizontal="left" vertical="center"/>
    </xf>
    <xf numFmtId="49" fontId="2" fillId="2" borderId="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5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4" fontId="0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0" fillId="0" borderId="0" xfId="0" applyNumberFormat="1" applyFont="1" applyAlignment="1">
      <alignment horizontal="right" vertical="center"/>
    </xf>
    <xf numFmtId="49" fontId="2" fillId="0" borderId="30" xfId="0" applyNumberFormat="1" applyFont="1" applyBorder="1" applyAlignment="1">
      <alignment horizontal="left" vertical="center"/>
    </xf>
    <xf numFmtId="0" fontId="1" fillId="0" borderId="33" xfId="0" applyFont="1" applyBorder="1" applyAlignment="1">
      <alignment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" fontId="2" fillId="2" borderId="34" xfId="0" applyNumberFormat="1" applyFont="1" applyBorder="1" applyAlignment="1">
      <alignment horizontal="right" vertical="center"/>
    </xf>
    <xf numFmtId="4" fontId="2" fillId="2" borderId="35" xfId="0" applyNumberFormat="1" applyFont="1" applyBorder="1" applyAlignment="1">
      <alignment horizontal="right" vertical="center"/>
    </xf>
    <xf numFmtId="4" fontId="0" fillId="0" borderId="3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4" fontId="2" fillId="2" borderId="36" xfId="0" applyNumberFormat="1" applyFont="1" applyBorder="1" applyAlignment="1">
      <alignment horizontal="right" vertical="center"/>
    </xf>
    <xf numFmtId="4" fontId="2" fillId="2" borderId="17" xfId="0" applyNumberFormat="1" applyFont="1" applyBorder="1" applyAlignment="1">
      <alignment horizontal="righ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14" fontId="0" fillId="0" borderId="9" xfId="0" applyNumberFormat="1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49" fontId="6" fillId="0" borderId="3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49" fontId="7" fillId="2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left" vertical="center"/>
    </xf>
    <xf numFmtId="0" fontId="1" fillId="0" borderId="42" xfId="0" applyFont="1" applyBorder="1" applyAlignment="1">
      <alignment vertical="center"/>
    </xf>
    <xf numFmtId="49" fontId="9" fillId="0" borderId="43" xfId="0" applyNumberFormat="1" applyFont="1" applyBorder="1" applyAlignment="1">
      <alignment horizontal="left" vertical="center"/>
    </xf>
    <xf numFmtId="49" fontId="10" fillId="0" borderId="40" xfId="0" applyNumberFormat="1" applyFont="1" applyBorder="1" applyAlignment="1">
      <alignment horizontal="left" vertical="center"/>
    </xf>
    <xf numFmtId="4" fontId="10" fillId="0" borderId="40" xfId="0" applyNumberFormat="1" applyFont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 vertical="center"/>
    </xf>
    <xf numFmtId="49" fontId="9" fillId="0" borderId="44" xfId="0" applyNumberFormat="1" applyFont="1" applyBorder="1" applyAlignment="1">
      <alignment horizontal="left" vertical="center"/>
    </xf>
    <xf numFmtId="49" fontId="10" fillId="0" borderId="40" xfId="0" applyNumberFormat="1" applyFont="1" applyBorder="1" applyAlignment="1">
      <alignment horizontal="right" vertical="center"/>
    </xf>
    <xf numFmtId="49" fontId="9" fillId="0" borderId="41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" fontId="10" fillId="0" borderId="27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9" fillId="2" borderId="41" xfId="0" applyNumberFormat="1" applyFont="1" applyBorder="1" applyAlignment="1">
      <alignment horizontal="left" vertical="center"/>
    </xf>
    <xf numFmtId="0" fontId="1" fillId="0" borderId="39" xfId="0" applyFont="1" applyBorder="1" applyAlignment="1">
      <alignment vertical="center"/>
    </xf>
    <xf numFmtId="4" fontId="9" fillId="2" borderId="42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49" fontId="10" fillId="0" borderId="35" xfId="0" applyNumberFormat="1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49" fontId="10" fillId="0" borderId="17" xfId="0" applyNumberFormat="1" applyFont="1" applyBorder="1" applyAlignment="1">
      <alignment horizontal="left" vertical="center"/>
    </xf>
    <xf numFmtId="0" fontId="1" fillId="0" borderId="36" xfId="0" applyFont="1" applyBorder="1" applyAlignment="1">
      <alignment vertical="center"/>
    </xf>
    <xf numFmtId="49" fontId="10" fillId="0" borderId="47" xfId="0" applyNumberFormat="1" applyFont="1" applyBorder="1" applyAlignment="1">
      <alignment horizontal="left" vertical="center"/>
    </xf>
    <xf numFmtId="0" fontId="1" fillId="0" borderId="48" xfId="0" applyFont="1" applyBorder="1" applyAlignment="1">
      <alignment vertical="center"/>
    </xf>
    <xf numFmtId="49" fontId="4" fillId="0" borderId="5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49" xfId="0" applyNumberFormat="1" applyFont="1" applyBorder="1" applyAlignment="1">
      <alignment horizontal="right" vertical="center"/>
    </xf>
    <xf numFmtId="49" fontId="0" fillId="0" borderId="41" xfId="0" applyNumberFormat="1" applyFont="1" applyBorder="1" applyAlignment="1">
      <alignment horizontal="left" vertical="center"/>
    </xf>
    <xf numFmtId="4" fontId="0" fillId="0" borderId="40" xfId="0" applyNumberFormat="1" applyFont="1" applyBorder="1" applyAlignment="1">
      <alignment horizontal="righ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50" xfId="0" applyNumberFormat="1" applyFont="1" applyBorder="1" applyAlignment="1">
      <alignment horizontal="left" vertical="center"/>
    </xf>
    <xf numFmtId="0" fontId="1" fillId="0" borderId="46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4" fontId="0" fillId="0" borderId="27" xfId="0" applyNumberFormat="1" applyFont="1" applyBorder="1" applyAlignment="1">
      <alignment horizontal="right" vertical="center"/>
    </xf>
    <xf numFmtId="49" fontId="0" fillId="0" borderId="27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49" fontId="9" fillId="0" borderId="52" xfId="0" applyNumberFormat="1" applyFont="1" applyBorder="1" applyAlignment="1">
      <alignment horizontal="left" vertical="center"/>
    </xf>
    <xf numFmtId="4" fontId="9" fillId="0" borderId="5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left" vertical="center"/>
    </xf>
    <xf numFmtId="4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/>
    </xf>
    <xf numFmtId="4" fontId="2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Q73"/>
  <sheetViews>
    <sheetView tabSelected="1" workbookViewId="0" topLeftCell="A1"/>
  </sheetViews>
  <sheetFormatPr defaultColWidth="14.421875" defaultRowHeight="15" customHeight="1"/>
  <cols>
    <col min="1" max="1" width="3.7109375" style="0" customWidth="1"/>
    <col min="2" max="2" width="6.8515625" style="0" customWidth="1"/>
    <col min="3" max="3" width="13.28125" style="0" customWidth="1"/>
    <col min="4" max="4" width="70.421875" style="0" customWidth="1"/>
    <col min="5" max="5" width="8.00390625" style="0" customWidth="1"/>
    <col min="6" max="6" width="12.710937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8.00390625" style="0" hidden="1" customWidth="1"/>
    <col min="15" max="43" width="9.7109375" style="0" hidden="1" customWidth="1"/>
  </cols>
  <sheetData>
    <row r="1" spans="1:13" ht="72.75" customHeight="1">
      <c r="A1" s="2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12.75" customHeight="1">
      <c r="A2" s="7" t="s">
        <v>14</v>
      </c>
      <c r="B2" s="8"/>
      <c r="C2" s="8"/>
      <c r="D2" s="10" t="s">
        <v>19</v>
      </c>
      <c r="E2" s="17" t="s">
        <v>27</v>
      </c>
      <c r="F2" s="8"/>
      <c r="G2" s="17" t="s">
        <v>28</v>
      </c>
      <c r="H2" s="8"/>
      <c r="I2" s="11" t="s">
        <v>20</v>
      </c>
      <c r="J2" s="11" t="s">
        <v>21</v>
      </c>
      <c r="K2" s="8"/>
      <c r="L2" s="8"/>
      <c r="M2" s="13"/>
      <c r="N2" s="5"/>
    </row>
    <row r="3" spans="1:14" ht="12.75" customHeight="1">
      <c r="A3" s="19"/>
      <c r="M3" s="22"/>
      <c r="N3" s="5"/>
    </row>
    <row r="4" spans="1:14" ht="12.75" customHeight="1">
      <c r="A4" s="24" t="s">
        <v>31</v>
      </c>
      <c r="D4" s="25" t="s">
        <v>35</v>
      </c>
      <c r="E4" s="14" t="s">
        <v>37</v>
      </c>
      <c r="G4" s="14" t="s">
        <v>15</v>
      </c>
      <c r="I4" s="25" t="s">
        <v>36</v>
      </c>
      <c r="J4" s="25"/>
      <c r="M4" s="22"/>
      <c r="N4" s="5"/>
    </row>
    <row r="5" spans="1:14" ht="12.75" customHeight="1">
      <c r="A5" s="19"/>
      <c r="M5" s="22"/>
      <c r="N5" s="5"/>
    </row>
    <row r="6" spans="1:14" ht="12.75" customHeight="1">
      <c r="A6" s="24" t="s">
        <v>41</v>
      </c>
      <c r="D6" s="25" t="s">
        <v>42</v>
      </c>
      <c r="E6" s="14" t="s">
        <v>44</v>
      </c>
      <c r="G6" s="26">
        <v>43707</v>
      </c>
      <c r="I6" s="25" t="s">
        <v>43</v>
      </c>
      <c r="J6" s="25"/>
      <c r="M6" s="22"/>
      <c r="N6" s="5"/>
    </row>
    <row r="7" spans="1:14" ht="12.75" customHeight="1">
      <c r="A7" s="19"/>
      <c r="M7" s="22"/>
      <c r="N7" s="5"/>
    </row>
    <row r="8" spans="1:14" ht="12.75" customHeight="1">
      <c r="A8" s="24" t="s">
        <v>53</v>
      </c>
      <c r="D8" s="25"/>
      <c r="E8" s="14" t="s">
        <v>48</v>
      </c>
      <c r="G8" s="26">
        <v>43607</v>
      </c>
      <c r="I8" s="25" t="s">
        <v>47</v>
      </c>
      <c r="J8" s="25"/>
      <c r="M8" s="22"/>
      <c r="N8" s="5"/>
    </row>
    <row r="9" spans="1:14" ht="12.7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5"/>
    </row>
    <row r="10" spans="1:14" ht="12.75" customHeight="1">
      <c r="A10" s="31" t="s">
        <v>0</v>
      </c>
      <c r="B10" s="33" t="s">
        <v>2</v>
      </c>
      <c r="C10" s="33" t="s">
        <v>3</v>
      </c>
      <c r="D10" s="33" t="s">
        <v>4</v>
      </c>
      <c r="E10" s="33" t="s">
        <v>5</v>
      </c>
      <c r="F10" s="35" t="s">
        <v>7</v>
      </c>
      <c r="G10" s="38" t="s">
        <v>71</v>
      </c>
      <c r="H10" s="40" t="s">
        <v>80</v>
      </c>
      <c r="I10" s="42"/>
      <c r="J10" s="44"/>
      <c r="K10" s="40" t="s">
        <v>90</v>
      </c>
      <c r="L10" s="44"/>
      <c r="M10" s="45" t="s">
        <v>91</v>
      </c>
      <c r="N10" s="37"/>
    </row>
    <row r="11" spans="1:24" ht="12.75" customHeight="1">
      <c r="A11" s="46" t="s">
        <v>15</v>
      </c>
      <c r="B11" s="47" t="s">
        <v>15</v>
      </c>
      <c r="C11" s="47" t="s">
        <v>15</v>
      </c>
      <c r="D11" s="48" t="s">
        <v>100</v>
      </c>
      <c r="E11" s="47" t="s">
        <v>15</v>
      </c>
      <c r="F11" s="47" t="s">
        <v>15</v>
      </c>
      <c r="G11" s="49" t="s">
        <v>107</v>
      </c>
      <c r="H11" s="50" t="s">
        <v>117</v>
      </c>
      <c r="I11" s="51" t="s">
        <v>118</v>
      </c>
      <c r="J11" s="52" t="s">
        <v>119</v>
      </c>
      <c r="K11" s="50" t="s">
        <v>71</v>
      </c>
      <c r="L11" s="52" t="s">
        <v>119</v>
      </c>
      <c r="M11" s="53" t="s">
        <v>123</v>
      </c>
      <c r="N11" s="37"/>
      <c r="P11" s="21" t="s">
        <v>127</v>
      </c>
      <c r="Q11" s="21" t="s">
        <v>129</v>
      </c>
      <c r="R11" s="21" t="s">
        <v>130</v>
      </c>
      <c r="S11" s="21" t="s">
        <v>131</v>
      </c>
      <c r="T11" s="21" t="s">
        <v>132</v>
      </c>
      <c r="U11" s="21" t="s">
        <v>133</v>
      </c>
      <c r="V11" s="21" t="s">
        <v>134</v>
      </c>
      <c r="W11" s="21" t="s">
        <v>135</v>
      </c>
      <c r="X11" s="21" t="s">
        <v>136</v>
      </c>
    </row>
    <row r="12" spans="1:37" ht="12.75" customHeight="1">
      <c r="A12" s="54"/>
      <c r="B12" s="6"/>
      <c r="C12" s="6" t="s">
        <v>16</v>
      </c>
      <c r="D12" s="56" t="s">
        <v>17</v>
      </c>
      <c r="E12" s="58"/>
      <c r="F12" s="58"/>
      <c r="G12" s="59"/>
      <c r="H12" s="12">
        <f aca="true" t="shared" si="0" ref="H12:I12">SUM(H13)</f>
        <v>0</v>
      </c>
      <c r="I12" s="12">
        <f t="shared" si="0"/>
        <v>0</v>
      </c>
      <c r="J12" s="12">
        <f>H12+I12</f>
        <v>0</v>
      </c>
      <c r="K12" s="9"/>
      <c r="L12" s="12">
        <f>SUM(L13)</f>
        <v>0.1556</v>
      </c>
      <c r="M12" s="9"/>
      <c r="P12" s="23">
        <f>IF(Q12="PR",J12,SUM(O13))</f>
        <v>0</v>
      </c>
      <c r="Q12" s="21" t="s">
        <v>149</v>
      </c>
      <c r="R12" s="23">
        <f>IF(Q12="HS",H12,0)</f>
        <v>0</v>
      </c>
      <c r="S12" s="23">
        <f>IF(Q12="HS",I12-P12,0)</f>
        <v>0</v>
      </c>
      <c r="T12" s="23">
        <f>IF(Q12="PS",H12,0)</f>
        <v>0</v>
      </c>
      <c r="U12" s="23">
        <f>IF(Q12="PS",I12-P12,0)</f>
        <v>0</v>
      </c>
      <c r="V12" s="23">
        <f>IF(Q12="MP",H12,0)</f>
        <v>0</v>
      </c>
      <c r="W12" s="23">
        <f>IF(Q12="MP",I12-P12,0)</f>
        <v>0</v>
      </c>
      <c r="X12" s="23">
        <f>IF(Q12="OM",H12,0)</f>
        <v>0</v>
      </c>
      <c r="Y12" s="21"/>
      <c r="AI12" s="23">
        <f aca="true" t="shared" si="1" ref="AI12:AK12">SUM(Z13)</f>
        <v>0</v>
      </c>
      <c r="AJ12" s="23">
        <f t="shared" si="1"/>
        <v>0</v>
      </c>
      <c r="AK12" s="23">
        <f t="shared" si="1"/>
        <v>0</v>
      </c>
    </row>
    <row r="13" spans="1:43" ht="12.75" customHeight="1">
      <c r="A13" s="14" t="s">
        <v>22</v>
      </c>
      <c r="B13" s="14"/>
      <c r="C13" s="14" t="s">
        <v>23</v>
      </c>
      <c r="D13" s="14" t="s">
        <v>24</v>
      </c>
      <c r="E13" s="14" t="s">
        <v>25</v>
      </c>
      <c r="F13" s="15">
        <v>4</v>
      </c>
      <c r="G13" s="15">
        <v>0</v>
      </c>
      <c r="H13" s="15">
        <f>F13*AE13</f>
        <v>0</v>
      </c>
      <c r="I13" s="15">
        <f>J13-H13</f>
        <v>0</v>
      </c>
      <c r="J13" s="15">
        <f>F13*G13</f>
        <v>0</v>
      </c>
      <c r="K13" s="15">
        <v>0.0389</v>
      </c>
      <c r="L13" s="15">
        <f>F13*K13</f>
        <v>0.1556</v>
      </c>
      <c r="M13" s="16" t="s">
        <v>164</v>
      </c>
      <c r="N13" s="16" t="s">
        <v>22</v>
      </c>
      <c r="O13" s="15">
        <f>IF(N13="5",I13,0)</f>
        <v>0</v>
      </c>
      <c r="Z13" s="15">
        <f>IF(AD13=0,J13,0)</f>
        <v>0</v>
      </c>
      <c r="AA13" s="15">
        <f>IF(AD13=15,J13,0)</f>
        <v>0</v>
      </c>
      <c r="AB13" s="15">
        <f>IF(AD13=21,J13,0)</f>
        <v>0</v>
      </c>
      <c r="AD13" s="15">
        <v>21</v>
      </c>
      <c r="AE13" s="15">
        <f>G13*0.69328</f>
        <v>0</v>
      </c>
      <c r="AF13" s="15">
        <f>G13*(1-0.69328)</f>
        <v>0</v>
      </c>
      <c r="AM13" s="15">
        <f>F13*AE13</f>
        <v>0</v>
      </c>
      <c r="AN13" s="15">
        <f>F13*AF13</f>
        <v>0</v>
      </c>
      <c r="AO13" s="16" t="s">
        <v>177</v>
      </c>
      <c r="AP13" s="16" t="s">
        <v>178</v>
      </c>
      <c r="AQ13" s="21" t="s">
        <v>179</v>
      </c>
    </row>
    <row r="14" spans="1:37" ht="12.75" customHeight="1">
      <c r="A14" s="60"/>
      <c r="B14" s="20"/>
      <c r="C14" s="20" t="s">
        <v>29</v>
      </c>
      <c r="D14" s="61" t="s">
        <v>30</v>
      </c>
      <c r="E14" s="63"/>
      <c r="F14" s="63"/>
      <c r="G14" s="64"/>
      <c r="H14" s="23">
        <f aca="true" t="shared" si="2" ref="H14:I14">SUM(H15:H16)</f>
        <v>0</v>
      </c>
      <c r="I14" s="23">
        <f t="shared" si="2"/>
        <v>0</v>
      </c>
      <c r="J14" s="23">
        <f>H14+I14</f>
        <v>0</v>
      </c>
      <c r="K14" s="21"/>
      <c r="L14" s="23">
        <f>SUM(L15:L16)</f>
        <v>5.0408</v>
      </c>
      <c r="M14" s="21"/>
      <c r="P14" s="23">
        <f>IF(Q14="PR",J14,SUM(O15:O16))</f>
        <v>0</v>
      </c>
      <c r="Q14" s="21" t="s">
        <v>149</v>
      </c>
      <c r="R14" s="23">
        <f>IF(Q14="HS",H14,0)</f>
        <v>0</v>
      </c>
      <c r="S14" s="23">
        <f>IF(Q14="HS",I14-P14,0)</f>
        <v>0</v>
      </c>
      <c r="T14" s="23">
        <f>IF(Q14="PS",H14,0)</f>
        <v>0</v>
      </c>
      <c r="U14" s="23">
        <f>IF(Q14="PS",I14-P14,0)</f>
        <v>0</v>
      </c>
      <c r="V14" s="23">
        <f>IF(Q14="MP",H14,0)</f>
        <v>0</v>
      </c>
      <c r="W14" s="23">
        <f>IF(Q14="MP",I14-P14,0)</f>
        <v>0</v>
      </c>
      <c r="X14" s="23">
        <f>IF(Q14="OM",H14,0)</f>
        <v>0</v>
      </c>
      <c r="Y14" s="21"/>
      <c r="AI14" s="23">
        <f aca="true" t="shared" si="3" ref="AI14:AK14">SUM(Z15:Z16)</f>
        <v>0</v>
      </c>
      <c r="AJ14" s="23">
        <f t="shared" si="3"/>
        <v>0</v>
      </c>
      <c r="AK14" s="23">
        <f t="shared" si="3"/>
        <v>0</v>
      </c>
    </row>
    <row r="15" spans="1:43" ht="12.75" customHeight="1">
      <c r="A15" s="14" t="s">
        <v>32</v>
      </c>
      <c r="B15" s="14"/>
      <c r="C15" s="14" t="s">
        <v>33</v>
      </c>
      <c r="D15" s="14" t="s">
        <v>34</v>
      </c>
      <c r="E15" s="14" t="s">
        <v>25</v>
      </c>
      <c r="F15" s="15">
        <v>485</v>
      </c>
      <c r="G15" s="15">
        <v>0</v>
      </c>
      <c r="H15" s="15">
        <f aca="true" t="shared" si="4" ref="H15:H16">F15*AE15</f>
        <v>0</v>
      </c>
      <c r="I15" s="15">
        <f aca="true" t="shared" si="5" ref="I15:I16">J15-H15</f>
        <v>0</v>
      </c>
      <c r="J15" s="15">
        <f aca="true" t="shared" si="6" ref="J15:J16">F15*G15</f>
        <v>0</v>
      </c>
      <c r="K15" s="15">
        <v>0.01038</v>
      </c>
      <c r="L15" s="15">
        <f aca="true" t="shared" si="7" ref="L15:L16">F15*K15</f>
        <v>5.0343</v>
      </c>
      <c r="M15" s="16" t="s">
        <v>164</v>
      </c>
      <c r="N15" s="16" t="s">
        <v>22</v>
      </c>
      <c r="O15" s="15">
        <f aca="true" t="shared" si="8" ref="O15:O16">IF(N15="5",I15,0)</f>
        <v>0</v>
      </c>
      <c r="Z15" s="15">
        <f aca="true" t="shared" si="9" ref="Z15:Z16">IF(AD15=0,J15,0)</f>
        <v>0</v>
      </c>
      <c r="AA15" s="15">
        <f aca="true" t="shared" si="10" ref="AA15:AA16">IF(AD15=15,J15,0)</f>
        <v>0</v>
      </c>
      <c r="AB15" s="15">
        <f aca="true" t="shared" si="11" ref="AB15:AB16">IF(AD15=21,J15,0)</f>
        <v>0</v>
      </c>
      <c r="AD15" s="15">
        <v>21</v>
      </c>
      <c r="AE15" s="15">
        <f>G15*0.277374470659407</f>
        <v>0</v>
      </c>
      <c r="AF15" s="15">
        <f>G15*(1-0.277374470659407)</f>
        <v>0</v>
      </c>
      <c r="AM15" s="15">
        <f aca="true" t="shared" si="12" ref="AM15:AM16">F15*AE15</f>
        <v>0</v>
      </c>
      <c r="AN15" s="15">
        <f aca="true" t="shared" si="13" ref="AN15:AN16">F15*AF15</f>
        <v>0</v>
      </c>
      <c r="AO15" s="16" t="s">
        <v>231</v>
      </c>
      <c r="AP15" s="16" t="s">
        <v>232</v>
      </c>
      <c r="AQ15" s="21" t="s">
        <v>179</v>
      </c>
    </row>
    <row r="16" spans="1:43" ht="12.75" customHeight="1">
      <c r="A16" s="14" t="s">
        <v>38</v>
      </c>
      <c r="B16" s="14"/>
      <c r="C16" s="14" t="s">
        <v>39</v>
      </c>
      <c r="D16" s="14" t="s">
        <v>40</v>
      </c>
      <c r="E16" s="14" t="s">
        <v>25</v>
      </c>
      <c r="F16" s="15">
        <v>650</v>
      </c>
      <c r="G16" s="15">
        <v>0</v>
      </c>
      <c r="H16" s="15">
        <f t="shared" si="4"/>
        <v>0</v>
      </c>
      <c r="I16" s="15">
        <f t="shared" si="5"/>
        <v>0</v>
      </c>
      <c r="J16" s="15">
        <f t="shared" si="6"/>
        <v>0</v>
      </c>
      <c r="K16" s="15">
        <v>1E-05</v>
      </c>
      <c r="L16" s="15">
        <f t="shared" si="7"/>
        <v>0.0065</v>
      </c>
      <c r="M16" s="16" t="s">
        <v>164</v>
      </c>
      <c r="N16" s="16" t="s">
        <v>22</v>
      </c>
      <c r="O16" s="15">
        <f t="shared" si="8"/>
        <v>0</v>
      </c>
      <c r="Z16" s="15">
        <f t="shared" si="9"/>
        <v>0</v>
      </c>
      <c r="AA16" s="15">
        <f t="shared" si="10"/>
        <v>0</v>
      </c>
      <c r="AB16" s="15">
        <f t="shared" si="11"/>
        <v>0</v>
      </c>
      <c r="AD16" s="15">
        <v>21</v>
      </c>
      <c r="AE16" s="15">
        <f>G16*0.501090909090909</f>
        <v>0</v>
      </c>
      <c r="AF16" s="15">
        <f>G16*(1-0.501090909090909)</f>
        <v>0</v>
      </c>
      <c r="AM16" s="15">
        <f t="shared" si="12"/>
        <v>0</v>
      </c>
      <c r="AN16" s="15">
        <f t="shared" si="13"/>
        <v>0</v>
      </c>
      <c r="AO16" s="16" t="s">
        <v>231</v>
      </c>
      <c r="AP16" s="16" t="s">
        <v>232</v>
      </c>
      <c r="AQ16" s="21" t="s">
        <v>179</v>
      </c>
    </row>
    <row r="17" spans="1:37" ht="12.75" customHeight="1">
      <c r="A17" s="60"/>
      <c r="B17" s="20"/>
      <c r="C17" s="20" t="s">
        <v>45</v>
      </c>
      <c r="D17" s="61" t="s">
        <v>46</v>
      </c>
      <c r="E17" s="63"/>
      <c r="F17" s="63"/>
      <c r="G17" s="64"/>
      <c r="H17" s="23">
        <f aca="true" t="shared" si="14" ref="H17:I17">SUM(H18)</f>
        <v>0</v>
      </c>
      <c r="I17" s="23">
        <f t="shared" si="14"/>
        <v>0</v>
      </c>
      <c r="J17" s="23">
        <f>H17+I17</f>
        <v>0</v>
      </c>
      <c r="K17" s="21"/>
      <c r="L17" s="23">
        <f>SUM(L18)</f>
        <v>0.00022</v>
      </c>
      <c r="M17" s="21"/>
      <c r="P17" s="23">
        <f>IF(Q17="PR",J17,SUM(O18))</f>
        <v>0</v>
      </c>
      <c r="Q17" s="21" t="s">
        <v>233</v>
      </c>
      <c r="R17" s="23">
        <f>IF(Q17="HS",H17,0)</f>
        <v>0</v>
      </c>
      <c r="S17" s="23">
        <f>IF(Q17="HS",I17-P17,0)</f>
        <v>0</v>
      </c>
      <c r="T17" s="23">
        <f>IF(Q17="PS",H17,0)</f>
        <v>0</v>
      </c>
      <c r="U17" s="23">
        <f>IF(Q17="PS",I17-P17,0)</f>
        <v>0</v>
      </c>
      <c r="V17" s="23">
        <f>IF(Q17="MP",H17,0)</f>
        <v>0</v>
      </c>
      <c r="W17" s="23">
        <f>IF(Q17="MP",I17-P17,0)</f>
        <v>0</v>
      </c>
      <c r="X17" s="23">
        <f>IF(Q17="OM",H17,0)</f>
        <v>0</v>
      </c>
      <c r="Y17" s="21"/>
      <c r="AI17" s="23">
        <f aca="true" t="shared" si="15" ref="AI17:AK17">SUM(Z18)</f>
        <v>0</v>
      </c>
      <c r="AJ17" s="23">
        <f t="shared" si="15"/>
        <v>0</v>
      </c>
      <c r="AK17" s="23">
        <f t="shared" si="15"/>
        <v>0</v>
      </c>
    </row>
    <row r="18" spans="1:43" ht="12.75" customHeight="1">
      <c r="A18" s="14" t="s">
        <v>49</v>
      </c>
      <c r="B18" s="14"/>
      <c r="C18" s="14" t="s">
        <v>50</v>
      </c>
      <c r="D18" s="14" t="s">
        <v>51</v>
      </c>
      <c r="E18" s="14" t="s">
        <v>52</v>
      </c>
      <c r="F18" s="15">
        <v>1</v>
      </c>
      <c r="G18" s="15">
        <v>0</v>
      </c>
      <c r="H18" s="15">
        <f>F18*AE18</f>
        <v>0</v>
      </c>
      <c r="I18" s="15">
        <f>J18-H18</f>
        <v>0</v>
      </c>
      <c r="J18" s="15">
        <f>F18*G18</f>
        <v>0</v>
      </c>
      <c r="K18" s="15">
        <v>0.00022</v>
      </c>
      <c r="L18" s="15">
        <f>F18*K18</f>
        <v>0.00022</v>
      </c>
      <c r="M18" s="16" t="s">
        <v>164</v>
      </c>
      <c r="N18" s="16" t="s">
        <v>22</v>
      </c>
      <c r="O18" s="15">
        <f>IF(N18="5",I18,0)</f>
        <v>0</v>
      </c>
      <c r="Z18" s="15">
        <f>IF(AD18=0,J18,0)</f>
        <v>0</v>
      </c>
      <c r="AA18" s="15">
        <f>IF(AD18=15,J18,0)</f>
        <v>0</v>
      </c>
      <c r="AB18" s="15">
        <f>IF(AD18=21,J18,0)</f>
        <v>0</v>
      </c>
      <c r="AD18" s="15">
        <v>21</v>
      </c>
      <c r="AE18" s="15">
        <f>G18*0.621751584677516</f>
        <v>0</v>
      </c>
      <c r="AF18" s="15">
        <f>G18*(1-0.621751584677516)</f>
        <v>0</v>
      </c>
      <c r="AM18" s="15">
        <f>F18*AE18</f>
        <v>0</v>
      </c>
      <c r="AN18" s="15">
        <f>F18*AF18</f>
        <v>0</v>
      </c>
      <c r="AO18" s="16" t="s">
        <v>236</v>
      </c>
      <c r="AP18" s="16" t="s">
        <v>237</v>
      </c>
      <c r="AQ18" s="21" t="s">
        <v>179</v>
      </c>
    </row>
    <row r="19" spans="1:37" ht="12.75" customHeight="1">
      <c r="A19" s="60"/>
      <c r="B19" s="20"/>
      <c r="C19" s="20" t="s">
        <v>54</v>
      </c>
      <c r="D19" s="61" t="s">
        <v>55</v>
      </c>
      <c r="E19" s="63"/>
      <c r="F19" s="63"/>
      <c r="G19" s="64"/>
      <c r="H19" s="23">
        <f aca="true" t="shared" si="16" ref="H19:I19">SUM(H20:H23)</f>
        <v>0</v>
      </c>
      <c r="I19" s="23">
        <f t="shared" si="16"/>
        <v>0</v>
      </c>
      <c r="J19" s="23">
        <f>H19+I19</f>
        <v>0</v>
      </c>
      <c r="K19" s="21"/>
      <c r="L19" s="23">
        <f>SUM(L20:L23)</f>
        <v>0.1498</v>
      </c>
      <c r="M19" s="21"/>
      <c r="P19" s="23">
        <f>IF(Q19="PR",J19,SUM(O20:O23))</f>
        <v>0</v>
      </c>
      <c r="Q19" s="21" t="s">
        <v>233</v>
      </c>
      <c r="R19" s="23">
        <f>IF(Q19="HS",H19,0)</f>
        <v>0</v>
      </c>
      <c r="S19" s="23">
        <f>IF(Q19="HS",I19-P19,0)</f>
        <v>0</v>
      </c>
      <c r="T19" s="23">
        <f>IF(Q19="PS",H19,0)</f>
        <v>0</v>
      </c>
      <c r="U19" s="23">
        <f>IF(Q19="PS",I19-P19,0)</f>
        <v>0</v>
      </c>
      <c r="V19" s="23">
        <f>IF(Q19="MP",H19,0)</f>
        <v>0</v>
      </c>
      <c r="W19" s="23">
        <f>IF(Q19="MP",I19-P19,0)</f>
        <v>0</v>
      </c>
      <c r="X19" s="23">
        <f>IF(Q19="OM",H19,0)</f>
        <v>0</v>
      </c>
      <c r="Y19" s="21"/>
      <c r="AI19" s="23">
        <f aca="true" t="shared" si="17" ref="AI19:AK19">SUM(Z20:Z23)</f>
        <v>0</v>
      </c>
      <c r="AJ19" s="23">
        <f t="shared" si="17"/>
        <v>0</v>
      </c>
      <c r="AK19" s="23">
        <f t="shared" si="17"/>
        <v>0</v>
      </c>
    </row>
    <row r="20" spans="1:43" ht="12.75" customHeight="1">
      <c r="A20" s="14" t="s">
        <v>56</v>
      </c>
      <c r="B20" s="14"/>
      <c r="C20" s="14" t="s">
        <v>57</v>
      </c>
      <c r="D20" s="14" t="s">
        <v>58</v>
      </c>
      <c r="E20" s="14" t="s">
        <v>59</v>
      </c>
      <c r="F20" s="15">
        <v>35</v>
      </c>
      <c r="G20" s="15">
        <v>0</v>
      </c>
      <c r="H20" s="15">
        <f aca="true" t="shared" si="18" ref="H20:H23">F20*AE20</f>
        <v>0</v>
      </c>
      <c r="I20" s="15">
        <f aca="true" t="shared" si="19" ref="I20:I23">J20-H20</f>
        <v>0</v>
      </c>
      <c r="J20" s="15">
        <f aca="true" t="shared" si="20" ref="J20:J23">F20*G20</f>
        <v>0</v>
      </c>
      <c r="K20" s="15">
        <v>0.004</v>
      </c>
      <c r="L20" s="15">
        <f aca="true" t="shared" si="21" ref="L20:L23">F20*K20</f>
        <v>0.14</v>
      </c>
      <c r="M20" s="16" t="s">
        <v>164</v>
      </c>
      <c r="N20" s="16" t="s">
        <v>22</v>
      </c>
      <c r="O20" s="15">
        <f aca="true" t="shared" si="22" ref="O20:O23">IF(N20="5",I20,0)</f>
        <v>0</v>
      </c>
      <c r="Z20" s="15">
        <f aca="true" t="shared" si="23" ref="Z20:Z23">IF(AD20=0,J20,0)</f>
        <v>0</v>
      </c>
      <c r="AA20" s="15">
        <f aca="true" t="shared" si="24" ref="AA20:AA23">IF(AD20=15,J20,0)</f>
        <v>0</v>
      </c>
      <c r="AB20" s="15">
        <f aca="true" t="shared" si="25" ref="AB20:AB23">IF(AD20=21,J20,0)</f>
        <v>0</v>
      </c>
      <c r="AD20" s="15">
        <v>21</v>
      </c>
      <c r="AE20" s="15">
        <f>G20*0.757929824561403</f>
        <v>0</v>
      </c>
      <c r="AF20" s="15">
        <f>G20*(1-0.757929824561403)</f>
        <v>0</v>
      </c>
      <c r="AM20" s="15">
        <f aca="true" t="shared" si="26" ref="AM20:AM23">F20*AE20</f>
        <v>0</v>
      </c>
      <c r="AN20" s="15">
        <f aca="true" t="shared" si="27" ref="AN20:AN23">F20*AF20</f>
        <v>0</v>
      </c>
      <c r="AO20" s="16" t="s">
        <v>242</v>
      </c>
      <c r="AP20" s="16" t="s">
        <v>237</v>
      </c>
      <c r="AQ20" s="21" t="s">
        <v>179</v>
      </c>
    </row>
    <row r="21" spans="1:43" ht="12.75" customHeight="1">
      <c r="A21" s="14" t="s">
        <v>60</v>
      </c>
      <c r="B21" s="14"/>
      <c r="C21" s="14" t="s">
        <v>61</v>
      </c>
      <c r="D21" s="14" t="s">
        <v>62</v>
      </c>
      <c r="E21" s="14" t="s">
        <v>63</v>
      </c>
      <c r="F21" s="15">
        <v>20</v>
      </c>
      <c r="G21" s="15">
        <v>0</v>
      </c>
      <c r="H21" s="15">
        <f t="shared" si="18"/>
        <v>0</v>
      </c>
      <c r="I21" s="15">
        <f t="shared" si="19"/>
        <v>0</v>
      </c>
      <c r="J21" s="15">
        <f t="shared" si="20"/>
        <v>0</v>
      </c>
      <c r="K21" s="15">
        <v>0</v>
      </c>
      <c r="L21" s="15">
        <f t="shared" si="21"/>
        <v>0</v>
      </c>
      <c r="M21" s="16" t="s">
        <v>164</v>
      </c>
      <c r="N21" s="16" t="s">
        <v>22</v>
      </c>
      <c r="O21" s="15">
        <f t="shared" si="22"/>
        <v>0</v>
      </c>
      <c r="Z21" s="15">
        <f t="shared" si="23"/>
        <v>0</v>
      </c>
      <c r="AA21" s="15">
        <f t="shared" si="24"/>
        <v>0</v>
      </c>
      <c r="AB21" s="15">
        <f t="shared" si="25"/>
        <v>0</v>
      </c>
      <c r="AD21" s="15">
        <v>21</v>
      </c>
      <c r="AE21" s="15">
        <f>G21*0</f>
        <v>0</v>
      </c>
      <c r="AF21" s="15">
        <f>G21*(1-0)</f>
        <v>0</v>
      </c>
      <c r="AM21" s="15">
        <f t="shared" si="26"/>
        <v>0</v>
      </c>
      <c r="AN21" s="15">
        <f t="shared" si="27"/>
        <v>0</v>
      </c>
      <c r="AO21" s="16" t="s">
        <v>242</v>
      </c>
      <c r="AP21" s="16" t="s">
        <v>237</v>
      </c>
      <c r="AQ21" s="21" t="s">
        <v>179</v>
      </c>
    </row>
    <row r="22" spans="1:43" ht="12.75" customHeight="1">
      <c r="A22" s="14" t="s">
        <v>65</v>
      </c>
      <c r="B22" s="14"/>
      <c r="C22" s="14" t="s">
        <v>66</v>
      </c>
      <c r="D22" s="14" t="s">
        <v>67</v>
      </c>
      <c r="E22" s="14" t="s">
        <v>59</v>
      </c>
      <c r="F22" s="15">
        <v>35</v>
      </c>
      <c r="G22" s="15">
        <v>0</v>
      </c>
      <c r="H22" s="15">
        <f t="shared" si="18"/>
        <v>0</v>
      </c>
      <c r="I22" s="15">
        <f t="shared" si="19"/>
        <v>0</v>
      </c>
      <c r="J22" s="15">
        <f t="shared" si="20"/>
        <v>0</v>
      </c>
      <c r="K22" s="15">
        <v>0.00028</v>
      </c>
      <c r="L22" s="15">
        <f t="shared" si="21"/>
        <v>0.0098</v>
      </c>
      <c r="M22" s="16" t="s">
        <v>164</v>
      </c>
      <c r="N22" s="16" t="s">
        <v>22</v>
      </c>
      <c r="O22" s="15">
        <f t="shared" si="22"/>
        <v>0</v>
      </c>
      <c r="Z22" s="15">
        <f t="shared" si="23"/>
        <v>0</v>
      </c>
      <c r="AA22" s="15">
        <f t="shared" si="24"/>
        <v>0</v>
      </c>
      <c r="AB22" s="15">
        <f t="shared" si="25"/>
        <v>0</v>
      </c>
      <c r="AD22" s="15">
        <v>21</v>
      </c>
      <c r="AE22" s="15">
        <f>G22*0.134392180818571</f>
        <v>0</v>
      </c>
      <c r="AF22" s="15">
        <f>G22*(1-0.134392180818571)</f>
        <v>0</v>
      </c>
      <c r="AM22" s="15">
        <f t="shared" si="26"/>
        <v>0</v>
      </c>
      <c r="AN22" s="15">
        <f t="shared" si="27"/>
        <v>0</v>
      </c>
      <c r="AO22" s="16" t="s">
        <v>242</v>
      </c>
      <c r="AP22" s="16" t="s">
        <v>237</v>
      </c>
      <c r="AQ22" s="21" t="s">
        <v>179</v>
      </c>
    </row>
    <row r="23" spans="1:43" ht="12.75" customHeight="1">
      <c r="A23" s="14" t="s">
        <v>72</v>
      </c>
      <c r="B23" s="14"/>
      <c r="C23" s="14" t="s">
        <v>73</v>
      </c>
      <c r="D23" s="14" t="s">
        <v>74</v>
      </c>
      <c r="E23" s="14" t="s">
        <v>52</v>
      </c>
      <c r="F23" s="15">
        <v>1</v>
      </c>
      <c r="G23" s="15">
        <v>0</v>
      </c>
      <c r="H23" s="15">
        <f t="shared" si="18"/>
        <v>0</v>
      </c>
      <c r="I23" s="15">
        <f t="shared" si="19"/>
        <v>0</v>
      </c>
      <c r="J23" s="15">
        <f t="shared" si="20"/>
        <v>0</v>
      </c>
      <c r="K23" s="15">
        <v>0</v>
      </c>
      <c r="L23" s="15">
        <f t="shared" si="21"/>
        <v>0</v>
      </c>
      <c r="M23" s="16" t="s">
        <v>164</v>
      </c>
      <c r="N23" s="16" t="s">
        <v>22</v>
      </c>
      <c r="O23" s="15">
        <f t="shared" si="22"/>
        <v>0</v>
      </c>
      <c r="Z23" s="15">
        <f t="shared" si="23"/>
        <v>0</v>
      </c>
      <c r="AA23" s="15">
        <f t="shared" si="24"/>
        <v>0</v>
      </c>
      <c r="AB23" s="15">
        <f t="shared" si="25"/>
        <v>0</v>
      </c>
      <c r="AD23" s="15">
        <v>21</v>
      </c>
      <c r="AE23" s="15">
        <f>G23*0.94609765625</f>
        <v>0</v>
      </c>
      <c r="AF23" s="15">
        <f>G23*(1-0.94609765625)</f>
        <v>0</v>
      </c>
      <c r="AM23" s="15">
        <f t="shared" si="26"/>
        <v>0</v>
      </c>
      <c r="AN23" s="15">
        <f t="shared" si="27"/>
        <v>0</v>
      </c>
      <c r="AO23" s="16" t="s">
        <v>242</v>
      </c>
      <c r="AP23" s="16" t="s">
        <v>237</v>
      </c>
      <c r="AQ23" s="21" t="s">
        <v>179</v>
      </c>
    </row>
    <row r="24" spans="1:37" ht="12.75" customHeight="1">
      <c r="A24" s="60"/>
      <c r="B24" s="20"/>
      <c r="C24" s="20" t="s">
        <v>75</v>
      </c>
      <c r="D24" s="61" t="s">
        <v>76</v>
      </c>
      <c r="E24" s="63"/>
      <c r="F24" s="63"/>
      <c r="G24" s="64"/>
      <c r="H24" s="23">
        <f aca="true" t="shared" si="28" ref="H24:I24">SUM(H25)</f>
        <v>0</v>
      </c>
      <c r="I24" s="23">
        <f t="shared" si="28"/>
        <v>0</v>
      </c>
      <c r="J24" s="23">
        <f>H24+I24</f>
        <v>0</v>
      </c>
      <c r="K24" s="21"/>
      <c r="L24" s="23">
        <f>SUM(L25)</f>
        <v>0.0004</v>
      </c>
      <c r="M24" s="21"/>
      <c r="P24" s="23">
        <f>IF(Q24="PR",J24,SUM(O25))</f>
        <v>0</v>
      </c>
      <c r="Q24" s="21" t="s">
        <v>233</v>
      </c>
      <c r="R24" s="23">
        <f>IF(Q24="HS",H24,0)</f>
        <v>0</v>
      </c>
      <c r="S24" s="23">
        <f>IF(Q24="HS",I24-P24,0)</f>
        <v>0</v>
      </c>
      <c r="T24" s="23">
        <f>IF(Q24="PS",H24,0)</f>
        <v>0</v>
      </c>
      <c r="U24" s="23">
        <f>IF(Q24="PS",I24-P24,0)</f>
        <v>0</v>
      </c>
      <c r="V24" s="23">
        <f>IF(Q24="MP",H24,0)</f>
        <v>0</v>
      </c>
      <c r="W24" s="23">
        <f>IF(Q24="MP",I24-P24,0)</f>
        <v>0</v>
      </c>
      <c r="X24" s="23">
        <f>IF(Q24="OM",H24,0)</f>
        <v>0</v>
      </c>
      <c r="Y24" s="21"/>
      <c r="AI24" s="23">
        <f aca="true" t="shared" si="29" ref="AI24:AK24">SUM(Z25)</f>
        <v>0</v>
      </c>
      <c r="AJ24" s="23">
        <f t="shared" si="29"/>
        <v>0</v>
      </c>
      <c r="AK24" s="23">
        <f t="shared" si="29"/>
        <v>0</v>
      </c>
    </row>
    <row r="25" spans="1:43" ht="12.75" customHeight="1">
      <c r="A25" s="14" t="s">
        <v>77</v>
      </c>
      <c r="B25" s="14"/>
      <c r="C25" s="14" t="s">
        <v>78</v>
      </c>
      <c r="D25" s="14" t="s">
        <v>79</v>
      </c>
      <c r="E25" s="14" t="s">
        <v>52</v>
      </c>
      <c r="F25" s="15">
        <v>1</v>
      </c>
      <c r="G25" s="15">
        <v>0</v>
      </c>
      <c r="H25" s="15">
        <f>F25*AE25</f>
        <v>0</v>
      </c>
      <c r="I25" s="15">
        <f>J25-H25</f>
        <v>0</v>
      </c>
      <c r="J25" s="15">
        <f>F25*G25</f>
        <v>0</v>
      </c>
      <c r="K25" s="15">
        <v>0.0004</v>
      </c>
      <c r="L25" s="15">
        <f>F25*K25</f>
        <v>0.0004</v>
      </c>
      <c r="M25" s="16" t="s">
        <v>164</v>
      </c>
      <c r="N25" s="16" t="s">
        <v>22</v>
      </c>
      <c r="O25" s="15">
        <f>IF(N25="5",I25,0)</f>
        <v>0</v>
      </c>
      <c r="Z25" s="15">
        <f>IF(AD25=0,J25,0)</f>
        <v>0</v>
      </c>
      <c r="AA25" s="15">
        <f>IF(AD25=15,J25,0)</f>
        <v>0</v>
      </c>
      <c r="AB25" s="15">
        <f>IF(AD25=21,J25,0)</f>
        <v>0</v>
      </c>
      <c r="AD25" s="15">
        <v>21</v>
      </c>
      <c r="AE25" s="15">
        <f>G25*0.497079408934653</f>
        <v>0</v>
      </c>
      <c r="AF25" s="15">
        <f>G25*(1-0.497079408934653)</f>
        <v>0</v>
      </c>
      <c r="AM25" s="15">
        <f>F25*AE25</f>
        <v>0</v>
      </c>
      <c r="AN25" s="15">
        <f>F25*AF25</f>
        <v>0</v>
      </c>
      <c r="AO25" s="16" t="s">
        <v>253</v>
      </c>
      <c r="AP25" s="16" t="s">
        <v>237</v>
      </c>
      <c r="AQ25" s="21" t="s">
        <v>179</v>
      </c>
    </row>
    <row r="26" spans="1:37" ht="12.75" customHeight="1">
      <c r="A26" s="60"/>
      <c r="B26" s="20"/>
      <c r="C26" s="20" t="s">
        <v>81</v>
      </c>
      <c r="D26" s="61" t="s">
        <v>82</v>
      </c>
      <c r="E26" s="63"/>
      <c r="F26" s="63"/>
      <c r="G26" s="64"/>
      <c r="H26" s="23">
        <f aca="true" t="shared" si="30" ref="H26:I26">SUM(H27:H31)</f>
        <v>0</v>
      </c>
      <c r="I26" s="23">
        <f t="shared" si="30"/>
        <v>0</v>
      </c>
      <c r="J26" s="23">
        <f>H26+I26</f>
        <v>0</v>
      </c>
      <c r="K26" s="21"/>
      <c r="L26" s="23">
        <f>SUM(L27:L31)</f>
        <v>0.1227</v>
      </c>
      <c r="M26" s="21"/>
      <c r="P26" s="23">
        <f>IF(Q26="PR",J26,SUM(O27:O31))</f>
        <v>0</v>
      </c>
      <c r="Q26" s="21" t="s">
        <v>233</v>
      </c>
      <c r="R26" s="23">
        <f>IF(Q26="HS",H26,0)</f>
        <v>0</v>
      </c>
      <c r="S26" s="23">
        <f>IF(Q26="HS",I26-P26,0)</f>
        <v>0</v>
      </c>
      <c r="T26" s="23">
        <f>IF(Q26="PS",H26,0)</f>
        <v>0</v>
      </c>
      <c r="U26" s="23">
        <f>IF(Q26="PS",I26-P26,0)</f>
        <v>0</v>
      </c>
      <c r="V26" s="23">
        <f>IF(Q26="MP",H26,0)</f>
        <v>0</v>
      </c>
      <c r="W26" s="23">
        <f>IF(Q26="MP",I26-P26,0)</f>
        <v>0</v>
      </c>
      <c r="X26" s="23">
        <f>IF(Q26="OM",H26,0)</f>
        <v>0</v>
      </c>
      <c r="Y26" s="21"/>
      <c r="AI26" s="23">
        <f aca="true" t="shared" si="31" ref="AI26:AK26">SUM(Z27:Z31)</f>
        <v>0</v>
      </c>
      <c r="AJ26" s="23">
        <f t="shared" si="31"/>
        <v>0</v>
      </c>
      <c r="AK26" s="23">
        <f t="shared" si="31"/>
        <v>0</v>
      </c>
    </row>
    <row r="27" spans="1:43" ht="12.75" customHeight="1">
      <c r="A27" s="14" t="s">
        <v>83</v>
      </c>
      <c r="B27" s="14"/>
      <c r="C27" s="14" t="s">
        <v>84</v>
      </c>
      <c r="D27" s="14" t="s">
        <v>85</v>
      </c>
      <c r="E27" s="14" t="s">
        <v>52</v>
      </c>
      <c r="F27" s="15">
        <v>6</v>
      </c>
      <c r="G27" s="15">
        <v>0</v>
      </c>
      <c r="H27" s="15">
        <f aca="true" t="shared" si="32" ref="H27:H31">F27*AE27</f>
        <v>0</v>
      </c>
      <c r="I27" s="15">
        <f aca="true" t="shared" si="33" ref="I27:I31">J27-H27</f>
        <v>0</v>
      </c>
      <c r="J27" s="15">
        <f aca="true" t="shared" si="34" ref="J27:J31">F27*G27</f>
        <v>0</v>
      </c>
      <c r="K27" s="15">
        <v>0.00095</v>
      </c>
      <c r="L27" s="15">
        <f aca="true" t="shared" si="35" ref="L27:L31">F27*K27</f>
        <v>0.0057</v>
      </c>
      <c r="M27" s="16" t="s">
        <v>164</v>
      </c>
      <c r="N27" s="16" t="s">
        <v>22</v>
      </c>
      <c r="O27" s="15">
        <f aca="true" t="shared" si="36" ref="O27:O31">IF(N27="5",I27,0)</f>
        <v>0</v>
      </c>
      <c r="Z27" s="15">
        <f aca="true" t="shared" si="37" ref="Z27:Z31">IF(AD27=0,J27,0)</f>
        <v>0</v>
      </c>
      <c r="AA27" s="15">
        <f aca="true" t="shared" si="38" ref="AA27:AA31">IF(AD27=15,J27,0)</f>
        <v>0</v>
      </c>
      <c r="AB27" s="15">
        <f aca="true" t="shared" si="39" ref="AB27:AB31">IF(AD27=21,J27,0)</f>
        <v>0</v>
      </c>
      <c r="AD27" s="15">
        <v>21</v>
      </c>
      <c r="AE27" s="15">
        <f>G27*0.0722</f>
        <v>0</v>
      </c>
      <c r="AF27" s="15">
        <f>G27*(1-0.0722)</f>
        <v>0</v>
      </c>
      <c r="AM27" s="15">
        <f aca="true" t="shared" si="40" ref="AM27:AM31">F27*AE27</f>
        <v>0</v>
      </c>
      <c r="AN27" s="15">
        <f aca="true" t="shared" si="41" ref="AN27:AN31">F27*AF27</f>
        <v>0</v>
      </c>
      <c r="AO27" s="16" t="s">
        <v>264</v>
      </c>
      <c r="AP27" s="16" t="s">
        <v>237</v>
      </c>
      <c r="AQ27" s="21" t="s">
        <v>179</v>
      </c>
    </row>
    <row r="28" spans="1:43" ht="12.75" customHeight="1">
      <c r="A28" s="14" t="s">
        <v>87</v>
      </c>
      <c r="B28" s="14"/>
      <c r="C28" s="14" t="s">
        <v>88</v>
      </c>
      <c r="D28" s="14" t="s">
        <v>89</v>
      </c>
      <c r="E28" s="14" t="s">
        <v>63</v>
      </c>
      <c r="F28" s="15">
        <v>6</v>
      </c>
      <c r="G28" s="15">
        <v>0</v>
      </c>
      <c r="H28" s="15">
        <f t="shared" si="32"/>
        <v>0</v>
      </c>
      <c r="I28" s="15">
        <f t="shared" si="33"/>
        <v>0</v>
      </c>
      <c r="J28" s="15">
        <f t="shared" si="34"/>
        <v>0</v>
      </c>
      <c r="K28" s="15">
        <v>0.001</v>
      </c>
      <c r="L28" s="15">
        <f t="shared" si="35"/>
        <v>0.006</v>
      </c>
      <c r="M28" s="16" t="s">
        <v>164</v>
      </c>
      <c r="N28" s="16" t="s">
        <v>22</v>
      </c>
      <c r="O28" s="15">
        <f t="shared" si="36"/>
        <v>0</v>
      </c>
      <c r="Z28" s="15">
        <f t="shared" si="37"/>
        <v>0</v>
      </c>
      <c r="AA28" s="15">
        <f t="shared" si="38"/>
        <v>0</v>
      </c>
      <c r="AB28" s="15">
        <f t="shared" si="39"/>
        <v>0</v>
      </c>
      <c r="AD28" s="15">
        <v>21</v>
      </c>
      <c r="AE28" s="15">
        <f>G28*0.825253333333333</f>
        <v>0</v>
      </c>
      <c r="AF28" s="15">
        <f>G28*(1-0.825253333333333)</f>
        <v>0</v>
      </c>
      <c r="AM28" s="15">
        <f t="shared" si="40"/>
        <v>0</v>
      </c>
      <c r="AN28" s="15">
        <f t="shared" si="41"/>
        <v>0</v>
      </c>
      <c r="AO28" s="16" t="s">
        <v>264</v>
      </c>
      <c r="AP28" s="16" t="s">
        <v>237</v>
      </c>
      <c r="AQ28" s="21" t="s">
        <v>179</v>
      </c>
    </row>
    <row r="29" spans="1:43" ht="12.75" customHeight="1">
      <c r="A29" s="14" t="s">
        <v>92</v>
      </c>
      <c r="B29" s="14"/>
      <c r="C29" s="14" t="s">
        <v>93</v>
      </c>
      <c r="D29" s="14" t="s">
        <v>94</v>
      </c>
      <c r="E29" s="14" t="s">
        <v>63</v>
      </c>
      <c r="F29" s="15">
        <v>6</v>
      </c>
      <c r="G29" s="15">
        <v>0</v>
      </c>
      <c r="H29" s="15">
        <f t="shared" si="32"/>
        <v>0</v>
      </c>
      <c r="I29" s="15">
        <f t="shared" si="33"/>
        <v>0</v>
      </c>
      <c r="J29" s="15">
        <f t="shared" si="34"/>
        <v>0</v>
      </c>
      <c r="K29" s="15">
        <v>0.01651</v>
      </c>
      <c r="L29" s="15">
        <f t="shared" si="35"/>
        <v>0.09906</v>
      </c>
      <c r="M29" s="16" t="s">
        <v>164</v>
      </c>
      <c r="N29" s="16" t="s">
        <v>22</v>
      </c>
      <c r="O29" s="15">
        <f t="shared" si="36"/>
        <v>0</v>
      </c>
      <c r="Z29" s="15">
        <f t="shared" si="37"/>
        <v>0</v>
      </c>
      <c r="AA29" s="15">
        <f t="shared" si="38"/>
        <v>0</v>
      </c>
      <c r="AB29" s="15">
        <f t="shared" si="39"/>
        <v>0</v>
      </c>
      <c r="AD29" s="15">
        <v>21</v>
      </c>
      <c r="AE29" s="15">
        <f>G29*0.699406896551724</f>
        <v>0</v>
      </c>
      <c r="AF29" s="15">
        <f>G29*(1-0.699406896551724)</f>
        <v>0</v>
      </c>
      <c r="AM29" s="15">
        <f t="shared" si="40"/>
        <v>0</v>
      </c>
      <c r="AN29" s="15">
        <f t="shared" si="41"/>
        <v>0</v>
      </c>
      <c r="AO29" s="16" t="s">
        <v>264</v>
      </c>
      <c r="AP29" s="16" t="s">
        <v>237</v>
      </c>
      <c r="AQ29" s="21" t="s">
        <v>179</v>
      </c>
    </row>
    <row r="30" spans="1:43" ht="12.75" customHeight="1">
      <c r="A30" s="14" t="s">
        <v>97</v>
      </c>
      <c r="B30" s="14"/>
      <c r="C30" s="14" t="s">
        <v>98</v>
      </c>
      <c r="D30" s="14" t="s">
        <v>99</v>
      </c>
      <c r="E30" s="14" t="s">
        <v>63</v>
      </c>
      <c r="F30" s="15">
        <v>6</v>
      </c>
      <c r="G30" s="15">
        <v>0</v>
      </c>
      <c r="H30" s="15">
        <f t="shared" si="32"/>
        <v>0</v>
      </c>
      <c r="I30" s="15">
        <f t="shared" si="33"/>
        <v>0</v>
      </c>
      <c r="J30" s="15">
        <f t="shared" si="34"/>
        <v>0</v>
      </c>
      <c r="K30" s="15">
        <v>0.00199</v>
      </c>
      <c r="L30" s="15">
        <f t="shared" si="35"/>
        <v>0.01194</v>
      </c>
      <c r="M30" s="16" t="s">
        <v>164</v>
      </c>
      <c r="N30" s="16" t="s">
        <v>22</v>
      </c>
      <c r="O30" s="15">
        <f t="shared" si="36"/>
        <v>0</v>
      </c>
      <c r="Z30" s="15">
        <f t="shared" si="37"/>
        <v>0</v>
      </c>
      <c r="AA30" s="15">
        <f t="shared" si="38"/>
        <v>0</v>
      </c>
      <c r="AB30" s="15">
        <f t="shared" si="39"/>
        <v>0</v>
      </c>
      <c r="AD30" s="15">
        <v>21</v>
      </c>
      <c r="AE30" s="15">
        <f>G30*0.538541176470588</f>
        <v>0</v>
      </c>
      <c r="AF30" s="15">
        <f>G30*(1-0.538541176470588)</f>
        <v>0</v>
      </c>
      <c r="AM30" s="15">
        <f t="shared" si="40"/>
        <v>0</v>
      </c>
      <c r="AN30" s="15">
        <f t="shared" si="41"/>
        <v>0</v>
      </c>
      <c r="AO30" s="16" t="s">
        <v>264</v>
      </c>
      <c r="AP30" s="16" t="s">
        <v>237</v>
      </c>
      <c r="AQ30" s="21" t="s">
        <v>179</v>
      </c>
    </row>
    <row r="31" spans="1:43" ht="12.75" customHeight="1">
      <c r="A31" s="14" t="s">
        <v>112</v>
      </c>
      <c r="B31" s="14"/>
      <c r="C31" s="14" t="s">
        <v>113</v>
      </c>
      <c r="D31" s="14" t="s">
        <v>114</v>
      </c>
      <c r="E31" s="14" t="s">
        <v>63</v>
      </c>
      <c r="F31" s="15">
        <v>6</v>
      </c>
      <c r="G31" s="15">
        <v>0</v>
      </c>
      <c r="H31" s="15">
        <f t="shared" si="32"/>
        <v>0</v>
      </c>
      <c r="I31" s="15">
        <f t="shared" si="33"/>
        <v>0</v>
      </c>
      <c r="J31" s="15">
        <f t="shared" si="34"/>
        <v>0</v>
      </c>
      <c r="K31" s="15">
        <v>0</v>
      </c>
      <c r="L31" s="15">
        <f t="shared" si="35"/>
        <v>0</v>
      </c>
      <c r="M31" s="16" t="s">
        <v>164</v>
      </c>
      <c r="N31" s="16" t="s">
        <v>22</v>
      </c>
      <c r="O31" s="15">
        <f t="shared" si="36"/>
        <v>0</v>
      </c>
      <c r="Z31" s="15">
        <f t="shared" si="37"/>
        <v>0</v>
      </c>
      <c r="AA31" s="15">
        <f t="shared" si="38"/>
        <v>0</v>
      </c>
      <c r="AB31" s="15">
        <f t="shared" si="39"/>
        <v>0</v>
      </c>
      <c r="AD31" s="15">
        <v>21</v>
      </c>
      <c r="AE31" s="15">
        <f>G31*0.904443661971831</f>
        <v>0</v>
      </c>
      <c r="AF31" s="15">
        <f>G31*(1-0.904443661971831)</f>
        <v>0</v>
      </c>
      <c r="AM31" s="15">
        <f t="shared" si="40"/>
        <v>0</v>
      </c>
      <c r="AN31" s="15">
        <f t="shared" si="41"/>
        <v>0</v>
      </c>
      <c r="AO31" s="16" t="s">
        <v>264</v>
      </c>
      <c r="AP31" s="16" t="s">
        <v>237</v>
      </c>
      <c r="AQ31" s="21" t="s">
        <v>179</v>
      </c>
    </row>
    <row r="32" spans="1:37" ht="12.75" customHeight="1">
      <c r="A32" s="60"/>
      <c r="B32" s="20"/>
      <c r="C32" s="20" t="s">
        <v>95</v>
      </c>
      <c r="D32" s="61" t="s">
        <v>96</v>
      </c>
      <c r="E32" s="63"/>
      <c r="F32" s="63"/>
      <c r="G32" s="64"/>
      <c r="H32" s="23">
        <f aca="true" t="shared" si="42" ref="H32:I32">SUM(H33:H34)</f>
        <v>0</v>
      </c>
      <c r="I32" s="23">
        <f t="shared" si="42"/>
        <v>0</v>
      </c>
      <c r="J32" s="23">
        <f>H32+I32</f>
        <v>0</v>
      </c>
      <c r="K32" s="21"/>
      <c r="L32" s="23">
        <f>SUM(L33:L34)</f>
        <v>0.0028</v>
      </c>
      <c r="M32" s="21"/>
      <c r="P32" s="23">
        <f>IF(Q32="PR",J32,SUM(O33:O34))</f>
        <v>0</v>
      </c>
      <c r="Q32" s="21" t="s">
        <v>233</v>
      </c>
      <c r="R32" s="23">
        <f>IF(Q32="HS",H32,0)</f>
        <v>0</v>
      </c>
      <c r="S32" s="23">
        <f>IF(Q32="HS",I32-P32,0)</f>
        <v>0</v>
      </c>
      <c r="T32" s="23">
        <f>IF(Q32="PS",H32,0)</f>
        <v>0</v>
      </c>
      <c r="U32" s="23">
        <f>IF(Q32="PS",I32-P32,0)</f>
        <v>0</v>
      </c>
      <c r="V32" s="23">
        <f>IF(Q32="MP",H32,0)</f>
        <v>0</v>
      </c>
      <c r="W32" s="23">
        <f>IF(Q32="MP",I32-P32,0)</f>
        <v>0</v>
      </c>
      <c r="X32" s="23">
        <f>IF(Q32="OM",H32,0)</f>
        <v>0</v>
      </c>
      <c r="Y32" s="21"/>
      <c r="AI32" s="23">
        <f aca="true" t="shared" si="43" ref="AI32:AK32">SUM(Z33:Z34)</f>
        <v>0</v>
      </c>
      <c r="AJ32" s="23">
        <f t="shared" si="43"/>
        <v>0</v>
      </c>
      <c r="AK32" s="23">
        <f t="shared" si="43"/>
        <v>0</v>
      </c>
    </row>
    <row r="33" spans="1:43" ht="12.75" customHeight="1">
      <c r="A33" s="14" t="s">
        <v>120</v>
      </c>
      <c r="B33" s="14"/>
      <c r="C33" s="14" t="s">
        <v>121</v>
      </c>
      <c r="D33" s="14" t="s">
        <v>122</v>
      </c>
      <c r="E33" s="14" t="s">
        <v>63</v>
      </c>
      <c r="F33" s="15">
        <v>10</v>
      </c>
      <c r="G33" s="15">
        <v>0</v>
      </c>
      <c r="H33" s="15">
        <f aca="true" t="shared" si="44" ref="H33:H34">F33*AE33</f>
        <v>0</v>
      </c>
      <c r="I33" s="15">
        <f aca="true" t="shared" si="45" ref="I33:I34">J33-H33</f>
        <v>0</v>
      </c>
      <c r="J33" s="15">
        <f aca="true" t="shared" si="46" ref="J33:J34">F33*G33</f>
        <v>0</v>
      </c>
      <c r="K33" s="15">
        <v>0.00028</v>
      </c>
      <c r="L33" s="15">
        <f aca="true" t="shared" si="47" ref="L33:L34">F33*K33</f>
        <v>0.0028</v>
      </c>
      <c r="M33" s="16" t="s">
        <v>164</v>
      </c>
      <c r="N33" s="16" t="s">
        <v>22</v>
      </c>
      <c r="O33" s="15">
        <f aca="true" t="shared" si="48" ref="O33:O34">IF(N33="5",I33,0)</f>
        <v>0</v>
      </c>
      <c r="Z33" s="15">
        <f aca="true" t="shared" si="49" ref="Z33:Z34">IF(AD33=0,J33,0)</f>
        <v>0</v>
      </c>
      <c r="AA33" s="15">
        <f aca="true" t="shared" si="50" ref="AA33:AA34">IF(AD33=15,J33,0)</f>
        <v>0</v>
      </c>
      <c r="AB33" s="15">
        <f aca="true" t="shared" si="51" ref="AB33:AB34">IF(AD33=21,J33,0)</f>
        <v>0</v>
      </c>
      <c r="AD33" s="15">
        <v>21</v>
      </c>
      <c r="AE33" s="15">
        <f>G33*0.653757575757576</f>
        <v>0</v>
      </c>
      <c r="AF33" s="15">
        <f>G33*(1-0.653757575757576)</f>
        <v>0</v>
      </c>
      <c r="AM33" s="15">
        <f aca="true" t="shared" si="52" ref="AM33:AM34">F33*AE33</f>
        <v>0</v>
      </c>
      <c r="AN33" s="15">
        <f aca="true" t="shared" si="53" ref="AN33:AN34">F33*AF33</f>
        <v>0</v>
      </c>
      <c r="AO33" s="16" t="s">
        <v>278</v>
      </c>
      <c r="AP33" s="16" t="s">
        <v>279</v>
      </c>
      <c r="AQ33" s="21" t="s">
        <v>179</v>
      </c>
    </row>
    <row r="34" spans="1:43" ht="12.75" customHeight="1">
      <c r="A34" s="14" t="s">
        <v>140</v>
      </c>
      <c r="B34" s="14"/>
      <c r="C34" s="14" t="s">
        <v>141</v>
      </c>
      <c r="D34" s="14" t="s">
        <v>142</v>
      </c>
      <c r="E34" s="14" t="s">
        <v>59</v>
      </c>
      <c r="F34" s="15">
        <v>18.5</v>
      </c>
      <c r="G34" s="15">
        <v>0</v>
      </c>
      <c r="H34" s="15">
        <f t="shared" si="44"/>
        <v>0</v>
      </c>
      <c r="I34" s="15">
        <f t="shared" si="45"/>
        <v>0</v>
      </c>
      <c r="J34" s="15">
        <f t="shared" si="46"/>
        <v>0</v>
      </c>
      <c r="K34" s="15">
        <v>0</v>
      </c>
      <c r="L34" s="15">
        <f t="shared" si="47"/>
        <v>0</v>
      </c>
      <c r="M34" s="16" t="s">
        <v>164</v>
      </c>
      <c r="N34" s="16" t="s">
        <v>22</v>
      </c>
      <c r="O34" s="15">
        <f t="shared" si="48"/>
        <v>0</v>
      </c>
      <c r="Z34" s="15">
        <f t="shared" si="49"/>
        <v>0</v>
      </c>
      <c r="AA34" s="15">
        <f t="shared" si="50"/>
        <v>0</v>
      </c>
      <c r="AB34" s="15">
        <f t="shared" si="51"/>
        <v>0</v>
      </c>
      <c r="AD34" s="15">
        <v>21</v>
      </c>
      <c r="AE34" s="15">
        <f>G34*0.479488463858193</f>
        <v>0</v>
      </c>
      <c r="AF34" s="15">
        <f>G34*(1-0.479488463858193)</f>
        <v>0</v>
      </c>
      <c r="AM34" s="15">
        <f t="shared" si="52"/>
        <v>0</v>
      </c>
      <c r="AN34" s="15">
        <f t="shared" si="53"/>
        <v>0</v>
      </c>
      <c r="AO34" s="16" t="s">
        <v>278</v>
      </c>
      <c r="AP34" s="16" t="s">
        <v>279</v>
      </c>
      <c r="AQ34" s="21" t="s">
        <v>179</v>
      </c>
    </row>
    <row r="35" spans="1:37" ht="12.75" customHeight="1">
      <c r="A35" s="60"/>
      <c r="B35" s="20"/>
      <c r="C35" s="20" t="s">
        <v>101</v>
      </c>
      <c r="D35" s="61" t="s">
        <v>102</v>
      </c>
      <c r="E35" s="63"/>
      <c r="F35" s="63"/>
      <c r="G35" s="64"/>
      <c r="H35" s="23">
        <f aca="true" t="shared" si="54" ref="H35:I35">SUM(H36:H40)</f>
        <v>0</v>
      </c>
      <c r="I35" s="23">
        <f t="shared" si="54"/>
        <v>0</v>
      </c>
      <c r="J35" s="23">
        <f>H35+I35</f>
        <v>0</v>
      </c>
      <c r="K35" s="21"/>
      <c r="L35" s="23">
        <f>SUM(L36:L40)</f>
        <v>0.14817</v>
      </c>
      <c r="M35" s="21"/>
      <c r="P35" s="23">
        <f>IF(Q35="PR",J35,SUM(O36:O40))</f>
        <v>0</v>
      </c>
      <c r="Q35" s="21" t="s">
        <v>233</v>
      </c>
      <c r="R35" s="23">
        <f>IF(Q35="HS",H35,0)</f>
        <v>0</v>
      </c>
      <c r="S35" s="23">
        <f>IF(Q35="HS",I35-P35,0)</f>
        <v>0</v>
      </c>
      <c r="T35" s="23">
        <f>IF(Q35="PS",H35,0)</f>
        <v>0</v>
      </c>
      <c r="U35" s="23">
        <f>IF(Q35="PS",I35-P35,0)</f>
        <v>0</v>
      </c>
      <c r="V35" s="23">
        <f>IF(Q35="MP",H35,0)</f>
        <v>0</v>
      </c>
      <c r="W35" s="23">
        <f>IF(Q35="MP",I35-P35,0)</f>
        <v>0</v>
      </c>
      <c r="X35" s="23">
        <f>IF(Q35="OM",H35,0)</f>
        <v>0</v>
      </c>
      <c r="Y35" s="21"/>
      <c r="AI35" s="23">
        <f aca="true" t="shared" si="55" ref="AI35:AK35">SUM(Z36:Z40)</f>
        <v>0</v>
      </c>
      <c r="AJ35" s="23">
        <f t="shared" si="55"/>
        <v>0</v>
      </c>
      <c r="AK35" s="23">
        <f t="shared" si="55"/>
        <v>0</v>
      </c>
    </row>
    <row r="36" spans="1:43" ht="12.75" customHeight="1">
      <c r="A36" s="14" t="s">
        <v>143</v>
      </c>
      <c r="B36" s="14"/>
      <c r="C36" s="14" t="s">
        <v>144</v>
      </c>
      <c r="D36" s="14" t="s">
        <v>145</v>
      </c>
      <c r="E36" s="14" t="s">
        <v>25</v>
      </c>
      <c r="F36" s="15">
        <v>120</v>
      </c>
      <c r="G36" s="15">
        <v>0</v>
      </c>
      <c r="H36" s="15">
        <f aca="true" t="shared" si="56" ref="H36:H40">F36*AE36</f>
        <v>0</v>
      </c>
      <c r="I36" s="15">
        <f aca="true" t="shared" si="57" ref="I36:I40">J36-H36</f>
        <v>0</v>
      </c>
      <c r="J36" s="15">
        <f aca="true" t="shared" si="58" ref="J36:J40">F36*G36</f>
        <v>0</v>
      </c>
      <c r="K36" s="15">
        <v>1E-05</v>
      </c>
      <c r="L36" s="15">
        <f aca="true" t="shared" si="59" ref="L36:L40">F36*K36</f>
        <v>0.0012</v>
      </c>
      <c r="M36" s="16" t="s">
        <v>164</v>
      </c>
      <c r="N36" s="16" t="s">
        <v>22</v>
      </c>
      <c r="O36" s="15">
        <f aca="true" t="shared" si="60" ref="O36:O40">IF(N36="5",I36,0)</f>
        <v>0</v>
      </c>
      <c r="Z36" s="15">
        <f aca="true" t="shared" si="61" ref="Z36:Z40">IF(AD36=0,J36,0)</f>
        <v>0</v>
      </c>
      <c r="AA36" s="15">
        <f aca="true" t="shared" si="62" ref="AA36:AA40">IF(AD36=15,J36,0)</f>
        <v>0</v>
      </c>
      <c r="AB36" s="15">
        <f aca="true" t="shared" si="63" ref="AB36:AB40">IF(AD36=21,J36,0)</f>
        <v>0</v>
      </c>
      <c r="AD36" s="15">
        <v>21</v>
      </c>
      <c r="AE36" s="15">
        <f>G36*0.102828571428571</f>
        <v>0</v>
      </c>
      <c r="AF36" s="15">
        <f>G36*(1-0.102828571428571)</f>
        <v>0</v>
      </c>
      <c r="AM36" s="15">
        <f aca="true" t="shared" si="64" ref="AM36:AM40">F36*AE36</f>
        <v>0</v>
      </c>
      <c r="AN36" s="15">
        <f aca="true" t="shared" si="65" ref="AN36:AN40">F36*AF36</f>
        <v>0</v>
      </c>
      <c r="AO36" s="16" t="s">
        <v>290</v>
      </c>
      <c r="AP36" s="16" t="s">
        <v>291</v>
      </c>
      <c r="AQ36" s="21" t="s">
        <v>179</v>
      </c>
    </row>
    <row r="37" spans="1:43" ht="12.75" customHeight="1">
      <c r="A37" s="14" t="s">
        <v>146</v>
      </c>
      <c r="B37" s="14"/>
      <c r="C37" s="14" t="s">
        <v>147</v>
      </c>
      <c r="D37" s="14" t="s">
        <v>148</v>
      </c>
      <c r="E37" s="14" t="s">
        <v>25</v>
      </c>
      <c r="F37" s="15">
        <v>120</v>
      </c>
      <c r="G37" s="15">
        <v>0</v>
      </c>
      <c r="H37" s="15">
        <f t="shared" si="56"/>
        <v>0</v>
      </c>
      <c r="I37" s="15">
        <f t="shared" si="57"/>
        <v>0</v>
      </c>
      <c r="J37" s="15">
        <f t="shared" si="58"/>
        <v>0</v>
      </c>
      <c r="K37" s="15">
        <v>0.00049</v>
      </c>
      <c r="L37" s="15">
        <f t="shared" si="59"/>
        <v>0.0588</v>
      </c>
      <c r="M37" s="16" t="s">
        <v>164</v>
      </c>
      <c r="N37" s="16" t="s">
        <v>22</v>
      </c>
      <c r="O37" s="15">
        <f t="shared" si="60"/>
        <v>0</v>
      </c>
      <c r="Z37" s="15">
        <f t="shared" si="61"/>
        <v>0</v>
      </c>
      <c r="AA37" s="15">
        <f t="shared" si="62"/>
        <v>0</v>
      </c>
      <c r="AB37" s="15">
        <f t="shared" si="63"/>
        <v>0</v>
      </c>
      <c r="AD37" s="15">
        <v>21</v>
      </c>
      <c r="AE37" s="15">
        <f>G37*0.739863636363636</f>
        <v>0</v>
      </c>
      <c r="AF37" s="15">
        <f>G37*(1-0.739863636363636)</f>
        <v>0</v>
      </c>
      <c r="AM37" s="15">
        <f t="shared" si="64"/>
        <v>0</v>
      </c>
      <c r="AN37" s="15">
        <f t="shared" si="65"/>
        <v>0</v>
      </c>
      <c r="AO37" s="16" t="s">
        <v>290</v>
      </c>
      <c r="AP37" s="16" t="s">
        <v>291</v>
      </c>
      <c r="AQ37" s="21" t="s">
        <v>179</v>
      </c>
    </row>
    <row r="38" spans="1:43" ht="12.75" customHeight="1">
      <c r="A38" s="14" t="s">
        <v>150</v>
      </c>
      <c r="B38" s="14"/>
      <c r="C38" s="14" t="s">
        <v>151</v>
      </c>
      <c r="D38" s="14" t="s">
        <v>152</v>
      </c>
      <c r="E38" s="14" t="s">
        <v>25</v>
      </c>
      <c r="F38" s="15">
        <v>120</v>
      </c>
      <c r="G38" s="15">
        <v>0</v>
      </c>
      <c r="H38" s="15">
        <f t="shared" si="56"/>
        <v>0</v>
      </c>
      <c r="I38" s="15">
        <f t="shared" si="57"/>
        <v>0</v>
      </c>
      <c r="J38" s="15">
        <f t="shared" si="58"/>
        <v>0</v>
      </c>
      <c r="K38" s="15">
        <v>0.00038</v>
      </c>
      <c r="L38" s="15">
        <f t="shared" si="59"/>
        <v>0.0456</v>
      </c>
      <c r="M38" s="16" t="s">
        <v>164</v>
      </c>
      <c r="N38" s="16" t="s">
        <v>22</v>
      </c>
      <c r="O38" s="15">
        <f t="shared" si="60"/>
        <v>0</v>
      </c>
      <c r="Z38" s="15">
        <f t="shared" si="61"/>
        <v>0</v>
      </c>
      <c r="AA38" s="15">
        <f t="shared" si="62"/>
        <v>0</v>
      </c>
      <c r="AB38" s="15">
        <f t="shared" si="63"/>
        <v>0</v>
      </c>
      <c r="AD38" s="15">
        <v>21</v>
      </c>
      <c r="AE38" s="15">
        <f>G38*0.450727272727273</f>
        <v>0</v>
      </c>
      <c r="AF38" s="15">
        <f>G38*(1-0.450727272727273)</f>
        <v>0</v>
      </c>
      <c r="AM38" s="15">
        <f t="shared" si="64"/>
        <v>0</v>
      </c>
      <c r="AN38" s="15">
        <f t="shared" si="65"/>
        <v>0</v>
      </c>
      <c r="AO38" s="16" t="s">
        <v>290</v>
      </c>
      <c r="AP38" s="16" t="s">
        <v>291</v>
      </c>
      <c r="AQ38" s="21" t="s">
        <v>179</v>
      </c>
    </row>
    <row r="39" spans="1:43" ht="12.75" customHeight="1">
      <c r="A39" s="14" t="s">
        <v>153</v>
      </c>
      <c r="B39" s="14"/>
      <c r="C39" s="14" t="s">
        <v>154</v>
      </c>
      <c r="D39" s="14" t="s">
        <v>155</v>
      </c>
      <c r="E39" s="14" t="s">
        <v>59</v>
      </c>
      <c r="F39" s="15">
        <v>42</v>
      </c>
      <c r="G39" s="15">
        <v>0</v>
      </c>
      <c r="H39" s="15">
        <f t="shared" si="56"/>
        <v>0</v>
      </c>
      <c r="I39" s="15">
        <f t="shared" si="57"/>
        <v>0</v>
      </c>
      <c r="J39" s="15">
        <f t="shared" si="58"/>
        <v>0</v>
      </c>
      <c r="K39" s="15">
        <v>0.00057</v>
      </c>
      <c r="L39" s="15">
        <f t="shared" si="59"/>
        <v>0.02394</v>
      </c>
      <c r="M39" s="16" t="s">
        <v>164</v>
      </c>
      <c r="N39" s="16" t="s">
        <v>22</v>
      </c>
      <c r="O39" s="15">
        <f t="shared" si="60"/>
        <v>0</v>
      </c>
      <c r="Z39" s="15">
        <f t="shared" si="61"/>
        <v>0</v>
      </c>
      <c r="AA39" s="15">
        <f t="shared" si="62"/>
        <v>0</v>
      </c>
      <c r="AB39" s="15">
        <f t="shared" si="63"/>
        <v>0</v>
      </c>
      <c r="AD39" s="15">
        <v>21</v>
      </c>
      <c r="AE39" s="15">
        <f>G39*0.360274725274725</f>
        <v>0</v>
      </c>
      <c r="AF39" s="15">
        <f>G39*(1-0.360274725274725)</f>
        <v>0</v>
      </c>
      <c r="AM39" s="15">
        <f t="shared" si="64"/>
        <v>0</v>
      </c>
      <c r="AN39" s="15">
        <f t="shared" si="65"/>
        <v>0</v>
      </c>
      <c r="AO39" s="16" t="s">
        <v>290</v>
      </c>
      <c r="AP39" s="16" t="s">
        <v>291</v>
      </c>
      <c r="AQ39" s="21" t="s">
        <v>179</v>
      </c>
    </row>
    <row r="40" spans="1:43" ht="12.75" customHeight="1">
      <c r="A40" s="14" t="s">
        <v>26</v>
      </c>
      <c r="B40" s="14"/>
      <c r="C40" s="14" t="s">
        <v>156</v>
      </c>
      <c r="D40" s="14" t="s">
        <v>157</v>
      </c>
      <c r="E40" s="14" t="s">
        <v>59</v>
      </c>
      <c r="F40" s="15">
        <v>69</v>
      </c>
      <c r="G40" s="15">
        <v>0</v>
      </c>
      <c r="H40" s="15">
        <f t="shared" si="56"/>
        <v>0</v>
      </c>
      <c r="I40" s="15">
        <f t="shared" si="57"/>
        <v>0</v>
      </c>
      <c r="J40" s="15">
        <f t="shared" si="58"/>
        <v>0</v>
      </c>
      <c r="K40" s="15">
        <v>0.00027</v>
      </c>
      <c r="L40" s="15">
        <f t="shared" si="59"/>
        <v>0.01863</v>
      </c>
      <c r="M40" s="16" t="s">
        <v>164</v>
      </c>
      <c r="N40" s="16" t="s">
        <v>22</v>
      </c>
      <c r="O40" s="15">
        <f t="shared" si="60"/>
        <v>0</v>
      </c>
      <c r="Z40" s="15">
        <f t="shared" si="61"/>
        <v>0</v>
      </c>
      <c r="AA40" s="15">
        <f t="shared" si="62"/>
        <v>0</v>
      </c>
      <c r="AB40" s="15">
        <f t="shared" si="63"/>
        <v>0</v>
      </c>
      <c r="AD40" s="15">
        <v>21</v>
      </c>
      <c r="AE40" s="15">
        <f>G40*0.792631578947368</f>
        <v>0</v>
      </c>
      <c r="AF40" s="15">
        <f>G40*(1-0.792631578947368)</f>
        <v>0</v>
      </c>
      <c r="AM40" s="15">
        <f t="shared" si="64"/>
        <v>0</v>
      </c>
      <c r="AN40" s="15">
        <f t="shared" si="65"/>
        <v>0</v>
      </c>
      <c r="AO40" s="16" t="s">
        <v>290</v>
      </c>
      <c r="AP40" s="16" t="s">
        <v>291</v>
      </c>
      <c r="AQ40" s="21" t="s">
        <v>179</v>
      </c>
    </row>
    <row r="41" spans="1:37" ht="12.75" customHeight="1">
      <c r="A41" s="60"/>
      <c r="B41" s="20"/>
      <c r="C41" s="20" t="s">
        <v>103</v>
      </c>
      <c r="D41" s="61" t="s">
        <v>104</v>
      </c>
      <c r="E41" s="63"/>
      <c r="F41" s="63"/>
      <c r="G41" s="64"/>
      <c r="H41" s="23">
        <f aca="true" t="shared" si="66" ref="H41:I41">SUM(H42:H46)</f>
        <v>0</v>
      </c>
      <c r="I41" s="23">
        <f t="shared" si="66"/>
        <v>0</v>
      </c>
      <c r="J41" s="23">
        <f>H41+I41</f>
        <v>0</v>
      </c>
      <c r="K41" s="21"/>
      <c r="L41" s="23">
        <f>SUM(L42:L46)</f>
        <v>0.82656</v>
      </c>
      <c r="M41" s="21"/>
      <c r="P41" s="23">
        <f>IF(Q41="PR",J41,SUM(O42:O46))</f>
        <v>0</v>
      </c>
      <c r="Q41" s="21" t="s">
        <v>233</v>
      </c>
      <c r="R41" s="23">
        <f>IF(Q41="HS",H41,0)</f>
        <v>0</v>
      </c>
      <c r="S41" s="23">
        <f>IF(Q41="HS",I41-P41,0)</f>
        <v>0</v>
      </c>
      <c r="T41" s="23">
        <f>IF(Q41="PS",H41,0)</f>
        <v>0</v>
      </c>
      <c r="U41" s="23">
        <f>IF(Q41="PS",I41-P41,0)</f>
        <v>0</v>
      </c>
      <c r="V41" s="23">
        <f>IF(Q41="MP",H41,0)</f>
        <v>0</v>
      </c>
      <c r="W41" s="23">
        <f>IF(Q41="MP",I41-P41,0)</f>
        <v>0</v>
      </c>
      <c r="X41" s="23">
        <f>IF(Q41="OM",H41,0)</f>
        <v>0</v>
      </c>
      <c r="Y41" s="21"/>
      <c r="AI41" s="23">
        <f aca="true" t="shared" si="67" ref="AI41:AK41">SUM(Z42:Z46)</f>
        <v>0</v>
      </c>
      <c r="AJ41" s="23">
        <f t="shared" si="67"/>
        <v>0</v>
      </c>
      <c r="AK41" s="23">
        <f t="shared" si="67"/>
        <v>0</v>
      </c>
    </row>
    <row r="42" spans="1:43" ht="12.75" customHeight="1">
      <c r="A42" s="14" t="s">
        <v>158</v>
      </c>
      <c r="B42" s="14"/>
      <c r="C42" s="14" t="s">
        <v>159</v>
      </c>
      <c r="D42" s="14" t="s">
        <v>160</v>
      </c>
      <c r="E42" s="14" t="s">
        <v>25</v>
      </c>
      <c r="F42" s="15">
        <v>126</v>
      </c>
      <c r="G42" s="15">
        <v>0</v>
      </c>
      <c r="H42" s="15">
        <f aca="true" t="shared" si="68" ref="H42:H46">F42*AE42</f>
        <v>0</v>
      </c>
      <c r="I42" s="15">
        <f aca="true" t="shared" si="69" ref="I42:I46">J42-H42</f>
        <v>0</v>
      </c>
      <c r="J42" s="15">
        <f aca="true" t="shared" si="70" ref="J42:J46">F42*G42</f>
        <v>0</v>
      </c>
      <c r="K42" s="15">
        <v>0.00278</v>
      </c>
      <c r="L42" s="15">
        <f aca="true" t="shared" si="71" ref="L42:L46">F42*K42</f>
        <v>0.35028</v>
      </c>
      <c r="M42" s="16" t="s">
        <v>164</v>
      </c>
      <c r="N42" s="16" t="s">
        <v>22</v>
      </c>
      <c r="O42" s="15">
        <f aca="true" t="shared" si="72" ref="O42:O46">IF(N42="5",I42,0)</f>
        <v>0</v>
      </c>
      <c r="Z42" s="15">
        <f aca="true" t="shared" si="73" ref="Z42:Z46">IF(AD42=0,J42,0)</f>
        <v>0</v>
      </c>
      <c r="AA42" s="15">
        <f aca="true" t="shared" si="74" ref="AA42:AA46">IF(AD42=15,J42,0)</f>
        <v>0</v>
      </c>
      <c r="AB42" s="15">
        <f aca="true" t="shared" si="75" ref="AB42:AB46">IF(AD42=21,J42,0)</f>
        <v>0</v>
      </c>
      <c r="AD42" s="15">
        <v>21</v>
      </c>
      <c r="AE42" s="15">
        <f>G42*0.478533333333333</f>
        <v>0</v>
      </c>
      <c r="AF42" s="15">
        <f>G42*(1-0.478533333333333)</f>
        <v>0</v>
      </c>
      <c r="AM42" s="15">
        <f aca="true" t="shared" si="76" ref="AM42:AM46">F42*AE42</f>
        <v>0</v>
      </c>
      <c r="AN42" s="15">
        <f aca="true" t="shared" si="77" ref="AN42:AN46">F42*AF42</f>
        <v>0</v>
      </c>
      <c r="AO42" s="16" t="s">
        <v>300</v>
      </c>
      <c r="AP42" s="16" t="s">
        <v>291</v>
      </c>
      <c r="AQ42" s="21" t="s">
        <v>179</v>
      </c>
    </row>
    <row r="43" spans="1:43" ht="12.75" customHeight="1">
      <c r="A43" s="14" t="s">
        <v>161</v>
      </c>
      <c r="B43" s="14"/>
      <c r="C43" s="14" t="s">
        <v>162</v>
      </c>
      <c r="D43" s="14" t="s">
        <v>163</v>
      </c>
      <c r="E43" s="14" t="s">
        <v>25</v>
      </c>
      <c r="F43" s="15">
        <v>126</v>
      </c>
      <c r="G43" s="15">
        <v>0</v>
      </c>
      <c r="H43" s="15">
        <f t="shared" si="68"/>
        <v>0</v>
      </c>
      <c r="I43" s="15">
        <f t="shared" si="69"/>
        <v>0</v>
      </c>
      <c r="J43" s="15">
        <f t="shared" si="70"/>
        <v>0</v>
      </c>
      <c r="K43" s="15">
        <v>0.001</v>
      </c>
      <c r="L43" s="15">
        <f t="shared" si="71"/>
        <v>0.126</v>
      </c>
      <c r="M43" s="16" t="s">
        <v>164</v>
      </c>
      <c r="N43" s="16" t="s">
        <v>22</v>
      </c>
      <c r="O43" s="15">
        <f t="shared" si="72"/>
        <v>0</v>
      </c>
      <c r="Z43" s="15">
        <f t="shared" si="73"/>
        <v>0</v>
      </c>
      <c r="AA43" s="15">
        <f t="shared" si="74"/>
        <v>0</v>
      </c>
      <c r="AB43" s="15">
        <f t="shared" si="75"/>
        <v>0</v>
      </c>
      <c r="AD43" s="15">
        <v>21</v>
      </c>
      <c r="AE43" s="15">
        <f>G43*0</f>
        <v>0</v>
      </c>
      <c r="AF43" s="15">
        <f>G43*(1-0)</f>
        <v>0</v>
      </c>
      <c r="AM43" s="15">
        <f t="shared" si="76"/>
        <v>0</v>
      </c>
      <c r="AN43" s="15">
        <f t="shared" si="77"/>
        <v>0</v>
      </c>
      <c r="AO43" s="16" t="s">
        <v>300</v>
      </c>
      <c r="AP43" s="16" t="s">
        <v>291</v>
      </c>
      <c r="AQ43" s="21" t="s">
        <v>179</v>
      </c>
    </row>
    <row r="44" spans="1:43" ht="12.75" customHeight="1">
      <c r="A44" s="14" t="s">
        <v>166</v>
      </c>
      <c r="B44" s="14"/>
      <c r="C44" s="14" t="s">
        <v>167</v>
      </c>
      <c r="D44" s="14" t="s">
        <v>168</v>
      </c>
      <c r="E44" s="14" t="s">
        <v>25</v>
      </c>
      <c r="F44" s="15">
        <v>126</v>
      </c>
      <c r="G44" s="15">
        <v>0</v>
      </c>
      <c r="H44" s="15">
        <f t="shared" si="68"/>
        <v>0</v>
      </c>
      <c r="I44" s="15">
        <f t="shared" si="69"/>
        <v>0</v>
      </c>
      <c r="J44" s="15">
        <f t="shared" si="70"/>
        <v>0</v>
      </c>
      <c r="K44" s="15">
        <v>0</v>
      </c>
      <c r="L44" s="15">
        <f t="shared" si="71"/>
        <v>0</v>
      </c>
      <c r="M44" s="16" t="s">
        <v>164</v>
      </c>
      <c r="N44" s="16" t="s">
        <v>22</v>
      </c>
      <c r="O44" s="15">
        <f t="shared" si="72"/>
        <v>0</v>
      </c>
      <c r="Z44" s="15">
        <f t="shared" si="73"/>
        <v>0</v>
      </c>
      <c r="AA44" s="15">
        <f t="shared" si="74"/>
        <v>0</v>
      </c>
      <c r="AB44" s="15">
        <f t="shared" si="75"/>
        <v>0</v>
      </c>
      <c r="AD44" s="15">
        <v>21</v>
      </c>
      <c r="AE44" s="15">
        <f>G44*0.37</f>
        <v>0</v>
      </c>
      <c r="AF44" s="15">
        <f>G44*(1-0.37)</f>
        <v>0</v>
      </c>
      <c r="AM44" s="15">
        <f t="shared" si="76"/>
        <v>0</v>
      </c>
      <c r="AN44" s="15">
        <f t="shared" si="77"/>
        <v>0</v>
      </c>
      <c r="AO44" s="16" t="s">
        <v>300</v>
      </c>
      <c r="AP44" s="16" t="s">
        <v>291</v>
      </c>
      <c r="AQ44" s="21" t="s">
        <v>179</v>
      </c>
    </row>
    <row r="45" spans="1:43" ht="12.75" customHeight="1">
      <c r="A45" s="14" t="s">
        <v>169</v>
      </c>
      <c r="B45" s="14"/>
      <c r="C45" s="14" t="s">
        <v>159</v>
      </c>
      <c r="D45" s="14" t="s">
        <v>170</v>
      </c>
      <c r="E45" s="14" t="s">
        <v>25</v>
      </c>
      <c r="F45" s="15">
        <v>126</v>
      </c>
      <c r="G45" s="15">
        <v>0</v>
      </c>
      <c r="H45" s="15">
        <f t="shared" si="68"/>
        <v>0</v>
      </c>
      <c r="I45" s="15">
        <f t="shared" si="69"/>
        <v>0</v>
      </c>
      <c r="J45" s="15">
        <f t="shared" si="70"/>
        <v>0</v>
      </c>
      <c r="K45" s="15">
        <v>0.00278</v>
      </c>
      <c r="L45" s="15">
        <f t="shared" si="71"/>
        <v>0.35028</v>
      </c>
      <c r="M45" s="16" t="s">
        <v>164</v>
      </c>
      <c r="N45" s="16" t="s">
        <v>22</v>
      </c>
      <c r="O45" s="15">
        <f t="shared" si="72"/>
        <v>0</v>
      </c>
      <c r="Z45" s="15">
        <f t="shared" si="73"/>
        <v>0</v>
      </c>
      <c r="AA45" s="15">
        <f t="shared" si="74"/>
        <v>0</v>
      </c>
      <c r="AB45" s="15">
        <f t="shared" si="75"/>
        <v>0</v>
      </c>
      <c r="AD45" s="15">
        <v>21</v>
      </c>
      <c r="AE45" s="15">
        <f>G45*0.729492753623188</f>
        <v>0</v>
      </c>
      <c r="AF45" s="15">
        <f>G45*(1-0.729492753623188)</f>
        <v>0</v>
      </c>
      <c r="AM45" s="15">
        <f t="shared" si="76"/>
        <v>0</v>
      </c>
      <c r="AN45" s="15">
        <f t="shared" si="77"/>
        <v>0</v>
      </c>
      <c r="AO45" s="16" t="s">
        <v>300</v>
      </c>
      <c r="AP45" s="16" t="s">
        <v>291</v>
      </c>
      <c r="AQ45" s="21" t="s">
        <v>179</v>
      </c>
    </row>
    <row r="46" spans="1:43" ht="12.75" customHeight="1">
      <c r="A46" s="14" t="s">
        <v>171</v>
      </c>
      <c r="B46" s="14"/>
      <c r="C46" s="14" t="s">
        <v>172</v>
      </c>
      <c r="D46" s="14" t="s">
        <v>173</v>
      </c>
      <c r="E46" s="14" t="s">
        <v>59</v>
      </c>
      <c r="F46" s="15">
        <v>13</v>
      </c>
      <c r="G46" s="15">
        <v>0</v>
      </c>
      <c r="H46" s="15">
        <f t="shared" si="68"/>
        <v>0</v>
      </c>
      <c r="I46" s="15">
        <f t="shared" si="69"/>
        <v>0</v>
      </c>
      <c r="J46" s="15">
        <f t="shared" si="70"/>
        <v>0</v>
      </c>
      <c r="K46" s="15">
        <v>0</v>
      </c>
      <c r="L46" s="15">
        <f t="shared" si="71"/>
        <v>0</v>
      </c>
      <c r="M46" s="16" t="s">
        <v>164</v>
      </c>
      <c r="N46" s="16" t="s">
        <v>22</v>
      </c>
      <c r="O46" s="15">
        <f t="shared" si="72"/>
        <v>0</v>
      </c>
      <c r="Z46" s="15">
        <f t="shared" si="73"/>
        <v>0</v>
      </c>
      <c r="AA46" s="15">
        <f t="shared" si="74"/>
        <v>0</v>
      </c>
      <c r="AB46" s="15">
        <f t="shared" si="75"/>
        <v>0</v>
      </c>
      <c r="AD46" s="15">
        <v>21</v>
      </c>
      <c r="AE46" s="15">
        <f>G46*0.296909788867562</f>
        <v>0</v>
      </c>
      <c r="AF46" s="15">
        <f>G46*(1-0.296909788867562)</f>
        <v>0</v>
      </c>
      <c r="AM46" s="15">
        <f t="shared" si="76"/>
        <v>0</v>
      </c>
      <c r="AN46" s="15">
        <f t="shared" si="77"/>
        <v>0</v>
      </c>
      <c r="AO46" s="16" t="s">
        <v>300</v>
      </c>
      <c r="AP46" s="16" t="s">
        <v>291</v>
      </c>
      <c r="AQ46" s="21" t="s">
        <v>179</v>
      </c>
    </row>
    <row r="47" spans="1:37" ht="12.75" customHeight="1">
      <c r="A47" s="60"/>
      <c r="B47" s="20"/>
      <c r="C47" s="20" t="s">
        <v>105</v>
      </c>
      <c r="D47" s="61" t="s">
        <v>106</v>
      </c>
      <c r="E47" s="63"/>
      <c r="F47" s="63"/>
      <c r="G47" s="64"/>
      <c r="H47" s="23">
        <f aca="true" t="shared" si="78" ref="H47:I47">SUM(H48:H51)</f>
        <v>0</v>
      </c>
      <c r="I47" s="23">
        <f t="shared" si="78"/>
        <v>0</v>
      </c>
      <c r="J47" s="23">
        <f>H47+I47</f>
        <v>0</v>
      </c>
      <c r="K47" s="21"/>
      <c r="L47" s="23">
        <f>SUM(L48:L51)</f>
        <v>2.232</v>
      </c>
      <c r="M47" s="21"/>
      <c r="P47" s="23">
        <f>IF(Q47="PR",J47,SUM(O48:O51))</f>
        <v>0</v>
      </c>
      <c r="Q47" s="21" t="s">
        <v>233</v>
      </c>
      <c r="R47" s="23">
        <f>IF(Q47="HS",H47,0)</f>
        <v>0</v>
      </c>
      <c r="S47" s="23">
        <f>IF(Q47="HS",I47-P47,0)</f>
        <v>0</v>
      </c>
      <c r="T47" s="23">
        <f>IF(Q47="PS",H47,0)</f>
        <v>0</v>
      </c>
      <c r="U47" s="23">
        <f>IF(Q47="PS",I47-P47,0)</f>
        <v>0</v>
      </c>
      <c r="V47" s="23">
        <f>IF(Q47="MP",H47,0)</f>
        <v>0</v>
      </c>
      <c r="W47" s="23">
        <f>IF(Q47="MP",I47-P47,0)</f>
        <v>0</v>
      </c>
      <c r="X47" s="23">
        <f>IF(Q47="OM",H47,0)</f>
        <v>0</v>
      </c>
      <c r="Y47" s="21"/>
      <c r="AI47" s="23">
        <f aca="true" t="shared" si="79" ref="AI47:AK47">SUM(Z48:Z51)</f>
        <v>0</v>
      </c>
      <c r="AJ47" s="23">
        <f t="shared" si="79"/>
        <v>0</v>
      </c>
      <c r="AK47" s="23">
        <f t="shared" si="79"/>
        <v>0</v>
      </c>
    </row>
    <row r="48" spans="1:43" ht="12.75" customHeight="1">
      <c r="A48" s="14" t="s">
        <v>174</v>
      </c>
      <c r="B48" s="14"/>
      <c r="C48" s="14" t="s">
        <v>175</v>
      </c>
      <c r="D48" s="14" t="s">
        <v>176</v>
      </c>
      <c r="E48" s="14" t="s">
        <v>25</v>
      </c>
      <c r="F48" s="15">
        <v>40</v>
      </c>
      <c r="G48" s="15">
        <v>0</v>
      </c>
      <c r="H48" s="15">
        <f aca="true" t="shared" si="80" ref="H48:H51">F48*AE48</f>
        <v>0</v>
      </c>
      <c r="I48" s="15">
        <f aca="true" t="shared" si="81" ref="I48:I51">J48-H48</f>
        <v>0</v>
      </c>
      <c r="J48" s="15">
        <f aca="true" t="shared" si="82" ref="J48:J51">F48*G48</f>
        <v>0</v>
      </c>
      <c r="K48" s="15">
        <v>0</v>
      </c>
      <c r="L48" s="15">
        <f aca="true" t="shared" si="83" ref="L48:L51">F48*K48</f>
        <v>0</v>
      </c>
      <c r="M48" s="16" t="s">
        <v>164</v>
      </c>
      <c r="N48" s="16" t="s">
        <v>22</v>
      </c>
      <c r="O48" s="15">
        <f aca="true" t="shared" si="84" ref="O48:O51">IF(N48="5",I48,0)</f>
        <v>0</v>
      </c>
      <c r="Z48" s="15">
        <f aca="true" t="shared" si="85" ref="Z48:Z51">IF(AD48=0,J48,0)</f>
        <v>0</v>
      </c>
      <c r="AA48" s="15">
        <f aca="true" t="shared" si="86" ref="AA48:AA51">IF(AD48=15,J48,0)</f>
        <v>0</v>
      </c>
      <c r="AB48" s="15">
        <f aca="true" t="shared" si="87" ref="AB48:AB51">IF(AD48=21,J48,0)</f>
        <v>0</v>
      </c>
      <c r="AD48" s="15">
        <v>21</v>
      </c>
      <c r="AE48" s="15">
        <f>G48*0.418706896551724</f>
        <v>0</v>
      </c>
      <c r="AF48" s="15">
        <f>G48*(1-0.418706896551724)</f>
        <v>0</v>
      </c>
      <c r="AM48" s="15">
        <f aca="true" t="shared" si="88" ref="AM48:AM51">F48*AE48</f>
        <v>0</v>
      </c>
      <c r="AN48" s="15">
        <f aca="true" t="shared" si="89" ref="AN48:AN51">F48*AF48</f>
        <v>0</v>
      </c>
      <c r="AO48" s="16" t="s">
        <v>307</v>
      </c>
      <c r="AP48" s="16" t="s">
        <v>308</v>
      </c>
      <c r="AQ48" s="21" t="s">
        <v>179</v>
      </c>
    </row>
    <row r="49" spans="1:43" ht="12.75" customHeight="1">
      <c r="A49" s="14" t="s">
        <v>180</v>
      </c>
      <c r="B49" s="14"/>
      <c r="C49" s="14" t="s">
        <v>181</v>
      </c>
      <c r="D49" s="14" t="s">
        <v>182</v>
      </c>
      <c r="E49" s="14" t="s">
        <v>25</v>
      </c>
      <c r="F49" s="15">
        <v>40</v>
      </c>
      <c r="G49" s="15">
        <v>0</v>
      </c>
      <c r="H49" s="15">
        <f t="shared" si="80"/>
        <v>0</v>
      </c>
      <c r="I49" s="15">
        <f t="shared" si="81"/>
        <v>0</v>
      </c>
      <c r="J49" s="15">
        <f t="shared" si="82"/>
        <v>0</v>
      </c>
      <c r="K49" s="15">
        <v>0</v>
      </c>
      <c r="L49" s="15">
        <f t="shared" si="83"/>
        <v>0</v>
      </c>
      <c r="M49" s="16" t="s">
        <v>164</v>
      </c>
      <c r="N49" s="16" t="s">
        <v>22</v>
      </c>
      <c r="O49" s="15">
        <f t="shared" si="84"/>
        <v>0</v>
      </c>
      <c r="Z49" s="15">
        <f t="shared" si="85"/>
        <v>0</v>
      </c>
      <c r="AA49" s="15">
        <f t="shared" si="86"/>
        <v>0</v>
      </c>
      <c r="AB49" s="15">
        <f t="shared" si="87"/>
        <v>0</v>
      </c>
      <c r="AD49" s="15">
        <v>21</v>
      </c>
      <c r="AE49" s="15">
        <f>G49*0</f>
        <v>0</v>
      </c>
      <c r="AF49" s="15">
        <f>G49*(1-0)</f>
        <v>0</v>
      </c>
      <c r="AM49" s="15">
        <f t="shared" si="88"/>
        <v>0</v>
      </c>
      <c r="AN49" s="15">
        <f t="shared" si="89"/>
        <v>0</v>
      </c>
      <c r="AO49" s="16" t="s">
        <v>307</v>
      </c>
      <c r="AP49" s="16" t="s">
        <v>308</v>
      </c>
      <c r="AQ49" s="21" t="s">
        <v>179</v>
      </c>
    </row>
    <row r="50" spans="1:43" ht="12.75" customHeight="1">
      <c r="A50" s="14" t="s">
        <v>183</v>
      </c>
      <c r="B50" s="14"/>
      <c r="C50" s="14" t="s">
        <v>184</v>
      </c>
      <c r="D50" s="14" t="s">
        <v>185</v>
      </c>
      <c r="E50" s="14" t="s">
        <v>25</v>
      </c>
      <c r="F50" s="15">
        <v>40</v>
      </c>
      <c r="G50" s="15">
        <v>0</v>
      </c>
      <c r="H50" s="15">
        <f t="shared" si="80"/>
        <v>0</v>
      </c>
      <c r="I50" s="15">
        <f t="shared" si="81"/>
        <v>0</v>
      </c>
      <c r="J50" s="15">
        <f t="shared" si="82"/>
        <v>0</v>
      </c>
      <c r="K50" s="15">
        <v>0.0558</v>
      </c>
      <c r="L50" s="15">
        <f t="shared" si="83"/>
        <v>2.232</v>
      </c>
      <c r="M50" s="16" t="s">
        <v>164</v>
      </c>
      <c r="N50" s="16" t="s">
        <v>22</v>
      </c>
      <c r="O50" s="15">
        <f t="shared" si="84"/>
        <v>0</v>
      </c>
      <c r="Z50" s="15">
        <f t="shared" si="85"/>
        <v>0</v>
      </c>
      <c r="AA50" s="15">
        <f t="shared" si="86"/>
        <v>0</v>
      </c>
      <c r="AB50" s="15">
        <f t="shared" si="87"/>
        <v>0</v>
      </c>
      <c r="AD50" s="15">
        <v>21</v>
      </c>
      <c r="AE50" s="15">
        <f>G50*0.104690909090909</f>
        <v>0</v>
      </c>
      <c r="AF50" s="15">
        <f>G50*(1-0.104690909090909)</f>
        <v>0</v>
      </c>
      <c r="AM50" s="15">
        <f t="shared" si="88"/>
        <v>0</v>
      </c>
      <c r="AN50" s="15">
        <f t="shared" si="89"/>
        <v>0</v>
      </c>
      <c r="AO50" s="16" t="s">
        <v>307</v>
      </c>
      <c r="AP50" s="16" t="s">
        <v>308</v>
      </c>
      <c r="AQ50" s="21" t="s">
        <v>179</v>
      </c>
    </row>
    <row r="51" spans="1:43" ht="12.75" customHeight="1">
      <c r="A51" s="14" t="s">
        <v>186</v>
      </c>
      <c r="B51" s="14"/>
      <c r="C51" s="14" t="s">
        <v>187</v>
      </c>
      <c r="D51" s="14" t="s">
        <v>188</v>
      </c>
      <c r="E51" s="14" t="s">
        <v>25</v>
      </c>
      <c r="F51" s="15">
        <v>40</v>
      </c>
      <c r="G51" s="15">
        <v>0</v>
      </c>
      <c r="H51" s="15">
        <f t="shared" si="80"/>
        <v>0</v>
      </c>
      <c r="I51" s="15">
        <f t="shared" si="81"/>
        <v>0</v>
      </c>
      <c r="J51" s="15">
        <f t="shared" si="82"/>
        <v>0</v>
      </c>
      <c r="K51" s="15">
        <v>0</v>
      </c>
      <c r="L51" s="15">
        <f t="shared" si="83"/>
        <v>0</v>
      </c>
      <c r="M51" s="16" t="s">
        <v>164</v>
      </c>
      <c r="N51" s="16" t="s">
        <v>22</v>
      </c>
      <c r="O51" s="15">
        <f t="shared" si="84"/>
        <v>0</v>
      </c>
      <c r="Z51" s="15">
        <f t="shared" si="85"/>
        <v>0</v>
      </c>
      <c r="AA51" s="15">
        <f t="shared" si="86"/>
        <v>0</v>
      </c>
      <c r="AB51" s="15">
        <f t="shared" si="87"/>
        <v>0</v>
      </c>
      <c r="AD51" s="15">
        <v>21</v>
      </c>
      <c r="AE51" s="15">
        <f>G51*0</f>
        <v>0</v>
      </c>
      <c r="AF51" s="15">
        <f>G51*(1-0)</f>
        <v>0</v>
      </c>
      <c r="AM51" s="15">
        <f t="shared" si="88"/>
        <v>0</v>
      </c>
      <c r="AN51" s="15">
        <f t="shared" si="89"/>
        <v>0</v>
      </c>
      <c r="AO51" s="16" t="s">
        <v>307</v>
      </c>
      <c r="AP51" s="16" t="s">
        <v>308</v>
      </c>
      <c r="AQ51" s="21" t="s">
        <v>179</v>
      </c>
    </row>
    <row r="52" spans="1:37" ht="12.75" customHeight="1">
      <c r="A52" s="60"/>
      <c r="B52" s="20"/>
      <c r="C52" s="20" t="s">
        <v>108</v>
      </c>
      <c r="D52" s="61" t="s">
        <v>109</v>
      </c>
      <c r="E52" s="63"/>
      <c r="F52" s="63"/>
      <c r="G52" s="64"/>
      <c r="H52" s="23">
        <f aca="true" t="shared" si="90" ref="H52:I52">SUM(H53)</f>
        <v>0</v>
      </c>
      <c r="I52" s="23">
        <f t="shared" si="90"/>
        <v>0</v>
      </c>
      <c r="J52" s="23">
        <f>H52+I52</f>
        <v>0</v>
      </c>
      <c r="K52" s="21"/>
      <c r="L52" s="23">
        <f>SUM(L53)</f>
        <v>0.0153</v>
      </c>
      <c r="M52" s="21"/>
      <c r="P52" s="23">
        <f>IF(Q52="PR",J52,SUM(O53))</f>
        <v>0</v>
      </c>
      <c r="Q52" s="21" t="s">
        <v>233</v>
      </c>
      <c r="R52" s="23">
        <f>IF(Q52="HS",H52,0)</f>
        <v>0</v>
      </c>
      <c r="S52" s="23">
        <f>IF(Q52="HS",I52-P52,0)</f>
        <v>0</v>
      </c>
      <c r="T52" s="23">
        <f>IF(Q52="PS",H52,0)</f>
        <v>0</v>
      </c>
      <c r="U52" s="23">
        <f>IF(Q52="PS",I52-P52,0)</f>
        <v>0</v>
      </c>
      <c r="V52" s="23">
        <f>IF(Q52="MP",H52,0)</f>
        <v>0</v>
      </c>
      <c r="W52" s="23">
        <f>IF(Q52="MP",I52-P52,0)</f>
        <v>0</v>
      </c>
      <c r="X52" s="23">
        <f>IF(Q52="OM",H52,0)</f>
        <v>0</v>
      </c>
      <c r="Y52" s="21"/>
      <c r="AI52" s="23">
        <f aca="true" t="shared" si="91" ref="AI52:AK52">SUM(Z53)</f>
        <v>0</v>
      </c>
      <c r="AJ52" s="23">
        <f t="shared" si="91"/>
        <v>0</v>
      </c>
      <c r="AK52" s="23">
        <f t="shared" si="91"/>
        <v>0</v>
      </c>
    </row>
    <row r="53" spans="1:43" ht="12.75" customHeight="1">
      <c r="A53" s="14" t="s">
        <v>189</v>
      </c>
      <c r="B53" s="14"/>
      <c r="C53" s="14" t="s">
        <v>190</v>
      </c>
      <c r="D53" s="14" t="s">
        <v>191</v>
      </c>
      <c r="E53" s="14" t="s">
        <v>59</v>
      </c>
      <c r="F53" s="15">
        <v>45</v>
      </c>
      <c r="G53" s="15">
        <v>0</v>
      </c>
      <c r="H53" s="15">
        <f>F53*AE53</f>
        <v>0</v>
      </c>
      <c r="I53" s="15">
        <f>J53-H53</f>
        <v>0</v>
      </c>
      <c r="J53" s="15">
        <f>F53*G53</f>
        <v>0</v>
      </c>
      <c r="K53" s="15">
        <v>0.00034</v>
      </c>
      <c r="L53" s="15">
        <f>F53*K53</f>
        <v>0.0153</v>
      </c>
      <c r="M53" s="16" t="s">
        <v>164</v>
      </c>
      <c r="N53" s="16" t="s">
        <v>22</v>
      </c>
      <c r="O53" s="15">
        <f>IF(N53="5",I53,0)</f>
        <v>0</v>
      </c>
      <c r="Z53" s="15">
        <f>IF(AD53=0,J53,0)</f>
        <v>0</v>
      </c>
      <c r="AA53" s="15">
        <f>IF(AD53=15,J53,0)</f>
        <v>0</v>
      </c>
      <c r="AB53" s="15">
        <f>IF(AD53=21,J53,0)</f>
        <v>0</v>
      </c>
      <c r="AD53" s="15">
        <v>21</v>
      </c>
      <c r="AE53" s="15">
        <f>G53*0.2698</f>
        <v>0</v>
      </c>
      <c r="AF53" s="15">
        <f>G53*(1-0.2698)</f>
        <v>0</v>
      </c>
      <c r="AM53" s="15">
        <f>F53*AE53</f>
        <v>0</v>
      </c>
      <c r="AN53" s="15">
        <f>F53*AF53</f>
        <v>0</v>
      </c>
      <c r="AO53" s="16" t="s">
        <v>312</v>
      </c>
      <c r="AP53" s="16" t="s">
        <v>308</v>
      </c>
      <c r="AQ53" s="21" t="s">
        <v>179</v>
      </c>
    </row>
    <row r="54" spans="1:37" ht="12.75" customHeight="1">
      <c r="A54" s="60"/>
      <c r="B54" s="20"/>
      <c r="C54" s="20" t="s">
        <v>110</v>
      </c>
      <c r="D54" s="61" t="s">
        <v>111</v>
      </c>
      <c r="E54" s="63"/>
      <c r="F54" s="63"/>
      <c r="G54" s="64"/>
      <c r="H54" s="23">
        <f aca="true" t="shared" si="92" ref="H54:I54">SUM(H55:H57)</f>
        <v>0</v>
      </c>
      <c r="I54" s="23">
        <f t="shared" si="92"/>
        <v>0</v>
      </c>
      <c r="J54" s="23">
        <f>H54+I54</f>
        <v>0</v>
      </c>
      <c r="K54" s="21"/>
      <c r="L54" s="23">
        <f>SUM(L55:L57)</f>
        <v>0.69438</v>
      </c>
      <c r="M54" s="21"/>
      <c r="P54" s="23">
        <f>IF(Q54="PR",J54,SUM(O55:O57))</f>
        <v>0</v>
      </c>
      <c r="Q54" s="21" t="s">
        <v>233</v>
      </c>
      <c r="R54" s="23">
        <f>IF(Q54="HS",H54,0)</f>
        <v>0</v>
      </c>
      <c r="S54" s="23">
        <f>IF(Q54="HS",I54-P54,0)</f>
        <v>0</v>
      </c>
      <c r="T54" s="23">
        <f>IF(Q54="PS",H54,0)</f>
        <v>0</v>
      </c>
      <c r="U54" s="23">
        <f>IF(Q54="PS",I54-P54,0)</f>
        <v>0</v>
      </c>
      <c r="V54" s="23">
        <f>IF(Q54="MP",H54,0)</f>
        <v>0</v>
      </c>
      <c r="W54" s="23">
        <f>IF(Q54="MP",I54-P54,0)</f>
        <v>0</v>
      </c>
      <c r="X54" s="23">
        <f>IF(Q54="OM",H54,0)</f>
        <v>0</v>
      </c>
      <c r="Y54" s="21"/>
      <c r="AI54" s="23">
        <f aca="true" t="shared" si="93" ref="AI54:AK54">SUM(Z55:Z57)</f>
        <v>0</v>
      </c>
      <c r="AJ54" s="23">
        <f t="shared" si="93"/>
        <v>0</v>
      </c>
      <c r="AK54" s="23">
        <f t="shared" si="93"/>
        <v>0</v>
      </c>
    </row>
    <row r="55" spans="1:43" ht="12.75" customHeight="1">
      <c r="A55" s="14" t="s">
        <v>193</v>
      </c>
      <c r="B55" s="14"/>
      <c r="C55" s="14" t="s">
        <v>194</v>
      </c>
      <c r="D55" s="14" t="s">
        <v>195</v>
      </c>
      <c r="E55" s="14" t="s">
        <v>25</v>
      </c>
      <c r="F55" s="15">
        <v>850</v>
      </c>
      <c r="G55" s="15">
        <v>0</v>
      </c>
      <c r="H55" s="15">
        <f aca="true" t="shared" si="94" ref="H55:H57">F55*AE55</f>
        <v>0</v>
      </c>
      <c r="I55" s="15">
        <f aca="true" t="shared" si="95" ref="I55:I57">J55-H55</f>
        <v>0</v>
      </c>
      <c r="J55" s="15">
        <f aca="true" t="shared" si="96" ref="J55:J57">F55*G55</f>
        <v>0</v>
      </c>
      <c r="K55" s="15">
        <v>0.00019</v>
      </c>
      <c r="L55" s="15">
        <f aca="true" t="shared" si="97" ref="L55:L57">F55*K55</f>
        <v>0.1615</v>
      </c>
      <c r="M55" s="16" t="s">
        <v>164</v>
      </c>
      <c r="N55" s="16" t="s">
        <v>22</v>
      </c>
      <c r="O55" s="15">
        <f aca="true" t="shared" si="98" ref="O55:O57">IF(N55="5",I55,0)</f>
        <v>0</v>
      </c>
      <c r="Z55" s="15">
        <f aca="true" t="shared" si="99" ref="Z55:Z57">IF(AD55=0,J55,0)</f>
        <v>0</v>
      </c>
      <c r="AA55" s="15">
        <f aca="true" t="shared" si="100" ref="AA55:AA57">IF(AD55=15,J55,0)</f>
        <v>0</v>
      </c>
      <c r="AB55" s="15">
        <f aca="true" t="shared" si="101" ref="AB55:AB57">IF(AD55=21,J55,0)</f>
        <v>0</v>
      </c>
      <c r="AD55" s="15">
        <v>21</v>
      </c>
      <c r="AE55" s="15">
        <f>G55*0.691384615384615</f>
        <v>0</v>
      </c>
      <c r="AF55" s="15">
        <f>G55*(1-0.691384615384615)</f>
        <v>0</v>
      </c>
      <c r="AM55" s="15">
        <f aca="true" t="shared" si="102" ref="AM55:AM57">F55*AE55</f>
        <v>0</v>
      </c>
      <c r="AN55" s="15">
        <f aca="true" t="shared" si="103" ref="AN55:AN57">F55*AF55</f>
        <v>0</v>
      </c>
      <c r="AO55" s="16" t="s">
        <v>316</v>
      </c>
      <c r="AP55" s="16" t="s">
        <v>308</v>
      </c>
      <c r="AQ55" s="21" t="s">
        <v>179</v>
      </c>
    </row>
    <row r="56" spans="1:43" ht="12.75" customHeight="1">
      <c r="A56" s="14" t="s">
        <v>196</v>
      </c>
      <c r="B56" s="14"/>
      <c r="C56" s="14" t="s">
        <v>197</v>
      </c>
      <c r="D56" s="14" t="s">
        <v>198</v>
      </c>
      <c r="E56" s="14" t="s">
        <v>25</v>
      </c>
      <c r="F56" s="15">
        <v>758</v>
      </c>
      <c r="G56" s="15">
        <v>0</v>
      </c>
      <c r="H56" s="15">
        <f t="shared" si="94"/>
        <v>0</v>
      </c>
      <c r="I56" s="15">
        <f t="shared" si="95"/>
        <v>0</v>
      </c>
      <c r="J56" s="15">
        <f t="shared" si="96"/>
        <v>0</v>
      </c>
      <c r="K56" s="15">
        <v>0.00036</v>
      </c>
      <c r="L56" s="15">
        <f t="shared" si="97"/>
        <v>0.27288</v>
      </c>
      <c r="M56" s="16" t="s">
        <v>164</v>
      </c>
      <c r="N56" s="16" t="s">
        <v>22</v>
      </c>
      <c r="O56" s="15">
        <f t="shared" si="98"/>
        <v>0</v>
      </c>
      <c r="Z56" s="15">
        <f t="shared" si="99"/>
        <v>0</v>
      </c>
      <c r="AA56" s="15">
        <f t="shared" si="100"/>
        <v>0</v>
      </c>
      <c r="AB56" s="15">
        <f t="shared" si="101"/>
        <v>0</v>
      </c>
      <c r="AD56" s="15">
        <v>21</v>
      </c>
      <c r="AE56" s="15">
        <f>G56*0.182307692307692</f>
        <v>0</v>
      </c>
      <c r="AF56" s="15">
        <f>G56*(1-0.182307692307692)</f>
        <v>0</v>
      </c>
      <c r="AM56" s="15">
        <f t="shared" si="102"/>
        <v>0</v>
      </c>
      <c r="AN56" s="15">
        <f t="shared" si="103"/>
        <v>0</v>
      </c>
      <c r="AO56" s="16" t="s">
        <v>316</v>
      </c>
      <c r="AP56" s="16" t="s">
        <v>308</v>
      </c>
      <c r="AQ56" s="21" t="s">
        <v>179</v>
      </c>
    </row>
    <row r="57" spans="1:43" ht="12.75" customHeight="1">
      <c r="A57" s="14" t="s">
        <v>16</v>
      </c>
      <c r="B57" s="14"/>
      <c r="C57" s="14" t="s">
        <v>199</v>
      </c>
      <c r="D57" s="14" t="s">
        <v>200</v>
      </c>
      <c r="E57" s="14" t="s">
        <v>25</v>
      </c>
      <c r="F57" s="15">
        <v>1300</v>
      </c>
      <c r="G57" s="15">
        <v>0</v>
      </c>
      <c r="H57" s="15">
        <f t="shared" si="94"/>
        <v>0</v>
      </c>
      <c r="I57" s="15">
        <f t="shared" si="95"/>
        <v>0</v>
      </c>
      <c r="J57" s="15">
        <f t="shared" si="96"/>
        <v>0</v>
      </c>
      <c r="K57" s="15">
        <v>0.0002</v>
      </c>
      <c r="L57" s="15">
        <f t="shared" si="97"/>
        <v>0.26</v>
      </c>
      <c r="M57" s="16" t="s">
        <v>164</v>
      </c>
      <c r="N57" s="16" t="s">
        <v>22</v>
      </c>
      <c r="O57" s="15">
        <f t="shared" si="98"/>
        <v>0</v>
      </c>
      <c r="Z57" s="15">
        <f t="shared" si="99"/>
        <v>0</v>
      </c>
      <c r="AA57" s="15">
        <f t="shared" si="100"/>
        <v>0</v>
      </c>
      <c r="AB57" s="15">
        <f t="shared" si="101"/>
        <v>0</v>
      </c>
      <c r="AD57" s="15">
        <v>21</v>
      </c>
      <c r="AE57" s="15">
        <f>G57*0.665428571428571</f>
        <v>0</v>
      </c>
      <c r="AF57" s="15">
        <f>G57*(1-0.665428571428571)</f>
        <v>0</v>
      </c>
      <c r="AM57" s="15">
        <f t="shared" si="102"/>
        <v>0</v>
      </c>
      <c r="AN57" s="15">
        <f t="shared" si="103"/>
        <v>0</v>
      </c>
      <c r="AO57" s="16" t="s">
        <v>316</v>
      </c>
      <c r="AP57" s="16" t="s">
        <v>308</v>
      </c>
      <c r="AQ57" s="21" t="s">
        <v>179</v>
      </c>
    </row>
    <row r="58" spans="1:37" ht="12.75" customHeight="1">
      <c r="A58" s="60"/>
      <c r="B58" s="20"/>
      <c r="C58" s="20" t="s">
        <v>115</v>
      </c>
      <c r="D58" s="61" t="s">
        <v>116</v>
      </c>
      <c r="E58" s="63"/>
      <c r="F58" s="63"/>
      <c r="G58" s="64"/>
      <c r="H58" s="23">
        <f aca="true" t="shared" si="104" ref="H58:I58">SUM(H59)</f>
        <v>0</v>
      </c>
      <c r="I58" s="23">
        <f t="shared" si="104"/>
        <v>0</v>
      </c>
      <c r="J58" s="23">
        <f>H58+I58</f>
        <v>0</v>
      </c>
      <c r="K58" s="21"/>
      <c r="L58" s="23">
        <f>SUM(L59)</f>
        <v>0</v>
      </c>
      <c r="M58" s="21"/>
      <c r="P58" s="23">
        <f>IF(Q58="PR",J58,SUM(O59))</f>
        <v>0</v>
      </c>
      <c r="Q58" s="21" t="s">
        <v>149</v>
      </c>
      <c r="R58" s="23">
        <f>IF(Q58="HS",H58,0)</f>
        <v>0</v>
      </c>
      <c r="S58" s="23">
        <f>IF(Q58="HS",I58-P58,0)</f>
        <v>0</v>
      </c>
      <c r="T58" s="23">
        <f>IF(Q58="PS",H58,0)</f>
        <v>0</v>
      </c>
      <c r="U58" s="23">
        <f>IF(Q58="PS",I58-P58,0)</f>
        <v>0</v>
      </c>
      <c r="V58" s="23">
        <f>IF(Q58="MP",H58,0)</f>
        <v>0</v>
      </c>
      <c r="W58" s="23">
        <f>IF(Q58="MP",I58-P58,0)</f>
        <v>0</v>
      </c>
      <c r="X58" s="23">
        <f>IF(Q58="OM",H58,0)</f>
        <v>0</v>
      </c>
      <c r="Y58" s="21"/>
      <c r="AI58" s="23">
        <f aca="true" t="shared" si="105" ref="AI58:AK58">SUM(Z59)</f>
        <v>0</v>
      </c>
      <c r="AJ58" s="23">
        <f t="shared" si="105"/>
        <v>0</v>
      </c>
      <c r="AK58" s="23">
        <f t="shared" si="105"/>
        <v>0</v>
      </c>
    </row>
    <row r="59" spans="1:43" ht="12.75" customHeight="1">
      <c r="A59" s="14" t="s">
        <v>201</v>
      </c>
      <c r="B59" s="14"/>
      <c r="C59" s="14" t="s">
        <v>202</v>
      </c>
      <c r="D59" s="14" t="s">
        <v>203</v>
      </c>
      <c r="E59" s="14" t="s">
        <v>204</v>
      </c>
      <c r="F59" s="15">
        <v>178</v>
      </c>
      <c r="G59" s="15">
        <v>0</v>
      </c>
      <c r="H59" s="15">
        <f>F59*AE59</f>
        <v>0</v>
      </c>
      <c r="I59" s="15">
        <f>J59-H59</f>
        <v>0</v>
      </c>
      <c r="J59" s="15">
        <f>F59*G59</f>
        <v>0</v>
      </c>
      <c r="K59" s="15">
        <v>0</v>
      </c>
      <c r="L59" s="15">
        <f>F59*K59</f>
        <v>0</v>
      </c>
      <c r="M59" s="16" t="s">
        <v>164</v>
      </c>
      <c r="N59" s="16" t="s">
        <v>22</v>
      </c>
      <c r="O59" s="15">
        <f>IF(N59="5",I59,0)</f>
        <v>0</v>
      </c>
      <c r="Z59" s="15">
        <f>IF(AD59=0,J59,0)</f>
        <v>0</v>
      </c>
      <c r="AA59" s="15">
        <f>IF(AD59=15,J59,0)</f>
        <v>0</v>
      </c>
      <c r="AB59" s="15">
        <f>IF(AD59=21,J59,0)</f>
        <v>0</v>
      </c>
      <c r="AD59" s="15">
        <v>21</v>
      </c>
      <c r="AE59" s="15">
        <f>G59*0</f>
        <v>0</v>
      </c>
      <c r="AF59" s="15">
        <f>G59*(1-0)</f>
        <v>0</v>
      </c>
      <c r="AM59" s="15">
        <f>F59*AE59</f>
        <v>0</v>
      </c>
      <c r="AN59" s="15">
        <f>F59*AF59</f>
        <v>0</v>
      </c>
      <c r="AO59" s="16" t="s">
        <v>317</v>
      </c>
      <c r="AP59" s="16" t="s">
        <v>318</v>
      </c>
      <c r="AQ59" s="21" t="s">
        <v>179</v>
      </c>
    </row>
    <row r="60" spans="1:37" ht="12.75" customHeight="1">
      <c r="A60" s="60"/>
      <c r="B60" s="20"/>
      <c r="C60" s="20" t="s">
        <v>124</v>
      </c>
      <c r="D60" s="61" t="s">
        <v>125</v>
      </c>
      <c r="E60" s="63"/>
      <c r="F60" s="63"/>
      <c r="G60" s="64"/>
      <c r="H60" s="23">
        <f aca="true" t="shared" si="106" ref="H60:I60">SUM(H61:H62)</f>
        <v>0</v>
      </c>
      <c r="I60" s="23">
        <f t="shared" si="106"/>
        <v>0</v>
      </c>
      <c r="J60" s="23">
        <f>H60+I60</f>
        <v>0</v>
      </c>
      <c r="K60" s="21"/>
      <c r="L60" s="23">
        <f>SUM(L61:L62)</f>
        <v>0.4235</v>
      </c>
      <c r="M60" s="21"/>
      <c r="P60" s="23">
        <f>IF(Q60="PR",J60,SUM(O61:O62))</f>
        <v>0</v>
      </c>
      <c r="Q60" s="21" t="s">
        <v>149</v>
      </c>
      <c r="R60" s="23">
        <f>IF(Q60="HS",H60,0)</f>
        <v>0</v>
      </c>
      <c r="S60" s="23">
        <f>IF(Q60="HS",I60-P60,0)</f>
        <v>0</v>
      </c>
      <c r="T60" s="23">
        <f>IF(Q60="PS",H60,0)</f>
        <v>0</v>
      </c>
      <c r="U60" s="23">
        <f>IF(Q60="PS",I60-P60,0)</f>
        <v>0</v>
      </c>
      <c r="V60" s="23">
        <f>IF(Q60="MP",H60,0)</f>
        <v>0</v>
      </c>
      <c r="W60" s="23">
        <f>IF(Q60="MP",I60-P60,0)</f>
        <v>0</v>
      </c>
      <c r="X60" s="23">
        <f>IF(Q60="OM",H60,0)</f>
        <v>0</v>
      </c>
      <c r="Y60" s="21"/>
      <c r="AI60" s="23">
        <f aca="true" t="shared" si="107" ref="AI60:AK60">SUM(Z61:Z62)</f>
        <v>0</v>
      </c>
      <c r="AJ60" s="23">
        <f t="shared" si="107"/>
        <v>0</v>
      </c>
      <c r="AK60" s="23">
        <f t="shared" si="107"/>
        <v>0</v>
      </c>
    </row>
    <row r="61" spans="1:43" ht="12.75" customHeight="1">
      <c r="A61" s="14" t="s">
        <v>205</v>
      </c>
      <c r="B61" s="14"/>
      <c r="C61" s="14" t="s">
        <v>206</v>
      </c>
      <c r="D61" s="14" t="s">
        <v>207</v>
      </c>
      <c r="E61" s="14" t="s">
        <v>25</v>
      </c>
      <c r="F61" s="15">
        <v>350</v>
      </c>
      <c r="G61" s="15">
        <v>0</v>
      </c>
      <c r="H61" s="15">
        <f aca="true" t="shared" si="108" ref="H61:H62">F61*AE61</f>
        <v>0</v>
      </c>
      <c r="I61" s="15">
        <f aca="true" t="shared" si="109" ref="I61:I62">J61-H61</f>
        <v>0</v>
      </c>
      <c r="J61" s="15">
        <f aca="true" t="shared" si="110" ref="J61:J62">F61*G61</f>
        <v>0</v>
      </c>
      <c r="K61" s="15">
        <v>0.00121</v>
      </c>
      <c r="L61" s="15">
        <f aca="true" t="shared" si="111" ref="L61:L62">F61*K61</f>
        <v>0.4235</v>
      </c>
      <c r="M61" s="16" t="s">
        <v>164</v>
      </c>
      <c r="N61" s="16" t="s">
        <v>22</v>
      </c>
      <c r="O61" s="15">
        <f aca="true" t="shared" si="112" ref="O61:O62">IF(N61="5",I61,0)</f>
        <v>0</v>
      </c>
      <c r="Z61" s="15">
        <f aca="true" t="shared" si="113" ref="Z61:Z62">IF(AD61=0,J61,0)</f>
        <v>0</v>
      </c>
      <c r="AA61" s="15">
        <f aca="true" t="shared" si="114" ref="AA61:AA62">IF(AD61=15,J61,0)</f>
        <v>0</v>
      </c>
      <c r="AB61" s="15">
        <f aca="true" t="shared" si="115" ref="AB61:AB62">IF(AD61=21,J61,0)</f>
        <v>0</v>
      </c>
      <c r="AD61" s="15">
        <v>21</v>
      </c>
      <c r="AE61" s="15">
        <f>G61*0.297539922313336</f>
        <v>0</v>
      </c>
      <c r="AF61" s="15">
        <f>G61*(1-0.297539922313336)</f>
        <v>0</v>
      </c>
      <c r="AM61" s="15">
        <f aca="true" t="shared" si="116" ref="AM61:AM62">F61*AE61</f>
        <v>0</v>
      </c>
      <c r="AN61" s="15">
        <f aca="true" t="shared" si="117" ref="AN61:AN62">F61*AF61</f>
        <v>0</v>
      </c>
      <c r="AO61" s="16" t="s">
        <v>319</v>
      </c>
      <c r="AP61" s="16" t="s">
        <v>318</v>
      </c>
      <c r="AQ61" s="21" t="s">
        <v>179</v>
      </c>
    </row>
    <row r="62" spans="1:43" ht="12.75" customHeight="1">
      <c r="A62" s="14" t="s">
        <v>208</v>
      </c>
      <c r="B62" s="14"/>
      <c r="C62" s="14" t="s">
        <v>209</v>
      </c>
      <c r="D62" s="14" t="s">
        <v>210</v>
      </c>
      <c r="E62" s="14" t="s">
        <v>25</v>
      </c>
      <c r="F62" s="15">
        <v>350</v>
      </c>
      <c r="G62" s="15">
        <v>0</v>
      </c>
      <c r="H62" s="15">
        <f t="shared" si="108"/>
        <v>0</v>
      </c>
      <c r="I62" s="15">
        <f t="shared" si="109"/>
        <v>0</v>
      </c>
      <c r="J62" s="15">
        <f t="shared" si="110"/>
        <v>0</v>
      </c>
      <c r="K62" s="15">
        <v>0</v>
      </c>
      <c r="L62" s="15">
        <f t="shared" si="111"/>
        <v>0</v>
      </c>
      <c r="M62" s="16" t="s">
        <v>164</v>
      </c>
      <c r="N62" s="16" t="s">
        <v>22</v>
      </c>
      <c r="O62" s="15">
        <f t="shared" si="112"/>
        <v>0</v>
      </c>
      <c r="Z62" s="15">
        <f t="shared" si="113"/>
        <v>0</v>
      </c>
      <c r="AA62" s="15">
        <f t="shared" si="114"/>
        <v>0</v>
      </c>
      <c r="AB62" s="15">
        <f t="shared" si="115"/>
        <v>0</v>
      </c>
      <c r="AD62" s="15">
        <v>21</v>
      </c>
      <c r="AE62" s="15">
        <f>G62*0</f>
        <v>0</v>
      </c>
      <c r="AF62" s="15">
        <f>G62*(1-0)</f>
        <v>0</v>
      </c>
      <c r="AM62" s="15">
        <f t="shared" si="116"/>
        <v>0</v>
      </c>
      <c r="AN62" s="15">
        <f t="shared" si="117"/>
        <v>0</v>
      </c>
      <c r="AO62" s="16" t="s">
        <v>319</v>
      </c>
      <c r="AP62" s="16" t="s">
        <v>318</v>
      </c>
      <c r="AQ62" s="21" t="s">
        <v>179</v>
      </c>
    </row>
    <row r="63" spans="1:37" ht="12.75" customHeight="1">
      <c r="A63" s="60"/>
      <c r="B63" s="20"/>
      <c r="C63" s="20" t="s">
        <v>126</v>
      </c>
      <c r="D63" s="61" t="s">
        <v>128</v>
      </c>
      <c r="E63" s="63"/>
      <c r="F63" s="63"/>
      <c r="G63" s="64"/>
      <c r="H63" s="23">
        <f aca="true" t="shared" si="118" ref="H63:I63">SUM(H64:H65)</f>
        <v>0</v>
      </c>
      <c r="I63" s="23">
        <f t="shared" si="118"/>
        <v>0</v>
      </c>
      <c r="J63" s="23">
        <f>H63+I63</f>
        <v>0</v>
      </c>
      <c r="K63" s="21"/>
      <c r="L63" s="23">
        <f>SUM(L64:L65)</f>
        <v>0</v>
      </c>
      <c r="M63" s="21"/>
      <c r="P63" s="23">
        <f>IF(Q63="PR",J63,SUM(O64:O65))</f>
        <v>0</v>
      </c>
      <c r="Q63" s="21" t="s">
        <v>149</v>
      </c>
      <c r="R63" s="23">
        <f>IF(Q63="HS",H63,0)</f>
        <v>0</v>
      </c>
      <c r="S63" s="23">
        <f>IF(Q63="HS",I63-P63,0)</f>
        <v>0</v>
      </c>
      <c r="T63" s="23">
        <f>IF(Q63="PS",H63,0)</f>
        <v>0</v>
      </c>
      <c r="U63" s="23">
        <f>IF(Q63="PS",I63-P63,0)</f>
        <v>0</v>
      </c>
      <c r="V63" s="23">
        <f>IF(Q63="MP",H63,0)</f>
        <v>0</v>
      </c>
      <c r="W63" s="23">
        <f>IF(Q63="MP",I63-P63,0)</f>
        <v>0</v>
      </c>
      <c r="X63" s="23">
        <f>IF(Q63="OM",H63,0)</f>
        <v>0</v>
      </c>
      <c r="Y63" s="21"/>
      <c r="AI63" s="23">
        <f aca="true" t="shared" si="119" ref="AI63:AK63">SUM(Z64:Z65)</f>
        <v>0</v>
      </c>
      <c r="AJ63" s="23">
        <f t="shared" si="119"/>
        <v>0</v>
      </c>
      <c r="AK63" s="23">
        <f t="shared" si="119"/>
        <v>0</v>
      </c>
    </row>
    <row r="64" spans="1:43" ht="12.75" customHeight="1">
      <c r="A64" s="14" t="s">
        <v>211</v>
      </c>
      <c r="B64" s="14"/>
      <c r="C64" s="14" t="s">
        <v>212</v>
      </c>
      <c r="D64" s="14" t="s">
        <v>213</v>
      </c>
      <c r="E64" s="14" t="s">
        <v>52</v>
      </c>
      <c r="F64" s="15">
        <v>1</v>
      </c>
      <c r="G64" s="15">
        <v>0</v>
      </c>
      <c r="H64" s="15">
        <f aca="true" t="shared" si="120" ref="H64:H65">F64*AE64</f>
        <v>0</v>
      </c>
      <c r="I64" s="15">
        <f aca="true" t="shared" si="121" ref="I64:I65">J64-H64</f>
        <v>0</v>
      </c>
      <c r="J64" s="15">
        <f aca="true" t="shared" si="122" ref="J64:J65">F64*G64</f>
        <v>0</v>
      </c>
      <c r="K64" s="15">
        <v>0</v>
      </c>
      <c r="L64" s="15">
        <f aca="true" t="shared" si="123" ref="L64:L65">F64*K64</f>
        <v>0</v>
      </c>
      <c r="M64" s="16" t="s">
        <v>164</v>
      </c>
      <c r="N64" s="16" t="s">
        <v>56</v>
      </c>
      <c r="O64" s="15">
        <f aca="true" t="shared" si="124" ref="O64:O65">IF(N64="5",I64,0)</f>
        <v>0</v>
      </c>
      <c r="Z64" s="15">
        <f aca="true" t="shared" si="125" ref="Z64:Z65">IF(AD64=0,J64,0)</f>
        <v>0</v>
      </c>
      <c r="AA64" s="15">
        <f aca="true" t="shared" si="126" ref="AA64:AA65">IF(AD64=15,J64,0)</f>
        <v>0</v>
      </c>
      <c r="AB64" s="15">
        <f aca="true" t="shared" si="127" ref="AB64:AB65">IF(AD64=21,J64,0)</f>
        <v>0</v>
      </c>
      <c r="AD64" s="15">
        <v>21</v>
      </c>
      <c r="AE64" s="15">
        <f>G64*0.439323</f>
        <v>0</v>
      </c>
      <c r="AF64" s="15">
        <f>G64*(1-0.439323)</f>
        <v>0</v>
      </c>
      <c r="AM64" s="15">
        <f aca="true" t="shared" si="128" ref="AM64:AM65">F64*AE64</f>
        <v>0</v>
      </c>
      <c r="AN64" s="15">
        <f aca="true" t="shared" si="129" ref="AN64:AN65">F64*AF64</f>
        <v>0</v>
      </c>
      <c r="AO64" s="16" t="s">
        <v>320</v>
      </c>
      <c r="AP64" s="16" t="s">
        <v>318</v>
      </c>
      <c r="AQ64" s="21" t="s">
        <v>179</v>
      </c>
    </row>
    <row r="65" spans="1:43" ht="12.75" customHeight="1">
      <c r="A65" s="14" t="s">
        <v>214</v>
      </c>
      <c r="B65" s="14"/>
      <c r="C65" s="14" t="s">
        <v>215</v>
      </c>
      <c r="D65" s="14" t="s">
        <v>216</v>
      </c>
      <c r="E65" s="14" t="s">
        <v>217</v>
      </c>
      <c r="F65" s="15">
        <v>11.56</v>
      </c>
      <c r="G65" s="15">
        <v>0</v>
      </c>
      <c r="H65" s="15">
        <f t="shared" si="120"/>
        <v>0</v>
      </c>
      <c r="I65" s="15">
        <f t="shared" si="121"/>
        <v>0</v>
      </c>
      <c r="J65" s="15">
        <f t="shared" si="122"/>
        <v>0</v>
      </c>
      <c r="K65" s="15">
        <v>0</v>
      </c>
      <c r="L65" s="15">
        <f t="shared" si="123"/>
        <v>0</v>
      </c>
      <c r="M65" s="16" t="s">
        <v>164</v>
      </c>
      <c r="N65" s="16" t="s">
        <v>56</v>
      </c>
      <c r="O65" s="15">
        <f t="shared" si="124"/>
        <v>0</v>
      </c>
      <c r="Z65" s="15">
        <f t="shared" si="125"/>
        <v>0</v>
      </c>
      <c r="AA65" s="15">
        <f t="shared" si="126"/>
        <v>0</v>
      </c>
      <c r="AB65" s="15">
        <f t="shared" si="127"/>
        <v>0</v>
      </c>
      <c r="AD65" s="15">
        <v>21</v>
      </c>
      <c r="AE65" s="15">
        <f>G65*0</f>
        <v>0</v>
      </c>
      <c r="AF65" s="15">
        <f>G65*(1-0)</f>
        <v>0</v>
      </c>
      <c r="AM65" s="15">
        <f t="shared" si="128"/>
        <v>0</v>
      </c>
      <c r="AN65" s="15">
        <f t="shared" si="129"/>
        <v>0</v>
      </c>
      <c r="AO65" s="16" t="s">
        <v>320</v>
      </c>
      <c r="AP65" s="16" t="s">
        <v>318</v>
      </c>
      <c r="AQ65" s="21" t="s">
        <v>179</v>
      </c>
    </row>
    <row r="66" spans="1:37" ht="12.75" customHeight="1">
      <c r="A66" s="60"/>
      <c r="B66" s="20"/>
      <c r="C66" s="20" t="s">
        <v>137</v>
      </c>
      <c r="D66" s="61" t="s">
        <v>138</v>
      </c>
      <c r="E66" s="63"/>
      <c r="F66" s="63"/>
      <c r="G66" s="64"/>
      <c r="H66" s="23">
        <f aca="true" t="shared" si="130" ref="H66:I66">SUM(H67:H70)</f>
        <v>0</v>
      </c>
      <c r="I66" s="23">
        <f t="shared" si="130"/>
        <v>0</v>
      </c>
      <c r="J66" s="23">
        <f>H66+I66</f>
        <v>0</v>
      </c>
      <c r="K66" s="21"/>
      <c r="L66" s="23">
        <f>SUM(L67:L70)</f>
        <v>0</v>
      </c>
      <c r="M66" s="21"/>
      <c r="P66" s="23">
        <f>IF(Q66="PR",J66,SUM(O67:O70))</f>
        <v>0</v>
      </c>
      <c r="Q66" s="21" t="s">
        <v>321</v>
      </c>
      <c r="R66" s="23">
        <f>IF(Q66="HS",H66,0)</f>
        <v>0</v>
      </c>
      <c r="S66" s="23">
        <f>IF(Q66="HS",I66-P66,0)</f>
        <v>0</v>
      </c>
      <c r="T66" s="23">
        <f>IF(Q66="PS",H66,0)</f>
        <v>0</v>
      </c>
      <c r="U66" s="23">
        <f>IF(Q66="PS",I66-P66,0)</f>
        <v>0</v>
      </c>
      <c r="V66" s="23">
        <f>IF(Q66="MP",H66,0)</f>
        <v>0</v>
      </c>
      <c r="W66" s="23">
        <f>IF(Q66="MP",I66-P66,0)</f>
        <v>0</v>
      </c>
      <c r="X66" s="23">
        <f>IF(Q66="OM",H66,0)</f>
        <v>0</v>
      </c>
      <c r="Y66" s="21"/>
      <c r="AI66" s="23">
        <f aca="true" t="shared" si="131" ref="AI66:AK66">SUM(Z67:Z70)</f>
        <v>0</v>
      </c>
      <c r="AJ66" s="23">
        <f t="shared" si="131"/>
        <v>0</v>
      </c>
      <c r="AK66" s="23">
        <f t="shared" si="131"/>
        <v>0</v>
      </c>
    </row>
    <row r="67" spans="1:43" ht="12.75" customHeight="1">
      <c r="A67" s="14" t="s">
        <v>218</v>
      </c>
      <c r="B67" s="14"/>
      <c r="C67" s="14" t="s">
        <v>219</v>
      </c>
      <c r="D67" s="14" t="s">
        <v>220</v>
      </c>
      <c r="E67" s="14" t="s">
        <v>52</v>
      </c>
      <c r="F67" s="15">
        <v>1</v>
      </c>
      <c r="G67" s="15">
        <v>0</v>
      </c>
      <c r="H67" s="15">
        <f aca="true" t="shared" si="132" ref="H67:H70">F67*AE67</f>
        <v>0</v>
      </c>
      <c r="I67" s="15">
        <f aca="true" t="shared" si="133" ref="I67:I70">J67-H67</f>
        <v>0</v>
      </c>
      <c r="J67" s="15">
        <f aca="true" t="shared" si="134" ref="J67:J70">F67*G67</f>
        <v>0</v>
      </c>
      <c r="K67" s="15">
        <v>0</v>
      </c>
      <c r="L67" s="15">
        <f aca="true" t="shared" si="135" ref="L67:L70">F67*K67</f>
        <v>0</v>
      </c>
      <c r="M67" s="16" t="s">
        <v>164</v>
      </c>
      <c r="N67" s="16" t="s">
        <v>32</v>
      </c>
      <c r="O67" s="15">
        <f aca="true" t="shared" si="136" ref="O67:O70">IF(N67="5",I67,0)</f>
        <v>0</v>
      </c>
      <c r="Z67" s="15">
        <f aca="true" t="shared" si="137" ref="Z67:Z70">IF(AD67=0,J67,0)</f>
        <v>0</v>
      </c>
      <c r="AA67" s="15">
        <f aca="true" t="shared" si="138" ref="AA67:AA70">IF(AD67=15,J67,0)</f>
        <v>0</v>
      </c>
      <c r="AB67" s="15">
        <f aca="true" t="shared" si="139" ref="AB67:AB70">IF(AD67=21,J67,0)</f>
        <v>0</v>
      </c>
      <c r="AD67" s="15">
        <v>21</v>
      </c>
      <c r="AE67" s="15">
        <f>G67*0.37426625</f>
        <v>0</v>
      </c>
      <c r="AF67" s="15">
        <f>G67*(1-0.37426625)</f>
        <v>0</v>
      </c>
      <c r="AM67" s="15">
        <f aca="true" t="shared" si="140" ref="AM67:AM70">F67*AE67</f>
        <v>0</v>
      </c>
      <c r="AN67" s="15">
        <f aca="true" t="shared" si="141" ref="AN67:AN70">F67*AF67</f>
        <v>0</v>
      </c>
      <c r="AO67" s="16" t="s">
        <v>322</v>
      </c>
      <c r="AP67" s="16" t="s">
        <v>318</v>
      </c>
      <c r="AQ67" s="21" t="s">
        <v>179</v>
      </c>
    </row>
    <row r="68" spans="1:43" ht="12.75" customHeight="1">
      <c r="A68" s="14" t="s">
        <v>221</v>
      </c>
      <c r="B68" s="14"/>
      <c r="C68" s="14" t="s">
        <v>222</v>
      </c>
      <c r="D68" s="14" t="s">
        <v>223</v>
      </c>
      <c r="E68" s="14" t="s">
        <v>52</v>
      </c>
      <c r="F68" s="15">
        <v>1</v>
      </c>
      <c r="G68" s="15">
        <v>0</v>
      </c>
      <c r="H68" s="15">
        <f t="shared" si="132"/>
        <v>0</v>
      </c>
      <c r="I68" s="15">
        <f t="shared" si="133"/>
        <v>0</v>
      </c>
      <c r="J68" s="15">
        <f t="shared" si="134"/>
        <v>0</v>
      </c>
      <c r="K68" s="15">
        <v>0</v>
      </c>
      <c r="L68" s="15">
        <f t="shared" si="135"/>
        <v>0</v>
      </c>
      <c r="M68" s="16" t="s">
        <v>164</v>
      </c>
      <c r="N68" s="16" t="s">
        <v>32</v>
      </c>
      <c r="O68" s="15">
        <f t="shared" si="136"/>
        <v>0</v>
      </c>
      <c r="Z68" s="15">
        <f t="shared" si="137"/>
        <v>0</v>
      </c>
      <c r="AA68" s="15">
        <f t="shared" si="138"/>
        <v>0</v>
      </c>
      <c r="AB68" s="15">
        <f t="shared" si="139"/>
        <v>0</v>
      </c>
      <c r="AD68" s="15">
        <v>21</v>
      </c>
      <c r="AE68" s="15">
        <f>G68*0.78146375</f>
        <v>0</v>
      </c>
      <c r="AF68" s="15">
        <f>G68*(1-0.78146375)</f>
        <v>0</v>
      </c>
      <c r="AM68" s="15">
        <f t="shared" si="140"/>
        <v>0</v>
      </c>
      <c r="AN68" s="15">
        <f t="shared" si="141"/>
        <v>0</v>
      </c>
      <c r="AO68" s="16" t="s">
        <v>322</v>
      </c>
      <c r="AP68" s="16" t="s">
        <v>318</v>
      </c>
      <c r="AQ68" s="21" t="s">
        <v>179</v>
      </c>
    </row>
    <row r="69" spans="1:43" ht="12.75" customHeight="1">
      <c r="A69" s="14" t="s">
        <v>224</v>
      </c>
      <c r="B69" s="14"/>
      <c r="C69" s="14" t="s">
        <v>225</v>
      </c>
      <c r="D69" s="14" t="s">
        <v>226</v>
      </c>
      <c r="E69" s="14" t="s">
        <v>63</v>
      </c>
      <c r="F69" s="15">
        <v>15</v>
      </c>
      <c r="G69" s="15">
        <v>0</v>
      </c>
      <c r="H69" s="15">
        <f t="shared" si="132"/>
        <v>0</v>
      </c>
      <c r="I69" s="15">
        <f t="shared" si="133"/>
        <v>0</v>
      </c>
      <c r="J69" s="15">
        <f t="shared" si="134"/>
        <v>0</v>
      </c>
      <c r="K69" s="15">
        <v>0</v>
      </c>
      <c r="L69" s="15">
        <f t="shared" si="135"/>
        <v>0</v>
      </c>
      <c r="M69" s="16" t="s">
        <v>164</v>
      </c>
      <c r="N69" s="16" t="s">
        <v>32</v>
      </c>
      <c r="O69" s="15">
        <f t="shared" si="136"/>
        <v>0</v>
      </c>
      <c r="Z69" s="15">
        <f t="shared" si="137"/>
        <v>0</v>
      </c>
      <c r="AA69" s="15">
        <f t="shared" si="138"/>
        <v>0</v>
      </c>
      <c r="AB69" s="15">
        <f t="shared" si="139"/>
        <v>0</v>
      </c>
      <c r="AD69" s="15">
        <v>21</v>
      </c>
      <c r="AE69" s="15">
        <f>G69*0.735428571428571</f>
        <v>0</v>
      </c>
      <c r="AF69" s="15">
        <f>G69*(1-0.735428571428571)</f>
        <v>0</v>
      </c>
      <c r="AM69" s="15">
        <f t="shared" si="140"/>
        <v>0</v>
      </c>
      <c r="AN69" s="15">
        <f t="shared" si="141"/>
        <v>0</v>
      </c>
      <c r="AO69" s="16" t="s">
        <v>322</v>
      </c>
      <c r="AP69" s="16" t="s">
        <v>318</v>
      </c>
      <c r="AQ69" s="21" t="s">
        <v>179</v>
      </c>
    </row>
    <row r="70" spans="1:43" ht="12.75" customHeight="1">
      <c r="A70" s="139" t="s">
        <v>227</v>
      </c>
      <c r="B70" s="139"/>
      <c r="C70" s="139" t="s">
        <v>228</v>
      </c>
      <c r="D70" s="139" t="s">
        <v>229</v>
      </c>
      <c r="E70" s="139" t="s">
        <v>63</v>
      </c>
      <c r="F70" s="140">
        <v>12</v>
      </c>
      <c r="G70" s="140">
        <v>0</v>
      </c>
      <c r="H70" s="140">
        <f t="shared" si="132"/>
        <v>0</v>
      </c>
      <c r="I70" s="140">
        <f t="shared" si="133"/>
        <v>0</v>
      </c>
      <c r="J70" s="140">
        <f t="shared" si="134"/>
        <v>0</v>
      </c>
      <c r="K70" s="140">
        <v>0</v>
      </c>
      <c r="L70" s="140">
        <f t="shared" si="135"/>
        <v>0</v>
      </c>
      <c r="M70" s="141" t="s">
        <v>164</v>
      </c>
      <c r="N70" s="16" t="s">
        <v>32</v>
      </c>
      <c r="O70" s="15">
        <f t="shared" si="136"/>
        <v>0</v>
      </c>
      <c r="Z70" s="15">
        <f t="shared" si="137"/>
        <v>0</v>
      </c>
      <c r="AA70" s="15">
        <f t="shared" si="138"/>
        <v>0</v>
      </c>
      <c r="AB70" s="15">
        <f t="shared" si="139"/>
        <v>0</v>
      </c>
      <c r="AD70" s="15">
        <v>21</v>
      </c>
      <c r="AE70" s="15">
        <f>G70*0.8578</f>
        <v>0</v>
      </c>
      <c r="AF70" s="15">
        <f>G70*(1-0.8578)</f>
        <v>0</v>
      </c>
      <c r="AM70" s="15">
        <f t="shared" si="140"/>
        <v>0</v>
      </c>
      <c r="AN70" s="15">
        <f t="shared" si="141"/>
        <v>0</v>
      </c>
      <c r="AO70" s="16" t="s">
        <v>322</v>
      </c>
      <c r="AP70" s="16" t="s">
        <v>318</v>
      </c>
      <c r="AQ70" s="21" t="s">
        <v>179</v>
      </c>
    </row>
    <row r="71" spans="1:28" ht="12.75" customHeight="1">
      <c r="A71" s="104"/>
      <c r="B71" s="104"/>
      <c r="C71" s="104"/>
      <c r="D71" s="104"/>
      <c r="E71" s="104"/>
      <c r="F71" s="104"/>
      <c r="G71" s="104"/>
      <c r="H71" s="142" t="s">
        <v>139</v>
      </c>
      <c r="I71" s="8"/>
      <c r="J71" s="143">
        <f>J12+J14+J17+J19+J24+J26+J32+J35+J41+J47+J52+J54+J58+J60+J63+J66</f>
        <v>0</v>
      </c>
      <c r="K71" s="104"/>
      <c r="L71" s="104"/>
      <c r="M71" s="104"/>
      <c r="Z71" s="57">
        <f aca="true" t="shared" si="142" ref="Z71:AB71">SUM(Z13:Z70)</f>
        <v>0</v>
      </c>
      <c r="AA71" s="57">
        <f t="shared" si="142"/>
        <v>0</v>
      </c>
      <c r="AB71" s="57">
        <f t="shared" si="142"/>
        <v>0</v>
      </c>
    </row>
    <row r="72" ht="10.5" customHeight="1">
      <c r="A72" s="66" t="s">
        <v>230</v>
      </c>
    </row>
    <row r="73" ht="409.5" customHeight="1" hidden="1">
      <c r="A73" s="25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5">
    <mergeCell ref="D19:G19"/>
    <mergeCell ref="D24:G24"/>
    <mergeCell ref="E8:F9"/>
    <mergeCell ref="D12:G12"/>
    <mergeCell ref="D8:D9"/>
    <mergeCell ref="G6:H7"/>
    <mergeCell ref="D6:D7"/>
    <mergeCell ref="E6:F7"/>
    <mergeCell ref="D32:G32"/>
    <mergeCell ref="D35:G35"/>
    <mergeCell ref="D26:G26"/>
    <mergeCell ref="G8:H9"/>
    <mergeCell ref="E4:F5"/>
    <mergeCell ref="D4:D5"/>
    <mergeCell ref="D2:D3"/>
    <mergeCell ref="A2:C3"/>
    <mergeCell ref="A8:C9"/>
    <mergeCell ref="A6:C7"/>
    <mergeCell ref="E2:F3"/>
    <mergeCell ref="G2:H3"/>
    <mergeCell ref="I6:I7"/>
    <mergeCell ref="I8:I9"/>
    <mergeCell ref="J8:M9"/>
    <mergeCell ref="H10:J10"/>
    <mergeCell ref="K10:L10"/>
    <mergeCell ref="J2:M3"/>
    <mergeCell ref="J4:M5"/>
    <mergeCell ref="G4:H5"/>
    <mergeCell ref="I4:I5"/>
    <mergeCell ref="J6:M7"/>
    <mergeCell ref="A1:M1"/>
    <mergeCell ref="I2:I3"/>
    <mergeCell ref="A4:C5"/>
    <mergeCell ref="D17:G17"/>
    <mergeCell ref="D14:G14"/>
    <mergeCell ref="D47:G47"/>
    <mergeCell ref="D52:G52"/>
    <mergeCell ref="D41:G41"/>
    <mergeCell ref="D60:G60"/>
    <mergeCell ref="D58:G58"/>
    <mergeCell ref="D63:G63"/>
    <mergeCell ref="D66:G66"/>
    <mergeCell ref="H71:I71"/>
    <mergeCell ref="A73:M73"/>
    <mergeCell ref="D54:G54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F62"/>
  <sheetViews>
    <sheetView workbookViewId="0" topLeftCell="A1"/>
  </sheetViews>
  <sheetFormatPr defaultColWidth="14.421875" defaultRowHeight="15" customHeight="1"/>
  <cols>
    <col min="1" max="1" width="3.00390625" style="0" customWidth="1"/>
    <col min="2" max="2" width="5.421875" style="0" customWidth="1"/>
    <col min="3" max="3" width="12.00390625" style="0" customWidth="1"/>
    <col min="4" max="4" width="61.00390625" style="0" customWidth="1"/>
    <col min="5" max="5" width="3.421875" style="0" customWidth="1"/>
    <col min="6" max="6" width="8.8515625" style="0" customWidth="1"/>
    <col min="7" max="7" width="10.28125" style="0" customWidth="1"/>
    <col min="8" max="8" width="16.57421875" style="0" customWidth="1"/>
    <col min="9" max="9" width="16.7109375" style="0" customWidth="1"/>
    <col min="10" max="11" width="16.57421875" style="0" customWidth="1"/>
    <col min="12" max="12" width="18.00390625" style="0" customWidth="1"/>
    <col min="13" max="13" width="16.57421875" style="0" customWidth="1"/>
    <col min="14" max="30" width="11.57421875" style="0" customWidth="1"/>
    <col min="31" max="32" width="9.7109375" style="0" hidden="1" customWidth="1"/>
  </cols>
  <sheetData>
    <row r="1" spans="1:14" ht="12.75" customHeight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3" t="s">
        <v>13</v>
      </c>
      <c r="N1" s="5"/>
    </row>
    <row r="2" spans="1:13" ht="12.75" customHeight="1">
      <c r="A2" s="6" t="s">
        <v>15</v>
      </c>
      <c r="B2" s="6" t="s">
        <v>15</v>
      </c>
      <c r="C2" s="6" t="s">
        <v>16</v>
      </c>
      <c r="D2" s="6" t="s">
        <v>17</v>
      </c>
      <c r="E2" s="6" t="s">
        <v>15</v>
      </c>
      <c r="F2" s="6" t="s">
        <v>15</v>
      </c>
      <c r="G2" s="9" t="s">
        <v>15</v>
      </c>
      <c r="H2" s="9" t="s">
        <v>15</v>
      </c>
      <c r="I2" s="9"/>
      <c r="J2" s="9"/>
      <c r="K2" s="9"/>
      <c r="L2" s="9" t="s">
        <v>15</v>
      </c>
      <c r="M2" s="12">
        <f>SUM(M3)</f>
        <v>0.1556</v>
      </c>
    </row>
    <row r="3" spans="1:32" ht="12.75" customHeight="1">
      <c r="A3" s="14" t="s">
        <v>22</v>
      </c>
      <c r="B3" s="14"/>
      <c r="C3" s="14" t="s">
        <v>23</v>
      </c>
      <c r="D3" s="14" t="s">
        <v>24</v>
      </c>
      <c r="E3" s="14" t="s">
        <v>25</v>
      </c>
      <c r="F3" s="14" t="s">
        <v>26</v>
      </c>
      <c r="G3" s="15">
        <v>4</v>
      </c>
      <c r="H3" s="16"/>
      <c r="I3" s="16"/>
      <c r="J3" s="16"/>
      <c r="K3" s="16"/>
      <c r="L3" s="15">
        <v>0.0389</v>
      </c>
      <c r="M3" s="15">
        <f>L3*G3</f>
        <v>0.1556</v>
      </c>
      <c r="AE3" s="18">
        <f>H3*0.69328</f>
        <v>0</v>
      </c>
      <c r="AF3" s="18">
        <f>H3*(1-0.69328)</f>
        <v>0</v>
      </c>
    </row>
    <row r="4" spans="1:13" ht="12.75" customHeight="1">
      <c r="A4" s="20" t="s">
        <v>15</v>
      </c>
      <c r="B4" s="20" t="s">
        <v>15</v>
      </c>
      <c r="C4" s="20" t="s">
        <v>29</v>
      </c>
      <c r="D4" s="20" t="s">
        <v>30</v>
      </c>
      <c r="E4" s="20" t="s">
        <v>15</v>
      </c>
      <c r="F4" s="20" t="s">
        <v>15</v>
      </c>
      <c r="G4" s="21" t="s">
        <v>15</v>
      </c>
      <c r="H4" s="21" t="s">
        <v>15</v>
      </c>
      <c r="I4" s="21"/>
      <c r="J4" s="21"/>
      <c r="K4" s="21"/>
      <c r="L4" s="21" t="s">
        <v>15</v>
      </c>
      <c r="M4" s="23">
        <f>SUM(M5:M6)</f>
        <v>5.0408</v>
      </c>
    </row>
    <row r="5" spans="1:32" ht="12.75" customHeight="1">
      <c r="A5" s="14" t="s">
        <v>32</v>
      </c>
      <c r="B5" s="14"/>
      <c r="C5" s="14" t="s">
        <v>33</v>
      </c>
      <c r="D5" s="14" t="s">
        <v>34</v>
      </c>
      <c r="E5" s="14" t="s">
        <v>25</v>
      </c>
      <c r="F5" s="14" t="s">
        <v>26</v>
      </c>
      <c r="G5" s="15">
        <v>485</v>
      </c>
      <c r="H5" s="16"/>
      <c r="I5" s="16"/>
      <c r="J5" s="16"/>
      <c r="K5" s="16"/>
      <c r="L5" s="15">
        <v>0.01038</v>
      </c>
      <c r="M5" s="15">
        <f aca="true" t="shared" si="0" ref="M5:M6">L5*G5</f>
        <v>5.0343</v>
      </c>
      <c r="AE5" s="18">
        <f>H5*0.277374470659407</f>
        <v>0</v>
      </c>
      <c r="AF5" s="18">
        <f>H5*(1-0.277374470659407)</f>
        <v>0</v>
      </c>
    </row>
    <row r="6" spans="1:32" ht="12.75" customHeight="1">
      <c r="A6" s="14" t="s">
        <v>38</v>
      </c>
      <c r="B6" s="14"/>
      <c r="C6" s="14" t="s">
        <v>39</v>
      </c>
      <c r="D6" s="14" t="s">
        <v>40</v>
      </c>
      <c r="E6" s="14" t="s">
        <v>25</v>
      </c>
      <c r="F6" s="14" t="s">
        <v>26</v>
      </c>
      <c r="G6" s="15">
        <v>650</v>
      </c>
      <c r="H6" s="16"/>
      <c r="I6" s="16"/>
      <c r="J6" s="16"/>
      <c r="K6" s="16"/>
      <c r="L6" s="15">
        <v>1E-05</v>
      </c>
      <c r="M6" s="15">
        <f t="shared" si="0"/>
        <v>0.0065</v>
      </c>
      <c r="AE6" s="18">
        <f>H6*0.501090909090909</f>
        <v>0</v>
      </c>
      <c r="AF6" s="18">
        <f>H6*(1-0.501090909090909)</f>
        <v>0</v>
      </c>
    </row>
    <row r="7" spans="1:13" ht="12.75" customHeight="1">
      <c r="A7" s="20" t="s">
        <v>15</v>
      </c>
      <c r="B7" s="20" t="s">
        <v>15</v>
      </c>
      <c r="C7" s="20" t="s">
        <v>45</v>
      </c>
      <c r="D7" s="20" t="s">
        <v>46</v>
      </c>
      <c r="E7" s="20" t="s">
        <v>15</v>
      </c>
      <c r="F7" s="20" t="s">
        <v>15</v>
      </c>
      <c r="G7" s="21" t="s">
        <v>15</v>
      </c>
      <c r="H7" s="21" t="s">
        <v>15</v>
      </c>
      <c r="I7" s="21"/>
      <c r="J7" s="21"/>
      <c r="K7" s="21"/>
      <c r="L7" s="21" t="s">
        <v>15</v>
      </c>
      <c r="M7" s="23">
        <f>SUM(M8)</f>
        <v>0.00022</v>
      </c>
    </row>
    <row r="8" spans="1:32" ht="12.75" customHeight="1">
      <c r="A8" s="14" t="s">
        <v>49</v>
      </c>
      <c r="B8" s="14"/>
      <c r="C8" s="14" t="s">
        <v>50</v>
      </c>
      <c r="D8" s="14" t="s">
        <v>51</v>
      </c>
      <c r="E8" s="14" t="s">
        <v>52</v>
      </c>
      <c r="F8" s="14" t="s">
        <v>26</v>
      </c>
      <c r="G8" s="15">
        <v>1</v>
      </c>
      <c r="H8" s="16"/>
      <c r="I8" s="16"/>
      <c r="J8" s="16"/>
      <c r="K8" s="16"/>
      <c r="L8" s="15">
        <v>0.00022</v>
      </c>
      <c r="M8" s="15">
        <f>L8*G8</f>
        <v>0.00022</v>
      </c>
      <c r="AE8" s="18">
        <f>H8*0.621751584677516</f>
        <v>0</v>
      </c>
      <c r="AF8" s="18">
        <f>H8*(1-0.621751584677516)</f>
        <v>0</v>
      </c>
    </row>
    <row r="9" spans="1:13" ht="12.75" customHeight="1">
      <c r="A9" s="20" t="s">
        <v>15</v>
      </c>
      <c r="B9" s="20" t="s">
        <v>15</v>
      </c>
      <c r="C9" s="20" t="s">
        <v>54</v>
      </c>
      <c r="D9" s="20" t="s">
        <v>55</v>
      </c>
      <c r="E9" s="20" t="s">
        <v>15</v>
      </c>
      <c r="F9" s="20" t="s">
        <v>15</v>
      </c>
      <c r="G9" s="21" t="s">
        <v>15</v>
      </c>
      <c r="H9" s="21" t="s">
        <v>15</v>
      </c>
      <c r="I9" s="21"/>
      <c r="J9" s="21"/>
      <c r="K9" s="21"/>
      <c r="L9" s="21" t="s">
        <v>15</v>
      </c>
      <c r="M9" s="23">
        <f>SUM(M10:M13)</f>
        <v>0.1498</v>
      </c>
    </row>
    <row r="10" spans="1:32" ht="12.75" customHeight="1">
      <c r="A10" s="14" t="s">
        <v>56</v>
      </c>
      <c r="B10" s="14"/>
      <c r="C10" s="14" t="s">
        <v>57</v>
      </c>
      <c r="D10" s="14" t="s">
        <v>58</v>
      </c>
      <c r="E10" s="14" t="s">
        <v>59</v>
      </c>
      <c r="F10" s="14" t="s">
        <v>26</v>
      </c>
      <c r="G10" s="15">
        <v>35</v>
      </c>
      <c r="H10" s="16"/>
      <c r="I10" s="16"/>
      <c r="J10" s="16"/>
      <c r="K10" s="16"/>
      <c r="L10" s="15">
        <v>0.004</v>
      </c>
      <c r="M10" s="15">
        <f aca="true" t="shared" si="1" ref="M10:M13">L10*G10</f>
        <v>0.14</v>
      </c>
      <c r="AE10" s="18">
        <f>H10*0.757929824561403</f>
        <v>0</v>
      </c>
      <c r="AF10" s="18">
        <f>H10*(1-0.757929824561403)</f>
        <v>0</v>
      </c>
    </row>
    <row r="11" spans="1:32" ht="12.75" customHeight="1">
      <c r="A11" s="14" t="s">
        <v>60</v>
      </c>
      <c r="B11" s="14"/>
      <c r="C11" s="14" t="s">
        <v>61</v>
      </c>
      <c r="D11" s="14" t="s">
        <v>62</v>
      </c>
      <c r="E11" s="14" t="s">
        <v>63</v>
      </c>
      <c r="F11" s="14" t="s">
        <v>26</v>
      </c>
      <c r="G11" s="15">
        <v>20</v>
      </c>
      <c r="H11" s="16"/>
      <c r="I11" s="16"/>
      <c r="J11" s="16"/>
      <c r="K11" s="16"/>
      <c r="L11" s="15">
        <v>0</v>
      </c>
      <c r="M11" s="15">
        <f t="shared" si="1"/>
        <v>0</v>
      </c>
      <c r="AE11" s="18">
        <f>H11*0</f>
        <v>0</v>
      </c>
      <c r="AF11" s="18">
        <f>H11*(1-0)</f>
        <v>0</v>
      </c>
    </row>
    <row r="12" spans="1:32" ht="12.75" customHeight="1">
      <c r="A12" s="14" t="s">
        <v>65</v>
      </c>
      <c r="B12" s="14"/>
      <c r="C12" s="14" t="s">
        <v>66</v>
      </c>
      <c r="D12" s="14" t="s">
        <v>67</v>
      </c>
      <c r="E12" s="14" t="s">
        <v>59</v>
      </c>
      <c r="F12" s="14" t="s">
        <v>26</v>
      </c>
      <c r="G12" s="15">
        <v>35</v>
      </c>
      <c r="H12" s="16"/>
      <c r="I12" s="16"/>
      <c r="J12" s="16"/>
      <c r="K12" s="16"/>
      <c r="L12" s="15">
        <v>0.00028</v>
      </c>
      <c r="M12" s="15">
        <f t="shared" si="1"/>
        <v>0.0098</v>
      </c>
      <c r="AE12" s="18">
        <f>H12*0.134392180818571</f>
        <v>0</v>
      </c>
      <c r="AF12" s="18">
        <f>H12*(1-0.134392180818571)</f>
        <v>0</v>
      </c>
    </row>
    <row r="13" spans="1:32" ht="12.75" customHeight="1">
      <c r="A13" s="14" t="s">
        <v>72</v>
      </c>
      <c r="B13" s="14"/>
      <c r="C13" s="14" t="s">
        <v>73</v>
      </c>
      <c r="D13" s="14" t="s">
        <v>74</v>
      </c>
      <c r="E13" s="14" t="s">
        <v>52</v>
      </c>
      <c r="F13" s="14" t="s">
        <v>26</v>
      </c>
      <c r="G13" s="15">
        <v>1</v>
      </c>
      <c r="H13" s="16"/>
      <c r="I13" s="16"/>
      <c r="J13" s="16"/>
      <c r="K13" s="16"/>
      <c r="L13" s="15">
        <v>0</v>
      </c>
      <c r="M13" s="15">
        <f t="shared" si="1"/>
        <v>0</v>
      </c>
      <c r="AE13" s="18">
        <f>H13*0.94609765625</f>
        <v>0</v>
      </c>
      <c r="AF13" s="18">
        <f>H13*(1-0.94609765625)</f>
        <v>0</v>
      </c>
    </row>
    <row r="14" spans="1:13" ht="12.75" customHeight="1">
      <c r="A14" s="20" t="s">
        <v>15</v>
      </c>
      <c r="B14" s="20" t="s">
        <v>15</v>
      </c>
      <c r="C14" s="20" t="s">
        <v>75</v>
      </c>
      <c r="D14" s="20" t="s">
        <v>76</v>
      </c>
      <c r="E14" s="20" t="s">
        <v>15</v>
      </c>
      <c r="F14" s="20" t="s">
        <v>15</v>
      </c>
      <c r="G14" s="21" t="s">
        <v>15</v>
      </c>
      <c r="H14" s="21" t="s">
        <v>15</v>
      </c>
      <c r="I14" s="21"/>
      <c r="J14" s="21"/>
      <c r="K14" s="21"/>
      <c r="L14" s="21" t="s">
        <v>15</v>
      </c>
      <c r="M14" s="23">
        <f>SUM(M15)</f>
        <v>0.0004</v>
      </c>
    </row>
    <row r="15" spans="1:32" ht="12.75" customHeight="1">
      <c r="A15" s="14" t="s">
        <v>77</v>
      </c>
      <c r="B15" s="14"/>
      <c r="C15" s="14" t="s">
        <v>78</v>
      </c>
      <c r="D15" s="14" t="s">
        <v>79</v>
      </c>
      <c r="E15" s="14" t="s">
        <v>52</v>
      </c>
      <c r="F15" s="14" t="s">
        <v>26</v>
      </c>
      <c r="G15" s="15">
        <v>1</v>
      </c>
      <c r="H15" s="16"/>
      <c r="I15" s="16"/>
      <c r="J15" s="16"/>
      <c r="K15" s="16"/>
      <c r="L15" s="15">
        <v>0.0004</v>
      </c>
      <c r="M15" s="15">
        <f>L15*G15</f>
        <v>0.0004</v>
      </c>
      <c r="AE15" s="18">
        <f>H15*0.497079408934653</f>
        <v>0</v>
      </c>
      <c r="AF15" s="18">
        <f>H15*(1-0.497079408934653)</f>
        <v>0</v>
      </c>
    </row>
    <row r="16" spans="1:13" ht="12.75" customHeight="1">
      <c r="A16" s="20" t="s">
        <v>15</v>
      </c>
      <c r="B16" s="20" t="s">
        <v>15</v>
      </c>
      <c r="C16" s="20" t="s">
        <v>81</v>
      </c>
      <c r="D16" s="20" t="s">
        <v>82</v>
      </c>
      <c r="E16" s="20" t="s">
        <v>15</v>
      </c>
      <c r="F16" s="20" t="s">
        <v>15</v>
      </c>
      <c r="G16" s="21" t="s">
        <v>15</v>
      </c>
      <c r="H16" s="21" t="s">
        <v>15</v>
      </c>
      <c r="I16" s="21"/>
      <c r="J16" s="21"/>
      <c r="K16" s="21"/>
      <c r="L16" s="21" t="s">
        <v>15</v>
      </c>
      <c r="M16" s="23">
        <f>SUM(M17:M21)</f>
        <v>0.1227</v>
      </c>
    </row>
    <row r="17" spans="1:32" ht="12.75" customHeight="1">
      <c r="A17" s="14" t="s">
        <v>83</v>
      </c>
      <c r="B17" s="14"/>
      <c r="C17" s="14" t="s">
        <v>84</v>
      </c>
      <c r="D17" s="14" t="s">
        <v>85</v>
      </c>
      <c r="E17" s="14" t="s">
        <v>52</v>
      </c>
      <c r="F17" s="14" t="s">
        <v>26</v>
      </c>
      <c r="G17" s="15">
        <v>6</v>
      </c>
      <c r="H17" s="16"/>
      <c r="I17" s="16"/>
      <c r="J17" s="16"/>
      <c r="K17" s="16"/>
      <c r="L17" s="15">
        <v>0.00095</v>
      </c>
      <c r="M17" s="15">
        <f aca="true" t="shared" si="2" ref="M17:M21">L17*G17</f>
        <v>0.0057</v>
      </c>
      <c r="AE17" s="18">
        <f>H17*0.0722</f>
        <v>0</v>
      </c>
      <c r="AF17" s="18">
        <f>H17*(1-0.0722)</f>
        <v>0</v>
      </c>
    </row>
    <row r="18" spans="1:32" ht="12.75" customHeight="1">
      <c r="A18" s="14" t="s">
        <v>87</v>
      </c>
      <c r="B18" s="14"/>
      <c r="C18" s="14" t="s">
        <v>88</v>
      </c>
      <c r="D18" s="14" t="s">
        <v>89</v>
      </c>
      <c r="E18" s="14" t="s">
        <v>63</v>
      </c>
      <c r="F18" s="14" t="s">
        <v>26</v>
      </c>
      <c r="G18" s="15">
        <v>6</v>
      </c>
      <c r="H18" s="16"/>
      <c r="I18" s="16"/>
      <c r="J18" s="16"/>
      <c r="K18" s="16"/>
      <c r="L18" s="15">
        <v>0.001</v>
      </c>
      <c r="M18" s="15">
        <f t="shared" si="2"/>
        <v>0.006</v>
      </c>
      <c r="AE18" s="18">
        <f>H18*0.825253333333333</f>
        <v>0</v>
      </c>
      <c r="AF18" s="18">
        <f>H18*(1-0.825253333333333)</f>
        <v>0</v>
      </c>
    </row>
    <row r="19" spans="1:32" ht="12.75" customHeight="1">
      <c r="A19" s="14" t="s">
        <v>92</v>
      </c>
      <c r="B19" s="14"/>
      <c r="C19" s="14" t="s">
        <v>93</v>
      </c>
      <c r="D19" s="14" t="s">
        <v>94</v>
      </c>
      <c r="E19" s="14" t="s">
        <v>63</v>
      </c>
      <c r="F19" s="14" t="s">
        <v>26</v>
      </c>
      <c r="G19" s="15">
        <v>6</v>
      </c>
      <c r="H19" s="16"/>
      <c r="I19" s="16"/>
      <c r="J19" s="16"/>
      <c r="K19" s="16"/>
      <c r="L19" s="15">
        <v>0.01651</v>
      </c>
      <c r="M19" s="15">
        <f t="shared" si="2"/>
        <v>0.09906</v>
      </c>
      <c r="AE19" s="18">
        <f>H19*0.699406896551724</f>
        <v>0</v>
      </c>
      <c r="AF19" s="18">
        <f>H19*(1-0.699406896551724)</f>
        <v>0</v>
      </c>
    </row>
    <row r="20" spans="1:32" ht="12.75" customHeight="1">
      <c r="A20" s="14" t="s">
        <v>97</v>
      </c>
      <c r="B20" s="14"/>
      <c r="C20" s="14" t="s">
        <v>98</v>
      </c>
      <c r="D20" s="14" t="s">
        <v>99</v>
      </c>
      <c r="E20" s="14" t="s">
        <v>63</v>
      </c>
      <c r="F20" s="14" t="s">
        <v>26</v>
      </c>
      <c r="G20" s="15">
        <v>6</v>
      </c>
      <c r="H20" s="16"/>
      <c r="I20" s="16"/>
      <c r="J20" s="16"/>
      <c r="K20" s="16"/>
      <c r="L20" s="15">
        <v>0.00199</v>
      </c>
      <c r="M20" s="15">
        <f t="shared" si="2"/>
        <v>0.01194</v>
      </c>
      <c r="AE20" s="18">
        <f>H20*0.538541176470588</f>
        <v>0</v>
      </c>
      <c r="AF20" s="18">
        <f>H20*(1-0.538541176470588)</f>
        <v>0</v>
      </c>
    </row>
    <row r="21" spans="1:32" ht="12.75" customHeight="1">
      <c r="A21" s="14" t="s">
        <v>112</v>
      </c>
      <c r="B21" s="14"/>
      <c r="C21" s="14" t="s">
        <v>113</v>
      </c>
      <c r="D21" s="14" t="s">
        <v>114</v>
      </c>
      <c r="E21" s="14" t="s">
        <v>63</v>
      </c>
      <c r="F21" s="14" t="s">
        <v>26</v>
      </c>
      <c r="G21" s="15">
        <v>6</v>
      </c>
      <c r="H21" s="16"/>
      <c r="I21" s="16"/>
      <c r="J21" s="16"/>
      <c r="K21" s="16"/>
      <c r="L21" s="15">
        <v>0</v>
      </c>
      <c r="M21" s="15">
        <f t="shared" si="2"/>
        <v>0</v>
      </c>
      <c r="AE21" s="18">
        <f>H21*0.904443661971831</f>
        <v>0</v>
      </c>
      <c r="AF21" s="18">
        <f>H21*(1-0.904443661971831)</f>
        <v>0</v>
      </c>
    </row>
    <row r="22" spans="1:13" ht="12.75" customHeight="1">
      <c r="A22" s="20" t="s">
        <v>15</v>
      </c>
      <c r="B22" s="20" t="s">
        <v>15</v>
      </c>
      <c r="C22" s="20" t="s">
        <v>95</v>
      </c>
      <c r="D22" s="20" t="s">
        <v>96</v>
      </c>
      <c r="E22" s="20" t="s">
        <v>15</v>
      </c>
      <c r="F22" s="20" t="s">
        <v>15</v>
      </c>
      <c r="G22" s="21" t="s">
        <v>15</v>
      </c>
      <c r="H22" s="21" t="s">
        <v>15</v>
      </c>
      <c r="I22" s="21"/>
      <c r="J22" s="21"/>
      <c r="K22" s="21"/>
      <c r="L22" s="21" t="s">
        <v>15</v>
      </c>
      <c r="M22" s="23">
        <f>SUM(M23:M24)</f>
        <v>0.0028</v>
      </c>
    </row>
    <row r="23" spans="1:32" ht="12.75" customHeight="1">
      <c r="A23" s="14" t="s">
        <v>120</v>
      </c>
      <c r="B23" s="14"/>
      <c r="C23" s="14" t="s">
        <v>121</v>
      </c>
      <c r="D23" s="14" t="s">
        <v>122</v>
      </c>
      <c r="E23" s="14" t="s">
        <v>63</v>
      </c>
      <c r="F23" s="14" t="s">
        <v>26</v>
      </c>
      <c r="G23" s="15">
        <v>10</v>
      </c>
      <c r="H23" s="16"/>
      <c r="I23" s="16"/>
      <c r="J23" s="16"/>
      <c r="K23" s="16"/>
      <c r="L23" s="15">
        <v>0.00028</v>
      </c>
      <c r="M23" s="15">
        <f aca="true" t="shared" si="3" ref="M23:M24">L23*G23</f>
        <v>0.0028</v>
      </c>
      <c r="AE23" s="18">
        <f>H23*0.653757575757576</f>
        <v>0</v>
      </c>
      <c r="AF23" s="18">
        <f>H23*(1-0.653757575757576)</f>
        <v>0</v>
      </c>
    </row>
    <row r="24" spans="1:32" ht="12.75" customHeight="1">
      <c r="A24" s="14" t="s">
        <v>140</v>
      </c>
      <c r="B24" s="14"/>
      <c r="C24" s="14" t="s">
        <v>141</v>
      </c>
      <c r="D24" s="14" t="s">
        <v>142</v>
      </c>
      <c r="E24" s="14" t="s">
        <v>59</v>
      </c>
      <c r="F24" s="14" t="s">
        <v>26</v>
      </c>
      <c r="G24" s="15">
        <v>18.5</v>
      </c>
      <c r="H24" s="16"/>
      <c r="I24" s="16"/>
      <c r="J24" s="16"/>
      <c r="K24" s="16"/>
      <c r="L24" s="15">
        <v>0</v>
      </c>
      <c r="M24" s="15">
        <f t="shared" si="3"/>
        <v>0</v>
      </c>
      <c r="AE24" s="18">
        <f>H24*0.479488463858193</f>
        <v>0</v>
      </c>
      <c r="AF24" s="18">
        <f>H24*(1-0.479488463858193)</f>
        <v>0</v>
      </c>
    </row>
    <row r="25" spans="1:13" ht="12.75" customHeight="1">
      <c r="A25" s="20" t="s">
        <v>15</v>
      </c>
      <c r="B25" s="20" t="s">
        <v>15</v>
      </c>
      <c r="C25" s="20" t="s">
        <v>101</v>
      </c>
      <c r="D25" s="20" t="s">
        <v>102</v>
      </c>
      <c r="E25" s="20" t="s">
        <v>15</v>
      </c>
      <c r="F25" s="20" t="s">
        <v>15</v>
      </c>
      <c r="G25" s="21" t="s">
        <v>15</v>
      </c>
      <c r="H25" s="21" t="s">
        <v>15</v>
      </c>
      <c r="I25" s="21"/>
      <c r="J25" s="21"/>
      <c r="K25" s="21"/>
      <c r="L25" s="21" t="s">
        <v>15</v>
      </c>
      <c r="M25" s="23">
        <f>SUM(M26:M30)</f>
        <v>0.14817</v>
      </c>
    </row>
    <row r="26" spans="1:32" ht="12.75" customHeight="1">
      <c r="A26" s="14" t="s">
        <v>143</v>
      </c>
      <c r="B26" s="14"/>
      <c r="C26" s="14" t="s">
        <v>144</v>
      </c>
      <c r="D26" s="14" t="s">
        <v>145</v>
      </c>
      <c r="E26" s="14" t="s">
        <v>25</v>
      </c>
      <c r="F26" s="14" t="s">
        <v>26</v>
      </c>
      <c r="G26" s="15">
        <v>120</v>
      </c>
      <c r="H26" s="16"/>
      <c r="I26" s="16"/>
      <c r="J26" s="16"/>
      <c r="K26" s="16"/>
      <c r="L26" s="15">
        <v>1E-05</v>
      </c>
      <c r="M26" s="15">
        <f aca="true" t="shared" si="4" ref="M26:M30">L26*G26</f>
        <v>0.0012</v>
      </c>
      <c r="AE26" s="18">
        <f>H26*0.102828571428571</f>
        <v>0</v>
      </c>
      <c r="AF26" s="18">
        <f>H26*(1-0.102828571428571)</f>
        <v>0</v>
      </c>
    </row>
    <row r="27" spans="1:32" ht="12.75" customHeight="1">
      <c r="A27" s="14" t="s">
        <v>146</v>
      </c>
      <c r="B27" s="14"/>
      <c r="C27" s="14" t="s">
        <v>147</v>
      </c>
      <c r="D27" s="14" t="s">
        <v>148</v>
      </c>
      <c r="E27" s="14" t="s">
        <v>25</v>
      </c>
      <c r="F27" s="14" t="s">
        <v>26</v>
      </c>
      <c r="G27" s="15">
        <v>120</v>
      </c>
      <c r="H27" s="16"/>
      <c r="I27" s="16"/>
      <c r="J27" s="16"/>
      <c r="K27" s="16"/>
      <c r="L27" s="15">
        <v>0.00049</v>
      </c>
      <c r="M27" s="15">
        <f t="shared" si="4"/>
        <v>0.0588</v>
      </c>
      <c r="AE27" s="18">
        <f>H27*0.739863636363636</f>
        <v>0</v>
      </c>
      <c r="AF27" s="18">
        <f>H27*(1-0.739863636363636)</f>
        <v>0</v>
      </c>
    </row>
    <row r="28" spans="1:32" ht="12.75" customHeight="1">
      <c r="A28" s="14" t="s">
        <v>150</v>
      </c>
      <c r="B28" s="14"/>
      <c r="C28" s="14" t="s">
        <v>151</v>
      </c>
      <c r="D28" s="14" t="s">
        <v>152</v>
      </c>
      <c r="E28" s="14" t="s">
        <v>25</v>
      </c>
      <c r="F28" s="14" t="s">
        <v>26</v>
      </c>
      <c r="G28" s="15">
        <v>120</v>
      </c>
      <c r="H28" s="16"/>
      <c r="I28" s="16"/>
      <c r="J28" s="16"/>
      <c r="K28" s="16"/>
      <c r="L28" s="15">
        <v>0.00038</v>
      </c>
      <c r="M28" s="15">
        <f t="shared" si="4"/>
        <v>0.0456</v>
      </c>
      <c r="AE28" s="18">
        <f>H28*0.450727272727273</f>
        <v>0</v>
      </c>
      <c r="AF28" s="18">
        <f>H28*(1-0.450727272727273)</f>
        <v>0</v>
      </c>
    </row>
    <row r="29" spans="1:32" ht="12.75" customHeight="1">
      <c r="A29" s="14" t="s">
        <v>153</v>
      </c>
      <c r="B29" s="14"/>
      <c r="C29" s="14" t="s">
        <v>154</v>
      </c>
      <c r="D29" s="14" t="s">
        <v>155</v>
      </c>
      <c r="E29" s="14" t="s">
        <v>59</v>
      </c>
      <c r="F29" s="14" t="s">
        <v>26</v>
      </c>
      <c r="G29" s="15">
        <v>42</v>
      </c>
      <c r="H29" s="16"/>
      <c r="I29" s="16"/>
      <c r="J29" s="16"/>
      <c r="K29" s="16"/>
      <c r="L29" s="15">
        <v>0.00057</v>
      </c>
      <c r="M29" s="15">
        <f t="shared" si="4"/>
        <v>0.02394</v>
      </c>
      <c r="AE29" s="18">
        <f>H29*0.360274725274725</f>
        <v>0</v>
      </c>
      <c r="AF29" s="18">
        <f>H29*(1-0.360274725274725)</f>
        <v>0</v>
      </c>
    </row>
    <row r="30" spans="1:32" ht="12.75" customHeight="1">
      <c r="A30" s="14" t="s">
        <v>26</v>
      </c>
      <c r="B30" s="14"/>
      <c r="C30" s="14" t="s">
        <v>156</v>
      </c>
      <c r="D30" s="14" t="s">
        <v>157</v>
      </c>
      <c r="E30" s="14" t="s">
        <v>59</v>
      </c>
      <c r="F30" s="14" t="s">
        <v>26</v>
      </c>
      <c r="G30" s="15">
        <v>69</v>
      </c>
      <c r="H30" s="16"/>
      <c r="I30" s="16"/>
      <c r="J30" s="16"/>
      <c r="K30" s="16"/>
      <c r="L30" s="15">
        <v>0.00027</v>
      </c>
      <c r="M30" s="15">
        <f t="shared" si="4"/>
        <v>0.01863</v>
      </c>
      <c r="AE30" s="18">
        <f>H30*0.792631578947368</f>
        <v>0</v>
      </c>
      <c r="AF30" s="18">
        <f>H30*(1-0.792631578947368)</f>
        <v>0</v>
      </c>
    </row>
    <row r="31" spans="1:13" ht="12.75" customHeight="1">
      <c r="A31" s="20" t="s">
        <v>15</v>
      </c>
      <c r="B31" s="20" t="s">
        <v>15</v>
      </c>
      <c r="C31" s="20" t="s">
        <v>103</v>
      </c>
      <c r="D31" s="20" t="s">
        <v>104</v>
      </c>
      <c r="E31" s="20" t="s">
        <v>15</v>
      </c>
      <c r="F31" s="20" t="s">
        <v>15</v>
      </c>
      <c r="G31" s="21" t="s">
        <v>15</v>
      </c>
      <c r="H31" s="21" t="s">
        <v>15</v>
      </c>
      <c r="I31" s="21"/>
      <c r="J31" s="21"/>
      <c r="K31" s="21"/>
      <c r="L31" s="21" t="s">
        <v>15</v>
      </c>
      <c r="M31" s="23">
        <f>SUM(M32:M36)</f>
        <v>0.82656</v>
      </c>
    </row>
    <row r="32" spans="1:32" ht="12.75" customHeight="1">
      <c r="A32" s="14" t="s">
        <v>158</v>
      </c>
      <c r="B32" s="14"/>
      <c r="C32" s="14" t="s">
        <v>159</v>
      </c>
      <c r="D32" s="14" t="s">
        <v>160</v>
      </c>
      <c r="E32" s="14" t="s">
        <v>25</v>
      </c>
      <c r="F32" s="14" t="s">
        <v>26</v>
      </c>
      <c r="G32" s="15">
        <v>126</v>
      </c>
      <c r="H32" s="16"/>
      <c r="I32" s="16"/>
      <c r="J32" s="16"/>
      <c r="K32" s="16"/>
      <c r="L32" s="15">
        <v>0.00278</v>
      </c>
      <c r="M32" s="15">
        <f aca="true" t="shared" si="5" ref="M32:M36">L32*G32</f>
        <v>0.35028</v>
      </c>
      <c r="AE32" s="18">
        <f>H32*0.478533333333333</f>
        <v>0</v>
      </c>
      <c r="AF32" s="18">
        <f>H32*(1-0.478533333333333)</f>
        <v>0</v>
      </c>
    </row>
    <row r="33" spans="1:32" ht="12.75" customHeight="1">
      <c r="A33" s="14" t="s">
        <v>161</v>
      </c>
      <c r="B33" s="14"/>
      <c r="C33" s="14" t="s">
        <v>162</v>
      </c>
      <c r="D33" s="14" t="s">
        <v>163</v>
      </c>
      <c r="E33" s="14" t="s">
        <v>25</v>
      </c>
      <c r="F33" s="14" t="s">
        <v>26</v>
      </c>
      <c r="G33" s="15">
        <v>126</v>
      </c>
      <c r="H33" s="16"/>
      <c r="I33" s="16"/>
      <c r="J33" s="16"/>
      <c r="K33" s="16"/>
      <c r="L33" s="15">
        <v>0.001</v>
      </c>
      <c r="M33" s="15">
        <f t="shared" si="5"/>
        <v>0.126</v>
      </c>
      <c r="AE33" s="18">
        <f>H33*0</f>
        <v>0</v>
      </c>
      <c r="AF33" s="18">
        <f>H33*(1-0)</f>
        <v>0</v>
      </c>
    </row>
    <row r="34" spans="1:32" ht="12.75" customHeight="1">
      <c r="A34" s="14" t="s">
        <v>166</v>
      </c>
      <c r="B34" s="14"/>
      <c r="C34" s="14" t="s">
        <v>167</v>
      </c>
      <c r="D34" s="14" t="s">
        <v>168</v>
      </c>
      <c r="E34" s="14" t="s">
        <v>25</v>
      </c>
      <c r="F34" s="14" t="s">
        <v>26</v>
      </c>
      <c r="G34" s="15">
        <v>126</v>
      </c>
      <c r="H34" s="16"/>
      <c r="I34" s="16"/>
      <c r="J34" s="16"/>
      <c r="K34" s="16"/>
      <c r="L34" s="15">
        <v>0</v>
      </c>
      <c r="M34" s="15">
        <f t="shared" si="5"/>
        <v>0</v>
      </c>
      <c r="AE34" s="18">
        <f>H34*0.37</f>
        <v>0</v>
      </c>
      <c r="AF34" s="18">
        <f>H34*(1-0.37)</f>
        <v>0</v>
      </c>
    </row>
    <row r="35" spans="1:32" ht="12.75" customHeight="1">
      <c r="A35" s="14" t="s">
        <v>169</v>
      </c>
      <c r="B35" s="14"/>
      <c r="C35" s="14" t="s">
        <v>159</v>
      </c>
      <c r="D35" s="14" t="s">
        <v>170</v>
      </c>
      <c r="E35" s="14" t="s">
        <v>25</v>
      </c>
      <c r="F35" s="14" t="s">
        <v>26</v>
      </c>
      <c r="G35" s="15">
        <v>126</v>
      </c>
      <c r="H35" s="16"/>
      <c r="I35" s="16"/>
      <c r="J35" s="16"/>
      <c r="K35" s="16"/>
      <c r="L35" s="15">
        <v>0.00278</v>
      </c>
      <c r="M35" s="15">
        <f t="shared" si="5"/>
        <v>0.35028</v>
      </c>
      <c r="AE35" s="18">
        <f>H35*0.729492753623188</f>
        <v>0</v>
      </c>
      <c r="AF35" s="18">
        <f>H35*(1-0.729492753623188)</f>
        <v>0</v>
      </c>
    </row>
    <row r="36" spans="1:32" ht="12.75" customHeight="1">
      <c r="A36" s="14" t="s">
        <v>171</v>
      </c>
      <c r="B36" s="14"/>
      <c r="C36" s="14" t="s">
        <v>172</v>
      </c>
      <c r="D36" s="14" t="s">
        <v>173</v>
      </c>
      <c r="E36" s="14" t="s">
        <v>59</v>
      </c>
      <c r="F36" s="14" t="s">
        <v>26</v>
      </c>
      <c r="G36" s="15">
        <v>13</v>
      </c>
      <c r="H36" s="16"/>
      <c r="I36" s="16"/>
      <c r="J36" s="16"/>
      <c r="K36" s="16"/>
      <c r="L36" s="15">
        <v>0</v>
      </c>
      <c r="M36" s="15">
        <f t="shared" si="5"/>
        <v>0</v>
      </c>
      <c r="AE36" s="18">
        <f>H36*0.296909788867562</f>
        <v>0</v>
      </c>
      <c r="AF36" s="18">
        <f>H36*(1-0.296909788867562)</f>
        <v>0</v>
      </c>
    </row>
    <row r="37" spans="1:13" ht="12.75" customHeight="1">
      <c r="A37" s="20" t="s">
        <v>15</v>
      </c>
      <c r="B37" s="20" t="s">
        <v>15</v>
      </c>
      <c r="C37" s="20" t="s">
        <v>105</v>
      </c>
      <c r="D37" s="20" t="s">
        <v>106</v>
      </c>
      <c r="E37" s="20" t="s">
        <v>15</v>
      </c>
      <c r="F37" s="20" t="s">
        <v>15</v>
      </c>
      <c r="G37" s="21" t="s">
        <v>15</v>
      </c>
      <c r="H37" s="21" t="s">
        <v>15</v>
      </c>
      <c r="I37" s="21"/>
      <c r="J37" s="21"/>
      <c r="K37" s="21"/>
      <c r="L37" s="21" t="s">
        <v>15</v>
      </c>
      <c r="M37" s="23">
        <f>SUM(M38:M41)</f>
        <v>2.232</v>
      </c>
    </row>
    <row r="38" spans="1:32" ht="12.75" customHeight="1">
      <c r="A38" s="14" t="s">
        <v>174</v>
      </c>
      <c r="B38" s="14"/>
      <c r="C38" s="14" t="s">
        <v>175</v>
      </c>
      <c r="D38" s="14" t="s">
        <v>176</v>
      </c>
      <c r="E38" s="14" t="s">
        <v>25</v>
      </c>
      <c r="F38" s="14" t="s">
        <v>26</v>
      </c>
      <c r="G38" s="15">
        <v>40</v>
      </c>
      <c r="H38" s="16"/>
      <c r="I38" s="16"/>
      <c r="J38" s="16"/>
      <c r="K38" s="16"/>
      <c r="L38" s="15">
        <v>0</v>
      </c>
      <c r="M38" s="15">
        <f aca="true" t="shared" si="6" ref="M38:M41">L38*G38</f>
        <v>0</v>
      </c>
      <c r="AE38" s="18">
        <f>H38*0.418706896551724</f>
        <v>0</v>
      </c>
      <c r="AF38" s="18">
        <f>H38*(1-0.418706896551724)</f>
        <v>0</v>
      </c>
    </row>
    <row r="39" spans="1:32" ht="12.75" customHeight="1">
      <c r="A39" s="14" t="s">
        <v>180</v>
      </c>
      <c r="B39" s="14"/>
      <c r="C39" s="14" t="s">
        <v>181</v>
      </c>
      <c r="D39" s="14" t="s">
        <v>182</v>
      </c>
      <c r="E39" s="14" t="s">
        <v>25</v>
      </c>
      <c r="F39" s="14" t="s">
        <v>26</v>
      </c>
      <c r="G39" s="15">
        <v>40</v>
      </c>
      <c r="H39" s="16"/>
      <c r="I39" s="16"/>
      <c r="J39" s="16"/>
      <c r="K39" s="16"/>
      <c r="L39" s="15">
        <v>0</v>
      </c>
      <c r="M39" s="15">
        <f t="shared" si="6"/>
        <v>0</v>
      </c>
      <c r="AE39" s="18">
        <f>H39*0</f>
        <v>0</v>
      </c>
      <c r="AF39" s="18">
        <f>H39*(1-0)</f>
        <v>0</v>
      </c>
    </row>
    <row r="40" spans="1:32" ht="12.75" customHeight="1">
      <c r="A40" s="14" t="s">
        <v>183</v>
      </c>
      <c r="B40" s="14"/>
      <c r="C40" s="14" t="s">
        <v>184</v>
      </c>
      <c r="D40" s="14" t="s">
        <v>185</v>
      </c>
      <c r="E40" s="14" t="s">
        <v>25</v>
      </c>
      <c r="F40" s="14" t="s">
        <v>26</v>
      </c>
      <c r="G40" s="15">
        <v>40</v>
      </c>
      <c r="H40" s="16"/>
      <c r="I40" s="16"/>
      <c r="J40" s="16"/>
      <c r="K40" s="16"/>
      <c r="L40" s="15">
        <v>0.0558</v>
      </c>
      <c r="M40" s="15">
        <f t="shared" si="6"/>
        <v>2.232</v>
      </c>
      <c r="AE40" s="18">
        <f>H40*0.104690909090909</f>
        <v>0</v>
      </c>
      <c r="AF40" s="18">
        <f>H40*(1-0.104690909090909)</f>
        <v>0</v>
      </c>
    </row>
    <row r="41" spans="1:32" ht="12.75" customHeight="1">
      <c r="A41" s="14" t="s">
        <v>186</v>
      </c>
      <c r="B41" s="14"/>
      <c r="C41" s="14" t="s">
        <v>187</v>
      </c>
      <c r="D41" s="14" t="s">
        <v>188</v>
      </c>
      <c r="E41" s="14" t="s">
        <v>25</v>
      </c>
      <c r="F41" s="14" t="s">
        <v>26</v>
      </c>
      <c r="G41" s="15">
        <v>40</v>
      </c>
      <c r="H41" s="16"/>
      <c r="I41" s="16"/>
      <c r="J41" s="16"/>
      <c r="K41" s="16"/>
      <c r="L41" s="15">
        <v>0</v>
      </c>
      <c r="M41" s="15">
        <f t="shared" si="6"/>
        <v>0</v>
      </c>
      <c r="AE41" s="18">
        <f>H41*0</f>
        <v>0</v>
      </c>
      <c r="AF41" s="18">
        <f>H41*(1-0)</f>
        <v>0</v>
      </c>
    </row>
    <row r="42" spans="1:13" ht="12.75" customHeight="1">
      <c r="A42" s="20" t="s">
        <v>15</v>
      </c>
      <c r="B42" s="20" t="s">
        <v>15</v>
      </c>
      <c r="C42" s="20" t="s">
        <v>108</v>
      </c>
      <c r="D42" s="20" t="s">
        <v>109</v>
      </c>
      <c r="E42" s="20" t="s">
        <v>15</v>
      </c>
      <c r="F42" s="20" t="s">
        <v>15</v>
      </c>
      <c r="G42" s="21" t="s">
        <v>15</v>
      </c>
      <c r="H42" s="21" t="s">
        <v>15</v>
      </c>
      <c r="I42" s="21"/>
      <c r="J42" s="21"/>
      <c r="K42" s="21"/>
      <c r="L42" s="21" t="s">
        <v>15</v>
      </c>
      <c r="M42" s="23">
        <f>SUM(M43)</f>
        <v>0.0153</v>
      </c>
    </row>
    <row r="43" spans="1:32" ht="12.75" customHeight="1">
      <c r="A43" s="14" t="s">
        <v>189</v>
      </c>
      <c r="B43" s="14"/>
      <c r="C43" s="14" t="s">
        <v>190</v>
      </c>
      <c r="D43" s="14" t="s">
        <v>191</v>
      </c>
      <c r="E43" s="14" t="s">
        <v>59</v>
      </c>
      <c r="F43" s="14" t="s">
        <v>26</v>
      </c>
      <c r="G43" s="15">
        <v>45</v>
      </c>
      <c r="H43" s="16"/>
      <c r="I43" s="16"/>
      <c r="J43" s="16"/>
      <c r="K43" s="16"/>
      <c r="L43" s="15">
        <v>0.00034</v>
      </c>
      <c r="M43" s="15">
        <f>L43*G43</f>
        <v>0.0153</v>
      </c>
      <c r="AE43" s="18">
        <f>H43*0.2698</f>
        <v>0</v>
      </c>
      <c r="AF43" s="18">
        <f>H43*(1-0.2698)</f>
        <v>0</v>
      </c>
    </row>
    <row r="44" spans="1:13" ht="12.75" customHeight="1">
      <c r="A44" s="20" t="s">
        <v>15</v>
      </c>
      <c r="B44" s="20" t="s">
        <v>15</v>
      </c>
      <c r="C44" s="20" t="s">
        <v>110</v>
      </c>
      <c r="D44" s="20" t="s">
        <v>111</v>
      </c>
      <c r="E44" s="20" t="s">
        <v>15</v>
      </c>
      <c r="F44" s="20" t="s">
        <v>15</v>
      </c>
      <c r="G44" s="21" t="s">
        <v>15</v>
      </c>
      <c r="H44" s="21" t="s">
        <v>15</v>
      </c>
      <c r="I44" s="21"/>
      <c r="J44" s="21"/>
      <c r="K44" s="21"/>
      <c r="L44" s="21" t="s">
        <v>15</v>
      </c>
      <c r="M44" s="23">
        <f>SUM(M45:M47)</f>
        <v>0.69438</v>
      </c>
    </row>
    <row r="45" spans="1:32" ht="12.75" customHeight="1">
      <c r="A45" s="14" t="s">
        <v>193</v>
      </c>
      <c r="B45" s="14"/>
      <c r="C45" s="14" t="s">
        <v>194</v>
      </c>
      <c r="D45" s="14" t="s">
        <v>195</v>
      </c>
      <c r="E45" s="14" t="s">
        <v>25</v>
      </c>
      <c r="F45" s="14" t="s">
        <v>26</v>
      </c>
      <c r="G45" s="15">
        <v>850</v>
      </c>
      <c r="H45" s="16"/>
      <c r="I45" s="16"/>
      <c r="J45" s="16"/>
      <c r="K45" s="16"/>
      <c r="L45" s="15">
        <v>0.00019</v>
      </c>
      <c r="M45" s="15">
        <f aca="true" t="shared" si="7" ref="M45:M47">L45*G45</f>
        <v>0.1615</v>
      </c>
      <c r="AE45" s="18">
        <f>H45*0.691384615384615</f>
        <v>0</v>
      </c>
      <c r="AF45" s="18">
        <f>H45*(1-0.691384615384615)</f>
        <v>0</v>
      </c>
    </row>
    <row r="46" spans="1:32" ht="12.75" customHeight="1">
      <c r="A46" s="14" t="s">
        <v>196</v>
      </c>
      <c r="B46" s="14"/>
      <c r="C46" s="14" t="s">
        <v>197</v>
      </c>
      <c r="D46" s="14" t="s">
        <v>198</v>
      </c>
      <c r="E46" s="14" t="s">
        <v>25</v>
      </c>
      <c r="F46" s="14" t="s">
        <v>26</v>
      </c>
      <c r="G46" s="15">
        <v>758</v>
      </c>
      <c r="H46" s="16"/>
      <c r="I46" s="16"/>
      <c r="J46" s="16"/>
      <c r="K46" s="16"/>
      <c r="L46" s="15">
        <v>0.00036</v>
      </c>
      <c r="M46" s="15">
        <f t="shared" si="7"/>
        <v>0.27288</v>
      </c>
      <c r="AE46" s="18">
        <f>H46*0.182307692307692</f>
        <v>0</v>
      </c>
      <c r="AF46" s="18">
        <f>H46*(1-0.182307692307692)</f>
        <v>0</v>
      </c>
    </row>
    <row r="47" spans="1:32" ht="12.75" customHeight="1">
      <c r="A47" s="14" t="s">
        <v>16</v>
      </c>
      <c r="B47" s="14"/>
      <c r="C47" s="14" t="s">
        <v>199</v>
      </c>
      <c r="D47" s="14" t="s">
        <v>200</v>
      </c>
      <c r="E47" s="14" t="s">
        <v>25</v>
      </c>
      <c r="F47" s="14" t="s">
        <v>26</v>
      </c>
      <c r="G47" s="15">
        <v>1300</v>
      </c>
      <c r="H47" s="16"/>
      <c r="I47" s="16"/>
      <c r="J47" s="16"/>
      <c r="K47" s="16"/>
      <c r="L47" s="15">
        <v>0.0002</v>
      </c>
      <c r="M47" s="15">
        <f t="shared" si="7"/>
        <v>0.26</v>
      </c>
      <c r="AE47" s="18">
        <f>H47*0.665428571428571</f>
        <v>0</v>
      </c>
      <c r="AF47" s="18">
        <f>H47*(1-0.665428571428571)</f>
        <v>0</v>
      </c>
    </row>
    <row r="48" spans="1:13" ht="12.75" customHeight="1">
      <c r="A48" s="20" t="s">
        <v>15</v>
      </c>
      <c r="B48" s="20" t="s">
        <v>15</v>
      </c>
      <c r="C48" s="20" t="s">
        <v>115</v>
      </c>
      <c r="D48" s="20" t="s">
        <v>116</v>
      </c>
      <c r="E48" s="20" t="s">
        <v>15</v>
      </c>
      <c r="F48" s="20" t="s">
        <v>15</v>
      </c>
      <c r="G48" s="21" t="s">
        <v>15</v>
      </c>
      <c r="H48" s="21" t="s">
        <v>15</v>
      </c>
      <c r="I48" s="21"/>
      <c r="J48" s="21"/>
      <c r="K48" s="21"/>
      <c r="L48" s="21" t="s">
        <v>15</v>
      </c>
      <c r="M48" s="23">
        <f>SUM(M49)</f>
        <v>0</v>
      </c>
    </row>
    <row r="49" spans="1:32" ht="12.75" customHeight="1">
      <c r="A49" s="14" t="s">
        <v>201</v>
      </c>
      <c r="B49" s="14"/>
      <c r="C49" s="14" t="s">
        <v>202</v>
      </c>
      <c r="D49" s="14" t="s">
        <v>203</v>
      </c>
      <c r="E49" s="14" t="s">
        <v>204</v>
      </c>
      <c r="F49" s="14" t="s">
        <v>26</v>
      </c>
      <c r="G49" s="15">
        <v>178</v>
      </c>
      <c r="H49" s="16"/>
      <c r="I49" s="16"/>
      <c r="J49" s="16"/>
      <c r="K49" s="16"/>
      <c r="L49" s="15">
        <v>0</v>
      </c>
      <c r="M49" s="15">
        <f>L49*G49</f>
        <v>0</v>
      </c>
      <c r="AE49" s="18">
        <f>H49*0</f>
        <v>0</v>
      </c>
      <c r="AF49" s="18">
        <f>H49*(1-0)</f>
        <v>0</v>
      </c>
    </row>
    <row r="50" spans="1:13" ht="12.75" customHeight="1">
      <c r="A50" s="20" t="s">
        <v>15</v>
      </c>
      <c r="B50" s="20" t="s">
        <v>15</v>
      </c>
      <c r="C50" s="20" t="s">
        <v>124</v>
      </c>
      <c r="D50" s="20" t="s">
        <v>125</v>
      </c>
      <c r="E50" s="20" t="s">
        <v>15</v>
      </c>
      <c r="F50" s="20" t="s">
        <v>15</v>
      </c>
      <c r="G50" s="21" t="s">
        <v>15</v>
      </c>
      <c r="H50" s="21" t="s">
        <v>15</v>
      </c>
      <c r="I50" s="21"/>
      <c r="J50" s="21"/>
      <c r="K50" s="21"/>
      <c r="L50" s="21" t="s">
        <v>15</v>
      </c>
      <c r="M50" s="23">
        <f>SUM(M51:M52)</f>
        <v>0.4235</v>
      </c>
    </row>
    <row r="51" spans="1:32" ht="12.75" customHeight="1">
      <c r="A51" s="14" t="s">
        <v>205</v>
      </c>
      <c r="B51" s="14"/>
      <c r="C51" s="14" t="s">
        <v>206</v>
      </c>
      <c r="D51" s="14" t="s">
        <v>207</v>
      </c>
      <c r="E51" s="14" t="s">
        <v>25</v>
      </c>
      <c r="F51" s="14" t="s">
        <v>26</v>
      </c>
      <c r="G51" s="15">
        <v>350</v>
      </c>
      <c r="H51" s="16"/>
      <c r="I51" s="16"/>
      <c r="J51" s="16"/>
      <c r="K51" s="16"/>
      <c r="L51" s="15">
        <v>0.00121</v>
      </c>
      <c r="M51" s="15">
        <f aca="true" t="shared" si="8" ref="M51:M52">L51*G51</f>
        <v>0.4235</v>
      </c>
      <c r="AE51" s="18">
        <f>H51*0.297539922313336</f>
        <v>0</v>
      </c>
      <c r="AF51" s="18">
        <f>H51*(1-0.297539922313336)</f>
        <v>0</v>
      </c>
    </row>
    <row r="52" spans="1:32" ht="12.75" customHeight="1">
      <c r="A52" s="14" t="s">
        <v>208</v>
      </c>
      <c r="B52" s="14"/>
      <c r="C52" s="14" t="s">
        <v>209</v>
      </c>
      <c r="D52" s="14" t="s">
        <v>210</v>
      </c>
      <c r="E52" s="14" t="s">
        <v>25</v>
      </c>
      <c r="F52" s="14" t="s">
        <v>26</v>
      </c>
      <c r="G52" s="15">
        <v>350</v>
      </c>
      <c r="H52" s="16"/>
      <c r="I52" s="16"/>
      <c r="J52" s="16"/>
      <c r="K52" s="16"/>
      <c r="L52" s="15">
        <v>0</v>
      </c>
      <c r="M52" s="15">
        <f t="shared" si="8"/>
        <v>0</v>
      </c>
      <c r="AE52" s="18">
        <f>H52*0</f>
        <v>0</v>
      </c>
      <c r="AF52" s="18">
        <f>H52*(1-0)</f>
        <v>0</v>
      </c>
    </row>
    <row r="53" spans="1:13" ht="12.75" customHeight="1">
      <c r="A53" s="20" t="s">
        <v>15</v>
      </c>
      <c r="B53" s="20" t="s">
        <v>15</v>
      </c>
      <c r="C53" s="20" t="s">
        <v>126</v>
      </c>
      <c r="D53" s="20" t="s">
        <v>128</v>
      </c>
      <c r="E53" s="20" t="s">
        <v>15</v>
      </c>
      <c r="F53" s="20" t="s">
        <v>15</v>
      </c>
      <c r="G53" s="21" t="s">
        <v>15</v>
      </c>
      <c r="H53" s="21" t="s">
        <v>15</v>
      </c>
      <c r="I53" s="21"/>
      <c r="J53" s="21"/>
      <c r="K53" s="21"/>
      <c r="L53" s="21" t="s">
        <v>15</v>
      </c>
      <c r="M53" s="23">
        <f>SUM(M54:M55)</f>
        <v>0</v>
      </c>
    </row>
    <row r="54" spans="1:32" ht="12.75" customHeight="1">
      <c r="A54" s="14" t="s">
        <v>211</v>
      </c>
      <c r="B54" s="14"/>
      <c r="C54" s="14" t="s">
        <v>212</v>
      </c>
      <c r="D54" s="14" t="s">
        <v>213</v>
      </c>
      <c r="E54" s="14" t="s">
        <v>52</v>
      </c>
      <c r="F54" s="14" t="s">
        <v>26</v>
      </c>
      <c r="G54" s="15">
        <v>1</v>
      </c>
      <c r="H54" s="16"/>
      <c r="I54" s="16"/>
      <c r="J54" s="16"/>
      <c r="K54" s="16"/>
      <c r="L54" s="15">
        <v>0</v>
      </c>
      <c r="M54" s="15">
        <f aca="true" t="shared" si="9" ref="M54:M55">L54*G54</f>
        <v>0</v>
      </c>
      <c r="AE54" s="18">
        <f>H54*0.439323</f>
        <v>0</v>
      </c>
      <c r="AF54" s="18">
        <f>H54*(1-0.439323)</f>
        <v>0</v>
      </c>
    </row>
    <row r="55" spans="1:32" ht="12.75" customHeight="1">
      <c r="A55" s="14" t="s">
        <v>214</v>
      </c>
      <c r="B55" s="14"/>
      <c r="C55" s="14" t="s">
        <v>215</v>
      </c>
      <c r="D55" s="14" t="s">
        <v>216</v>
      </c>
      <c r="E55" s="14" t="s">
        <v>217</v>
      </c>
      <c r="F55" s="14" t="s">
        <v>26</v>
      </c>
      <c r="G55" s="15">
        <v>11.56</v>
      </c>
      <c r="H55" s="16"/>
      <c r="I55" s="16"/>
      <c r="J55" s="16"/>
      <c r="K55" s="16"/>
      <c r="L55" s="15">
        <v>0</v>
      </c>
      <c r="M55" s="15">
        <f t="shared" si="9"/>
        <v>0</v>
      </c>
      <c r="AE55" s="18">
        <f>H55*0</f>
        <v>0</v>
      </c>
      <c r="AF55" s="18">
        <f>H55*(1-0)</f>
        <v>0</v>
      </c>
    </row>
    <row r="56" spans="1:13" ht="12.75" customHeight="1">
      <c r="A56" s="20" t="s">
        <v>15</v>
      </c>
      <c r="B56" s="20" t="s">
        <v>15</v>
      </c>
      <c r="C56" s="20" t="s">
        <v>137</v>
      </c>
      <c r="D56" s="20" t="s">
        <v>138</v>
      </c>
      <c r="E56" s="20" t="s">
        <v>15</v>
      </c>
      <c r="F56" s="20" t="s">
        <v>15</v>
      </c>
      <c r="G56" s="21" t="s">
        <v>15</v>
      </c>
      <c r="H56" s="21" t="s">
        <v>15</v>
      </c>
      <c r="I56" s="23">
        <f aca="true" t="shared" si="10" ref="I56:K56">SUM(I57:I60)</f>
        <v>0</v>
      </c>
      <c r="J56" s="23">
        <f t="shared" si="10"/>
        <v>0</v>
      </c>
      <c r="K56" s="23">
        <f t="shared" si="10"/>
        <v>0</v>
      </c>
      <c r="L56" s="21" t="s">
        <v>15</v>
      </c>
      <c r="M56" s="23">
        <f>SUM(M57:M60)</f>
        <v>0</v>
      </c>
    </row>
    <row r="57" spans="1:32" ht="12.75" customHeight="1">
      <c r="A57" s="14" t="s">
        <v>218</v>
      </c>
      <c r="B57" s="14"/>
      <c r="C57" s="14" t="s">
        <v>219</v>
      </c>
      <c r="D57" s="14" t="s">
        <v>220</v>
      </c>
      <c r="E57" s="14" t="s">
        <v>52</v>
      </c>
      <c r="F57" s="14" t="s">
        <v>26</v>
      </c>
      <c r="G57" s="15">
        <v>1</v>
      </c>
      <c r="H57" s="16"/>
      <c r="I57" s="16"/>
      <c r="J57" s="16"/>
      <c r="K57" s="16"/>
      <c r="L57" s="15">
        <v>0</v>
      </c>
      <c r="M57" s="15">
        <f aca="true" t="shared" si="11" ref="M57:M60">L57*G57</f>
        <v>0</v>
      </c>
      <c r="AE57" s="18">
        <f>H57*0.37426625</f>
        <v>0</v>
      </c>
      <c r="AF57" s="18">
        <f>H57*(1-0.37426625)</f>
        <v>0</v>
      </c>
    </row>
    <row r="58" spans="1:32" ht="12.75" customHeight="1">
      <c r="A58" s="14" t="s">
        <v>221</v>
      </c>
      <c r="B58" s="14"/>
      <c r="C58" s="14" t="s">
        <v>222</v>
      </c>
      <c r="D58" s="14" t="s">
        <v>223</v>
      </c>
      <c r="E58" s="14" t="s">
        <v>52</v>
      </c>
      <c r="F58" s="14" t="s">
        <v>26</v>
      </c>
      <c r="G58" s="15">
        <v>1</v>
      </c>
      <c r="H58" s="16"/>
      <c r="I58" s="16"/>
      <c r="J58" s="16"/>
      <c r="K58" s="16"/>
      <c r="L58" s="15">
        <v>0</v>
      </c>
      <c r="M58" s="15">
        <f t="shared" si="11"/>
        <v>0</v>
      </c>
      <c r="AE58" s="18">
        <f>H58*0.78146375</f>
        <v>0</v>
      </c>
      <c r="AF58" s="18">
        <f>H58*(1-0.78146375)</f>
        <v>0</v>
      </c>
    </row>
    <row r="59" spans="1:32" ht="12.75" customHeight="1">
      <c r="A59" s="14" t="s">
        <v>224</v>
      </c>
      <c r="B59" s="14"/>
      <c r="C59" s="14" t="s">
        <v>225</v>
      </c>
      <c r="D59" s="14" t="s">
        <v>226</v>
      </c>
      <c r="E59" s="14" t="s">
        <v>63</v>
      </c>
      <c r="F59" s="14" t="s">
        <v>26</v>
      </c>
      <c r="G59" s="15">
        <v>15</v>
      </c>
      <c r="H59" s="16"/>
      <c r="I59" s="16"/>
      <c r="J59" s="16"/>
      <c r="K59" s="16"/>
      <c r="L59" s="15">
        <v>0</v>
      </c>
      <c r="M59" s="15">
        <f t="shared" si="11"/>
        <v>0</v>
      </c>
      <c r="AE59" s="18">
        <f>H59*0.735428571428571</f>
        <v>0</v>
      </c>
      <c r="AF59" s="18">
        <f>H59*(1-0.735428571428571)</f>
        <v>0</v>
      </c>
    </row>
    <row r="60" spans="1:32" ht="12.75" customHeight="1">
      <c r="A60" s="14" t="s">
        <v>227</v>
      </c>
      <c r="B60" s="14"/>
      <c r="C60" s="14" t="s">
        <v>228</v>
      </c>
      <c r="D60" s="14" t="s">
        <v>229</v>
      </c>
      <c r="E60" s="14" t="s">
        <v>63</v>
      </c>
      <c r="F60" s="14" t="s">
        <v>26</v>
      </c>
      <c r="G60" s="15">
        <v>12</v>
      </c>
      <c r="H60" s="16"/>
      <c r="I60" s="16"/>
      <c r="J60" s="16"/>
      <c r="K60" s="16"/>
      <c r="L60" s="15">
        <v>0</v>
      </c>
      <c r="M60" s="15">
        <f t="shared" si="11"/>
        <v>0</v>
      </c>
      <c r="AE60" s="18">
        <f>H60*0.8578</f>
        <v>0</v>
      </c>
      <c r="AF60" s="18">
        <f>H60*(1-0.8578)</f>
        <v>0</v>
      </c>
    </row>
    <row r="61" ht="12.75" customHeight="1"/>
    <row r="62" spans="10:11" ht="12.75" customHeight="1">
      <c r="J62" s="55" t="s">
        <v>139</v>
      </c>
      <c r="K62" s="67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I28"/>
  <sheetViews>
    <sheetView workbookViewId="0" topLeftCell="A1"/>
  </sheetViews>
  <sheetFormatPr defaultColWidth="14.421875" defaultRowHeight="15" customHeight="1"/>
  <cols>
    <col min="1" max="2" width="16.57421875" style="0" customWidth="1"/>
    <col min="3" max="3" width="41.7109375" style="0" customWidth="1"/>
    <col min="4" max="4" width="22.28125" style="0" customWidth="1"/>
    <col min="5" max="5" width="21.00390625" style="0" customWidth="1"/>
    <col min="6" max="6" width="20.7109375" style="0" customWidth="1"/>
    <col min="7" max="7" width="19.7109375" style="0" customWidth="1"/>
    <col min="8" max="9" width="8.00390625" style="0" hidden="1" customWidth="1"/>
    <col min="10" max="26" width="8.00390625" style="0" customWidth="1"/>
  </cols>
  <sheetData>
    <row r="1" spans="1:7" ht="72.75" customHeight="1">
      <c r="A1" s="2" t="s">
        <v>18</v>
      </c>
      <c r="B1" s="4"/>
      <c r="C1" s="4"/>
      <c r="D1" s="4"/>
      <c r="E1" s="4"/>
      <c r="F1" s="4"/>
      <c r="G1" s="4"/>
    </row>
    <row r="2" spans="1:8" ht="12.75" customHeight="1">
      <c r="A2" s="7" t="s">
        <v>14</v>
      </c>
      <c r="B2" s="10" t="s">
        <v>19</v>
      </c>
      <c r="C2" s="8"/>
      <c r="D2" s="11" t="s">
        <v>20</v>
      </c>
      <c r="E2" s="11" t="s">
        <v>21</v>
      </c>
      <c r="F2" s="8"/>
      <c r="G2" s="13"/>
      <c r="H2" s="5"/>
    </row>
    <row r="3" spans="1:8" ht="12.75" customHeight="1">
      <c r="A3" s="19"/>
      <c r="G3" s="22"/>
      <c r="H3" s="5"/>
    </row>
    <row r="4" spans="1:8" ht="12.75" customHeight="1">
      <c r="A4" s="24" t="s">
        <v>31</v>
      </c>
      <c r="B4" s="25" t="s">
        <v>35</v>
      </c>
      <c r="D4" s="25" t="s">
        <v>36</v>
      </c>
      <c r="E4" s="25"/>
      <c r="G4" s="22"/>
      <c r="H4" s="5"/>
    </row>
    <row r="5" spans="1:8" ht="12.75" customHeight="1">
      <c r="A5" s="19"/>
      <c r="G5" s="22"/>
      <c r="H5" s="5"/>
    </row>
    <row r="6" spans="1:8" ht="12.75" customHeight="1">
      <c r="A6" s="24" t="s">
        <v>41</v>
      </c>
      <c r="B6" s="25" t="s">
        <v>42</v>
      </c>
      <c r="D6" s="25" t="s">
        <v>43</v>
      </c>
      <c r="E6" s="25"/>
      <c r="G6" s="22"/>
      <c r="H6" s="5"/>
    </row>
    <row r="7" spans="1:8" ht="12.75" customHeight="1">
      <c r="A7" s="19"/>
      <c r="G7" s="22"/>
      <c r="H7" s="5"/>
    </row>
    <row r="8" spans="1:8" ht="12.75" customHeight="1">
      <c r="A8" s="24" t="s">
        <v>47</v>
      </c>
      <c r="B8" s="25"/>
      <c r="D8" s="14" t="s">
        <v>48</v>
      </c>
      <c r="E8" s="26">
        <v>43607</v>
      </c>
      <c r="G8" s="22"/>
      <c r="H8" s="5"/>
    </row>
    <row r="9" spans="1:8" ht="12.75" customHeight="1">
      <c r="A9" s="27"/>
      <c r="B9" s="28"/>
      <c r="C9" s="28"/>
      <c r="D9" s="28"/>
      <c r="E9" s="28"/>
      <c r="F9" s="28"/>
      <c r="G9" s="29"/>
      <c r="H9" s="5"/>
    </row>
    <row r="10" spans="1:8" ht="12.75" customHeight="1">
      <c r="A10" s="30" t="s">
        <v>2</v>
      </c>
      <c r="B10" s="3" t="s">
        <v>3</v>
      </c>
      <c r="C10" s="32" t="s">
        <v>4</v>
      </c>
      <c r="D10" s="34" t="s">
        <v>64</v>
      </c>
      <c r="E10" s="34" t="s">
        <v>68</v>
      </c>
      <c r="F10" s="34" t="s">
        <v>69</v>
      </c>
      <c r="G10" s="36" t="s">
        <v>70</v>
      </c>
      <c r="H10" s="37"/>
    </row>
    <row r="11" spans="1:9" ht="12.75" customHeight="1">
      <c r="A11" s="39"/>
      <c r="B11" s="39" t="s">
        <v>16</v>
      </c>
      <c r="C11" s="39" t="s">
        <v>17</v>
      </c>
      <c r="D11" s="41"/>
      <c r="E11" s="41"/>
      <c r="F11" s="43">
        <f aca="true" t="shared" si="0" ref="F11:F26">D11+E11</f>
        <v>0</v>
      </c>
      <c r="G11" s="43">
        <v>0.1556</v>
      </c>
      <c r="H11" s="15" t="s">
        <v>86</v>
      </c>
      <c r="I11" s="15">
        <f aca="true" t="shared" si="1" ref="I11:I26">IF(H11="T",0,F11)</f>
        <v>0</v>
      </c>
    </row>
    <row r="12" spans="1:9" ht="12.75" customHeight="1">
      <c r="A12" s="14"/>
      <c r="B12" s="14" t="s">
        <v>29</v>
      </c>
      <c r="C12" s="14" t="s">
        <v>30</v>
      </c>
      <c r="F12" s="15">
        <f t="shared" si="0"/>
        <v>0</v>
      </c>
      <c r="G12" s="15">
        <v>5.0408</v>
      </c>
      <c r="H12" s="15" t="s">
        <v>86</v>
      </c>
      <c r="I12" s="15">
        <f t="shared" si="1"/>
        <v>0</v>
      </c>
    </row>
    <row r="13" spans="1:9" ht="12.75" customHeight="1">
      <c r="A13" s="14"/>
      <c r="B13" s="14" t="s">
        <v>45</v>
      </c>
      <c r="C13" s="14" t="s">
        <v>46</v>
      </c>
      <c r="F13" s="15">
        <f t="shared" si="0"/>
        <v>0</v>
      </c>
      <c r="G13" s="15">
        <v>0.00022</v>
      </c>
      <c r="H13" s="15" t="s">
        <v>86</v>
      </c>
      <c r="I13" s="15">
        <f t="shared" si="1"/>
        <v>0</v>
      </c>
    </row>
    <row r="14" spans="1:9" ht="12.75" customHeight="1">
      <c r="A14" s="14"/>
      <c r="B14" s="14" t="s">
        <v>54</v>
      </c>
      <c r="C14" s="14" t="s">
        <v>55</v>
      </c>
      <c r="F14" s="15">
        <f t="shared" si="0"/>
        <v>0</v>
      </c>
      <c r="G14" s="15">
        <v>0.1498</v>
      </c>
      <c r="H14" s="15" t="s">
        <v>86</v>
      </c>
      <c r="I14" s="15">
        <f t="shared" si="1"/>
        <v>0</v>
      </c>
    </row>
    <row r="15" spans="1:9" ht="12.75" customHeight="1">
      <c r="A15" s="14"/>
      <c r="B15" s="14" t="s">
        <v>75</v>
      </c>
      <c r="C15" s="14" t="s">
        <v>76</v>
      </c>
      <c r="F15" s="15">
        <f t="shared" si="0"/>
        <v>0</v>
      </c>
      <c r="G15" s="15">
        <v>0.0004</v>
      </c>
      <c r="H15" s="15" t="s">
        <v>86</v>
      </c>
      <c r="I15" s="15">
        <f t="shared" si="1"/>
        <v>0</v>
      </c>
    </row>
    <row r="16" spans="1:9" ht="12.75" customHeight="1">
      <c r="A16" s="14"/>
      <c r="B16" s="14" t="s">
        <v>81</v>
      </c>
      <c r="C16" s="14" t="s">
        <v>82</v>
      </c>
      <c r="F16" s="15">
        <f t="shared" si="0"/>
        <v>0</v>
      </c>
      <c r="G16" s="15">
        <v>0.1227</v>
      </c>
      <c r="H16" s="15" t="s">
        <v>86</v>
      </c>
      <c r="I16" s="15">
        <f t="shared" si="1"/>
        <v>0</v>
      </c>
    </row>
    <row r="17" spans="1:9" ht="12.75" customHeight="1">
      <c r="A17" s="14"/>
      <c r="B17" s="14" t="s">
        <v>95</v>
      </c>
      <c r="C17" s="14" t="s">
        <v>96</v>
      </c>
      <c r="F17" s="15">
        <f t="shared" si="0"/>
        <v>0</v>
      </c>
      <c r="G17" s="15">
        <v>0.0028</v>
      </c>
      <c r="H17" s="15" t="s">
        <v>86</v>
      </c>
      <c r="I17" s="15">
        <f t="shared" si="1"/>
        <v>0</v>
      </c>
    </row>
    <row r="18" spans="1:9" ht="12.75" customHeight="1">
      <c r="A18" s="14"/>
      <c r="B18" s="14" t="s">
        <v>101</v>
      </c>
      <c r="C18" s="14" t="s">
        <v>102</v>
      </c>
      <c r="F18" s="15">
        <f t="shared" si="0"/>
        <v>0</v>
      </c>
      <c r="G18" s="15">
        <v>0.14817</v>
      </c>
      <c r="H18" s="15" t="s">
        <v>86</v>
      </c>
      <c r="I18" s="15">
        <f t="shared" si="1"/>
        <v>0</v>
      </c>
    </row>
    <row r="19" spans="1:9" ht="12.75" customHeight="1">
      <c r="A19" s="14"/>
      <c r="B19" s="14" t="s">
        <v>103</v>
      </c>
      <c r="C19" s="14" t="s">
        <v>104</v>
      </c>
      <c r="F19" s="15">
        <f t="shared" si="0"/>
        <v>0</v>
      </c>
      <c r="G19" s="15">
        <v>0.82656</v>
      </c>
      <c r="H19" s="15" t="s">
        <v>86</v>
      </c>
      <c r="I19" s="15">
        <f t="shared" si="1"/>
        <v>0</v>
      </c>
    </row>
    <row r="20" spans="1:9" ht="12.75" customHeight="1">
      <c r="A20" s="14"/>
      <c r="B20" s="14" t="s">
        <v>105</v>
      </c>
      <c r="C20" s="14" t="s">
        <v>106</v>
      </c>
      <c r="F20" s="15">
        <f t="shared" si="0"/>
        <v>0</v>
      </c>
      <c r="G20" s="15">
        <v>2.232</v>
      </c>
      <c r="H20" s="15" t="s">
        <v>86</v>
      </c>
      <c r="I20" s="15">
        <f t="shared" si="1"/>
        <v>0</v>
      </c>
    </row>
    <row r="21" spans="1:9" ht="12.75" customHeight="1">
      <c r="A21" s="14"/>
      <c r="B21" s="14" t="s">
        <v>108</v>
      </c>
      <c r="C21" s="14" t="s">
        <v>109</v>
      </c>
      <c r="F21" s="15">
        <f t="shared" si="0"/>
        <v>0</v>
      </c>
      <c r="G21" s="15">
        <v>0.0153</v>
      </c>
      <c r="H21" s="15" t="s">
        <v>86</v>
      </c>
      <c r="I21" s="15">
        <f t="shared" si="1"/>
        <v>0</v>
      </c>
    </row>
    <row r="22" spans="1:9" ht="12.75" customHeight="1">
      <c r="A22" s="14"/>
      <c r="B22" s="14" t="s">
        <v>110</v>
      </c>
      <c r="C22" s="14" t="s">
        <v>111</v>
      </c>
      <c r="F22" s="15">
        <f t="shared" si="0"/>
        <v>0</v>
      </c>
      <c r="G22" s="15">
        <v>0.69438</v>
      </c>
      <c r="H22" s="15" t="s">
        <v>86</v>
      </c>
      <c r="I22" s="15">
        <f t="shared" si="1"/>
        <v>0</v>
      </c>
    </row>
    <row r="23" spans="1:9" ht="12.75" customHeight="1">
      <c r="A23" s="14"/>
      <c r="B23" s="14" t="s">
        <v>115</v>
      </c>
      <c r="C23" s="14" t="s">
        <v>116</v>
      </c>
      <c r="F23" s="15">
        <f t="shared" si="0"/>
        <v>0</v>
      </c>
      <c r="G23" s="15">
        <v>0</v>
      </c>
      <c r="H23" s="15" t="s">
        <v>86</v>
      </c>
      <c r="I23" s="15">
        <f t="shared" si="1"/>
        <v>0</v>
      </c>
    </row>
    <row r="24" spans="1:9" ht="12.75" customHeight="1">
      <c r="A24" s="14"/>
      <c r="B24" s="14" t="s">
        <v>124</v>
      </c>
      <c r="C24" s="14" t="s">
        <v>125</v>
      </c>
      <c r="F24" s="15">
        <f t="shared" si="0"/>
        <v>0</v>
      </c>
      <c r="G24" s="15">
        <v>0.4235</v>
      </c>
      <c r="H24" s="15" t="s">
        <v>86</v>
      </c>
      <c r="I24" s="15">
        <f t="shared" si="1"/>
        <v>0</v>
      </c>
    </row>
    <row r="25" spans="1:9" ht="12.75" customHeight="1">
      <c r="A25" s="14"/>
      <c r="B25" s="14" t="s">
        <v>126</v>
      </c>
      <c r="C25" s="14" t="s">
        <v>128</v>
      </c>
      <c r="F25" s="15">
        <f t="shared" si="0"/>
        <v>0</v>
      </c>
      <c r="G25" s="15">
        <v>0</v>
      </c>
      <c r="H25" s="15" t="s">
        <v>86</v>
      </c>
      <c r="I25" s="15">
        <f t="shared" si="1"/>
        <v>0</v>
      </c>
    </row>
    <row r="26" spans="1:9" ht="12.75" customHeight="1">
      <c r="A26" s="14"/>
      <c r="B26" s="14" t="s">
        <v>137</v>
      </c>
      <c r="C26" s="14" t="s">
        <v>138</v>
      </c>
      <c r="F26" s="15">
        <f t="shared" si="0"/>
        <v>0</v>
      </c>
      <c r="G26" s="15">
        <v>0</v>
      </c>
      <c r="H26" s="15" t="s">
        <v>86</v>
      </c>
      <c r="I26" s="15">
        <f t="shared" si="1"/>
        <v>0</v>
      </c>
    </row>
    <row r="27" ht="12.75" customHeight="1"/>
    <row r="28" spans="5:6" ht="12.75" customHeight="1">
      <c r="E28" s="55" t="s">
        <v>139</v>
      </c>
      <c r="F28" s="57">
        <f>SUM(I11:I26)</f>
        <v>0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">
    <mergeCell ref="B2:C3"/>
    <mergeCell ref="D2:D3"/>
    <mergeCell ref="A2:A3"/>
    <mergeCell ref="A4:A5"/>
    <mergeCell ref="B4:C5"/>
    <mergeCell ref="D4:D5"/>
    <mergeCell ref="A6:A7"/>
    <mergeCell ref="B6:C7"/>
    <mergeCell ref="E6:G7"/>
    <mergeCell ref="E4:G5"/>
    <mergeCell ref="D6:D7"/>
    <mergeCell ref="D8:D9"/>
    <mergeCell ref="E8:G9"/>
    <mergeCell ref="B8:C9"/>
    <mergeCell ref="A8:A9"/>
    <mergeCell ref="A1:G1"/>
    <mergeCell ref="E2:G3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I56"/>
  <sheetViews>
    <sheetView workbookViewId="0" topLeftCell="A1"/>
  </sheetViews>
  <sheetFormatPr defaultColWidth="14.421875" defaultRowHeight="15" customHeight="1"/>
  <cols>
    <col min="1" max="2" width="9.140625" style="0" customWidth="1"/>
    <col min="3" max="3" width="13.28125" style="0" customWidth="1"/>
    <col min="4" max="4" width="76.28125" style="0" customWidth="1"/>
    <col min="5" max="5" width="14.7109375" style="0" customWidth="1"/>
    <col min="6" max="6" width="24.140625" style="0" customWidth="1"/>
    <col min="7" max="7" width="20.421875" style="0" customWidth="1"/>
    <col min="8" max="8" width="16.421875" style="0" customWidth="1"/>
    <col min="9" max="9" width="11.57421875" style="0" customWidth="1"/>
    <col min="10" max="26" width="8.00390625" style="0" customWidth="1"/>
  </cols>
  <sheetData>
    <row r="1" spans="1:8" ht="72.75" customHeight="1">
      <c r="A1" s="2" t="s">
        <v>165</v>
      </c>
      <c r="B1" s="4"/>
      <c r="C1" s="4"/>
      <c r="D1" s="4"/>
      <c r="E1" s="4"/>
      <c r="F1" s="4"/>
      <c r="G1" s="4"/>
      <c r="H1" s="4"/>
    </row>
    <row r="2" spans="1:9" ht="12.75" customHeight="1">
      <c r="A2" s="7" t="s">
        <v>14</v>
      </c>
      <c r="B2" s="8"/>
      <c r="C2" s="10" t="s">
        <v>19</v>
      </c>
      <c r="D2" s="8"/>
      <c r="E2" s="11" t="s">
        <v>20</v>
      </c>
      <c r="F2" s="11" t="s">
        <v>21</v>
      </c>
      <c r="G2" s="8"/>
      <c r="H2" s="13"/>
      <c r="I2" s="5"/>
    </row>
    <row r="3" spans="1:9" ht="12.75" customHeight="1">
      <c r="A3" s="19"/>
      <c r="H3" s="22"/>
      <c r="I3" s="5"/>
    </row>
    <row r="4" spans="1:9" ht="12.75" customHeight="1">
      <c r="A4" s="24" t="s">
        <v>31</v>
      </c>
      <c r="C4" s="25" t="s">
        <v>35</v>
      </c>
      <c r="E4" s="25" t="s">
        <v>36</v>
      </c>
      <c r="F4" s="25"/>
      <c r="H4" s="22"/>
      <c r="I4" s="5"/>
    </row>
    <row r="5" spans="1:9" ht="12.75" customHeight="1">
      <c r="A5" s="19"/>
      <c r="H5" s="22"/>
      <c r="I5" s="5"/>
    </row>
    <row r="6" spans="1:9" ht="12.75" customHeight="1">
      <c r="A6" s="24" t="s">
        <v>41</v>
      </c>
      <c r="C6" s="25" t="s">
        <v>42</v>
      </c>
      <c r="E6" s="25" t="s">
        <v>43</v>
      </c>
      <c r="F6" s="25"/>
      <c r="H6" s="22"/>
      <c r="I6" s="5"/>
    </row>
    <row r="7" spans="1:9" ht="12.75" customHeight="1">
      <c r="A7" s="19"/>
      <c r="H7" s="22"/>
      <c r="I7" s="5"/>
    </row>
    <row r="8" spans="1:9" ht="12.75" customHeight="1">
      <c r="A8" s="24" t="s">
        <v>47</v>
      </c>
      <c r="C8" s="25"/>
      <c r="E8" s="14" t="s">
        <v>48</v>
      </c>
      <c r="F8" s="26">
        <v>43607</v>
      </c>
      <c r="H8" s="22"/>
      <c r="I8" s="5"/>
    </row>
    <row r="9" spans="1:9" ht="12.75" customHeight="1">
      <c r="A9" s="27"/>
      <c r="B9" s="28"/>
      <c r="C9" s="28"/>
      <c r="D9" s="28"/>
      <c r="E9" s="28"/>
      <c r="F9" s="28"/>
      <c r="G9" s="28"/>
      <c r="H9" s="29"/>
      <c r="I9" s="5"/>
    </row>
    <row r="10" spans="1:9" ht="12.75" customHeight="1">
      <c r="A10" s="3" t="s">
        <v>0</v>
      </c>
      <c r="B10" s="32" t="s">
        <v>2</v>
      </c>
      <c r="C10" s="32" t="s">
        <v>3</v>
      </c>
      <c r="D10" s="32" t="s">
        <v>4</v>
      </c>
      <c r="E10" s="32" t="s">
        <v>5</v>
      </c>
      <c r="F10" s="32" t="s">
        <v>100</v>
      </c>
      <c r="G10" s="62" t="s">
        <v>7</v>
      </c>
      <c r="H10" s="30" t="s">
        <v>192</v>
      </c>
      <c r="I10" s="37"/>
    </row>
    <row r="11" spans="1:8" ht="12.75" customHeight="1">
      <c r="A11" s="39" t="s">
        <v>22</v>
      </c>
      <c r="B11" s="39"/>
      <c r="C11" s="39" t="s">
        <v>23</v>
      </c>
      <c r="D11" s="39" t="s">
        <v>24</v>
      </c>
      <c r="E11" s="39" t="s">
        <v>25</v>
      </c>
      <c r="F11" s="39"/>
      <c r="G11" s="43">
        <v>4</v>
      </c>
      <c r="H11" s="65" t="s">
        <v>164</v>
      </c>
    </row>
    <row r="12" spans="1:8" ht="12.75" customHeight="1">
      <c r="A12" s="14" t="s">
        <v>32</v>
      </c>
      <c r="B12" s="14"/>
      <c r="C12" s="14" t="s">
        <v>33</v>
      </c>
      <c r="D12" s="14" t="s">
        <v>34</v>
      </c>
      <c r="E12" s="14" t="s">
        <v>25</v>
      </c>
      <c r="F12" s="14"/>
      <c r="G12" s="15">
        <v>485</v>
      </c>
      <c r="H12" s="16" t="s">
        <v>164</v>
      </c>
    </row>
    <row r="13" spans="1:8" ht="12.75" customHeight="1">
      <c r="A13" s="14" t="s">
        <v>38</v>
      </c>
      <c r="B13" s="14"/>
      <c r="C13" s="14" t="s">
        <v>39</v>
      </c>
      <c r="D13" s="14" t="s">
        <v>40</v>
      </c>
      <c r="E13" s="14" t="s">
        <v>25</v>
      </c>
      <c r="F13" s="14"/>
      <c r="G13" s="15">
        <v>650</v>
      </c>
      <c r="H13" s="16" t="s">
        <v>164</v>
      </c>
    </row>
    <row r="14" spans="1:8" ht="12.75" customHeight="1">
      <c r="A14" s="14" t="s">
        <v>49</v>
      </c>
      <c r="B14" s="14"/>
      <c r="C14" s="14" t="s">
        <v>50</v>
      </c>
      <c r="D14" s="14" t="s">
        <v>51</v>
      </c>
      <c r="E14" s="14" t="s">
        <v>52</v>
      </c>
      <c r="F14" s="14"/>
      <c r="G14" s="15">
        <v>1</v>
      </c>
      <c r="H14" s="16" t="s">
        <v>164</v>
      </c>
    </row>
    <row r="15" spans="1:8" ht="12.75" customHeight="1">
      <c r="A15" s="14" t="s">
        <v>56</v>
      </c>
      <c r="B15" s="14"/>
      <c r="C15" s="14" t="s">
        <v>57</v>
      </c>
      <c r="D15" s="14" t="s">
        <v>58</v>
      </c>
      <c r="E15" s="14" t="s">
        <v>59</v>
      </c>
      <c r="F15" s="14"/>
      <c r="G15" s="15">
        <v>35</v>
      </c>
      <c r="H15" s="16" t="s">
        <v>164</v>
      </c>
    </row>
    <row r="16" spans="1:8" ht="12.75" customHeight="1">
      <c r="A16" s="14" t="s">
        <v>60</v>
      </c>
      <c r="B16" s="14"/>
      <c r="C16" s="14" t="s">
        <v>61</v>
      </c>
      <c r="D16" s="14" t="s">
        <v>62</v>
      </c>
      <c r="E16" s="14" t="s">
        <v>63</v>
      </c>
      <c r="F16" s="14"/>
      <c r="G16" s="15">
        <v>20</v>
      </c>
      <c r="H16" s="16" t="s">
        <v>164</v>
      </c>
    </row>
    <row r="17" spans="1:8" ht="12.75" customHeight="1">
      <c r="A17" s="14" t="s">
        <v>65</v>
      </c>
      <c r="B17" s="14"/>
      <c r="C17" s="14" t="s">
        <v>66</v>
      </c>
      <c r="D17" s="14" t="s">
        <v>67</v>
      </c>
      <c r="E17" s="14" t="s">
        <v>59</v>
      </c>
      <c r="F17" s="14"/>
      <c r="G17" s="15">
        <v>35</v>
      </c>
      <c r="H17" s="16" t="s">
        <v>164</v>
      </c>
    </row>
    <row r="18" spans="1:8" ht="12.75" customHeight="1">
      <c r="A18" s="14" t="s">
        <v>72</v>
      </c>
      <c r="B18" s="14"/>
      <c r="C18" s="14" t="s">
        <v>73</v>
      </c>
      <c r="D18" s="14" t="s">
        <v>74</v>
      </c>
      <c r="E18" s="14" t="s">
        <v>52</v>
      </c>
      <c r="F18" s="14"/>
      <c r="G18" s="15">
        <v>1</v>
      </c>
      <c r="H18" s="16" t="s">
        <v>164</v>
      </c>
    </row>
    <row r="19" spans="1:8" ht="12.75" customHeight="1">
      <c r="A19" s="14" t="s">
        <v>77</v>
      </c>
      <c r="B19" s="14"/>
      <c r="C19" s="14" t="s">
        <v>78</v>
      </c>
      <c r="D19" s="14" t="s">
        <v>79</v>
      </c>
      <c r="E19" s="14" t="s">
        <v>52</v>
      </c>
      <c r="F19" s="14"/>
      <c r="G19" s="15">
        <v>1</v>
      </c>
      <c r="H19" s="16" t="s">
        <v>164</v>
      </c>
    </row>
    <row r="20" spans="1:8" ht="12.75" customHeight="1">
      <c r="A20" s="14" t="s">
        <v>83</v>
      </c>
      <c r="B20" s="14"/>
      <c r="C20" s="14" t="s">
        <v>84</v>
      </c>
      <c r="D20" s="14" t="s">
        <v>85</v>
      </c>
      <c r="E20" s="14" t="s">
        <v>52</v>
      </c>
      <c r="F20" s="14"/>
      <c r="G20" s="15">
        <v>6</v>
      </c>
      <c r="H20" s="16" t="s">
        <v>164</v>
      </c>
    </row>
    <row r="21" spans="1:8" ht="12.75" customHeight="1">
      <c r="A21" s="14" t="s">
        <v>87</v>
      </c>
      <c r="B21" s="14"/>
      <c r="C21" s="14" t="s">
        <v>88</v>
      </c>
      <c r="D21" s="14" t="s">
        <v>89</v>
      </c>
      <c r="E21" s="14" t="s">
        <v>63</v>
      </c>
      <c r="F21" s="14"/>
      <c r="G21" s="15">
        <v>6</v>
      </c>
      <c r="H21" s="16" t="s">
        <v>164</v>
      </c>
    </row>
    <row r="22" spans="1:8" ht="12.75" customHeight="1">
      <c r="A22" s="14" t="s">
        <v>92</v>
      </c>
      <c r="B22" s="14"/>
      <c r="C22" s="14" t="s">
        <v>93</v>
      </c>
      <c r="D22" s="14" t="s">
        <v>94</v>
      </c>
      <c r="E22" s="14" t="s">
        <v>63</v>
      </c>
      <c r="F22" s="14"/>
      <c r="G22" s="15">
        <v>6</v>
      </c>
      <c r="H22" s="16" t="s">
        <v>164</v>
      </c>
    </row>
    <row r="23" spans="1:8" ht="12.75" customHeight="1">
      <c r="A23" s="14" t="s">
        <v>97</v>
      </c>
      <c r="B23" s="14"/>
      <c r="C23" s="14" t="s">
        <v>98</v>
      </c>
      <c r="D23" s="14" t="s">
        <v>99</v>
      </c>
      <c r="E23" s="14" t="s">
        <v>63</v>
      </c>
      <c r="F23" s="14"/>
      <c r="G23" s="15">
        <v>6</v>
      </c>
      <c r="H23" s="16" t="s">
        <v>164</v>
      </c>
    </row>
    <row r="24" spans="1:8" ht="12.75" customHeight="1">
      <c r="A24" s="14" t="s">
        <v>112</v>
      </c>
      <c r="B24" s="14"/>
      <c r="C24" s="14" t="s">
        <v>113</v>
      </c>
      <c r="D24" s="14" t="s">
        <v>114</v>
      </c>
      <c r="E24" s="14" t="s">
        <v>63</v>
      </c>
      <c r="F24" s="14"/>
      <c r="G24" s="15">
        <v>6</v>
      </c>
      <c r="H24" s="16" t="s">
        <v>164</v>
      </c>
    </row>
    <row r="25" spans="1:8" ht="12.75" customHeight="1">
      <c r="A25" s="14" t="s">
        <v>120</v>
      </c>
      <c r="B25" s="14"/>
      <c r="C25" s="14" t="s">
        <v>121</v>
      </c>
      <c r="D25" s="14" t="s">
        <v>122</v>
      </c>
      <c r="E25" s="14" t="s">
        <v>63</v>
      </c>
      <c r="F25" s="14"/>
      <c r="G25" s="15">
        <v>10</v>
      </c>
      <c r="H25" s="16" t="s">
        <v>164</v>
      </c>
    </row>
    <row r="26" spans="1:8" ht="12.75" customHeight="1">
      <c r="A26" s="14" t="s">
        <v>140</v>
      </c>
      <c r="B26" s="14"/>
      <c r="C26" s="14" t="s">
        <v>141</v>
      </c>
      <c r="D26" s="14" t="s">
        <v>142</v>
      </c>
      <c r="E26" s="14" t="s">
        <v>59</v>
      </c>
      <c r="F26" s="14"/>
      <c r="G26" s="15">
        <v>18.5</v>
      </c>
      <c r="H26" s="16" t="s">
        <v>164</v>
      </c>
    </row>
    <row r="27" spans="1:8" ht="12.75" customHeight="1">
      <c r="A27" s="14" t="s">
        <v>143</v>
      </c>
      <c r="B27" s="14"/>
      <c r="C27" s="14" t="s">
        <v>144</v>
      </c>
      <c r="D27" s="14" t="s">
        <v>145</v>
      </c>
      <c r="E27" s="14" t="s">
        <v>25</v>
      </c>
      <c r="F27" s="14"/>
      <c r="G27" s="15">
        <v>120</v>
      </c>
      <c r="H27" s="16" t="s">
        <v>164</v>
      </c>
    </row>
    <row r="28" spans="1:8" ht="12.75" customHeight="1">
      <c r="A28" s="14" t="s">
        <v>146</v>
      </c>
      <c r="B28" s="14"/>
      <c r="C28" s="14" t="s">
        <v>147</v>
      </c>
      <c r="D28" s="14" t="s">
        <v>148</v>
      </c>
      <c r="E28" s="14" t="s">
        <v>25</v>
      </c>
      <c r="F28" s="14"/>
      <c r="G28" s="15">
        <v>120</v>
      </c>
      <c r="H28" s="16" t="s">
        <v>164</v>
      </c>
    </row>
    <row r="29" spans="1:8" ht="12.75" customHeight="1">
      <c r="A29" s="14" t="s">
        <v>150</v>
      </c>
      <c r="B29" s="14"/>
      <c r="C29" s="14" t="s">
        <v>151</v>
      </c>
      <c r="D29" s="14" t="s">
        <v>152</v>
      </c>
      <c r="E29" s="14" t="s">
        <v>25</v>
      </c>
      <c r="F29" s="14"/>
      <c r="G29" s="15">
        <v>120</v>
      </c>
      <c r="H29" s="16" t="s">
        <v>164</v>
      </c>
    </row>
    <row r="30" spans="1:8" ht="12.75" customHeight="1">
      <c r="A30" s="14" t="s">
        <v>153</v>
      </c>
      <c r="B30" s="14"/>
      <c r="C30" s="14" t="s">
        <v>154</v>
      </c>
      <c r="D30" s="14" t="s">
        <v>155</v>
      </c>
      <c r="E30" s="14" t="s">
        <v>59</v>
      </c>
      <c r="F30" s="14"/>
      <c r="G30" s="15">
        <v>42</v>
      </c>
      <c r="H30" s="16" t="s">
        <v>164</v>
      </c>
    </row>
    <row r="31" spans="1:8" ht="12.75" customHeight="1">
      <c r="A31" s="14" t="s">
        <v>26</v>
      </c>
      <c r="B31" s="14"/>
      <c r="C31" s="14" t="s">
        <v>156</v>
      </c>
      <c r="D31" s="14" t="s">
        <v>157</v>
      </c>
      <c r="E31" s="14" t="s">
        <v>59</v>
      </c>
      <c r="F31" s="14"/>
      <c r="G31" s="15">
        <v>69</v>
      </c>
      <c r="H31" s="16" t="s">
        <v>164</v>
      </c>
    </row>
    <row r="32" spans="1:8" ht="12.75" customHeight="1">
      <c r="A32" s="14" t="s">
        <v>158</v>
      </c>
      <c r="B32" s="14"/>
      <c r="C32" s="14" t="s">
        <v>159</v>
      </c>
      <c r="D32" s="14" t="s">
        <v>160</v>
      </c>
      <c r="E32" s="14" t="s">
        <v>25</v>
      </c>
      <c r="F32" s="14"/>
      <c r="G32" s="15">
        <v>126</v>
      </c>
      <c r="H32" s="16" t="s">
        <v>164</v>
      </c>
    </row>
    <row r="33" spans="1:8" ht="12.75" customHeight="1">
      <c r="A33" s="14" t="s">
        <v>161</v>
      </c>
      <c r="B33" s="14"/>
      <c r="C33" s="14" t="s">
        <v>162</v>
      </c>
      <c r="D33" s="14" t="s">
        <v>163</v>
      </c>
      <c r="E33" s="14" t="s">
        <v>25</v>
      </c>
      <c r="F33" s="14"/>
      <c r="G33" s="15">
        <v>126</v>
      </c>
      <c r="H33" s="16" t="s">
        <v>164</v>
      </c>
    </row>
    <row r="34" spans="1:8" ht="12.75" customHeight="1">
      <c r="A34" s="14" t="s">
        <v>166</v>
      </c>
      <c r="B34" s="14"/>
      <c r="C34" s="14" t="s">
        <v>167</v>
      </c>
      <c r="D34" s="14" t="s">
        <v>168</v>
      </c>
      <c r="E34" s="14" t="s">
        <v>25</v>
      </c>
      <c r="F34" s="14"/>
      <c r="G34" s="15">
        <v>126</v>
      </c>
      <c r="H34" s="16" t="s">
        <v>164</v>
      </c>
    </row>
    <row r="35" spans="1:8" ht="12.75" customHeight="1">
      <c r="A35" s="14" t="s">
        <v>169</v>
      </c>
      <c r="B35" s="14"/>
      <c r="C35" s="14" t="s">
        <v>159</v>
      </c>
      <c r="D35" s="14" t="s">
        <v>170</v>
      </c>
      <c r="E35" s="14" t="s">
        <v>25</v>
      </c>
      <c r="F35" s="14"/>
      <c r="G35" s="15">
        <v>126</v>
      </c>
      <c r="H35" s="16" t="s">
        <v>164</v>
      </c>
    </row>
    <row r="36" spans="1:8" ht="12.75" customHeight="1">
      <c r="A36" s="14" t="s">
        <v>171</v>
      </c>
      <c r="B36" s="14"/>
      <c r="C36" s="14" t="s">
        <v>172</v>
      </c>
      <c r="D36" s="14" t="s">
        <v>173</v>
      </c>
      <c r="E36" s="14" t="s">
        <v>59</v>
      </c>
      <c r="F36" s="14"/>
      <c r="G36" s="15">
        <v>13</v>
      </c>
      <c r="H36" s="16" t="s">
        <v>164</v>
      </c>
    </row>
    <row r="37" spans="1:8" ht="12.75" customHeight="1">
      <c r="A37" s="14" t="s">
        <v>174</v>
      </c>
      <c r="B37" s="14"/>
      <c r="C37" s="14" t="s">
        <v>175</v>
      </c>
      <c r="D37" s="14" t="s">
        <v>176</v>
      </c>
      <c r="E37" s="14" t="s">
        <v>25</v>
      </c>
      <c r="F37" s="14"/>
      <c r="G37" s="15">
        <v>40</v>
      </c>
      <c r="H37" s="16" t="s">
        <v>164</v>
      </c>
    </row>
    <row r="38" spans="1:8" ht="12.75" customHeight="1">
      <c r="A38" s="14" t="s">
        <v>180</v>
      </c>
      <c r="B38" s="14"/>
      <c r="C38" s="14" t="s">
        <v>181</v>
      </c>
      <c r="D38" s="14" t="s">
        <v>182</v>
      </c>
      <c r="E38" s="14" t="s">
        <v>25</v>
      </c>
      <c r="F38" s="14"/>
      <c r="G38" s="15">
        <v>40</v>
      </c>
      <c r="H38" s="16" t="s">
        <v>164</v>
      </c>
    </row>
    <row r="39" spans="1:8" ht="12.75" customHeight="1">
      <c r="A39" s="14" t="s">
        <v>183</v>
      </c>
      <c r="B39" s="14"/>
      <c r="C39" s="14" t="s">
        <v>184</v>
      </c>
      <c r="D39" s="14" t="s">
        <v>185</v>
      </c>
      <c r="E39" s="14" t="s">
        <v>25</v>
      </c>
      <c r="F39" s="14"/>
      <c r="G39" s="15">
        <v>40</v>
      </c>
      <c r="H39" s="16" t="s">
        <v>164</v>
      </c>
    </row>
    <row r="40" spans="1:8" ht="12.75" customHeight="1">
      <c r="A40" s="14" t="s">
        <v>186</v>
      </c>
      <c r="B40" s="14"/>
      <c r="C40" s="14" t="s">
        <v>187</v>
      </c>
      <c r="D40" s="14" t="s">
        <v>188</v>
      </c>
      <c r="E40" s="14" t="s">
        <v>25</v>
      </c>
      <c r="F40" s="14"/>
      <c r="G40" s="15">
        <v>40</v>
      </c>
      <c r="H40" s="16" t="s">
        <v>164</v>
      </c>
    </row>
    <row r="41" spans="1:8" ht="12.75" customHeight="1">
      <c r="A41" s="14" t="s">
        <v>189</v>
      </c>
      <c r="B41" s="14"/>
      <c r="C41" s="14" t="s">
        <v>190</v>
      </c>
      <c r="D41" s="14" t="s">
        <v>191</v>
      </c>
      <c r="E41" s="14" t="s">
        <v>59</v>
      </c>
      <c r="F41" s="14"/>
      <c r="G41" s="15">
        <v>45</v>
      </c>
      <c r="H41" s="16" t="s">
        <v>164</v>
      </c>
    </row>
    <row r="42" spans="1:8" ht="12.75" customHeight="1">
      <c r="A42" s="14" t="s">
        <v>193</v>
      </c>
      <c r="B42" s="14"/>
      <c r="C42" s="14" t="s">
        <v>194</v>
      </c>
      <c r="D42" s="14" t="s">
        <v>195</v>
      </c>
      <c r="E42" s="14" t="s">
        <v>25</v>
      </c>
      <c r="F42" s="14"/>
      <c r="G42" s="15">
        <v>850</v>
      </c>
      <c r="H42" s="16" t="s">
        <v>164</v>
      </c>
    </row>
    <row r="43" spans="1:8" ht="12.75" customHeight="1">
      <c r="A43" s="14" t="s">
        <v>196</v>
      </c>
      <c r="B43" s="14"/>
      <c r="C43" s="14" t="s">
        <v>197</v>
      </c>
      <c r="D43" s="14" t="s">
        <v>198</v>
      </c>
      <c r="E43" s="14" t="s">
        <v>25</v>
      </c>
      <c r="F43" s="14"/>
      <c r="G43" s="15">
        <v>758</v>
      </c>
      <c r="H43" s="16" t="s">
        <v>164</v>
      </c>
    </row>
    <row r="44" spans="1:8" ht="12.75" customHeight="1">
      <c r="A44" s="14" t="s">
        <v>16</v>
      </c>
      <c r="B44" s="14"/>
      <c r="C44" s="14" t="s">
        <v>199</v>
      </c>
      <c r="D44" s="14" t="s">
        <v>200</v>
      </c>
      <c r="E44" s="14" t="s">
        <v>25</v>
      </c>
      <c r="F44" s="14"/>
      <c r="G44" s="15">
        <v>1300</v>
      </c>
      <c r="H44" s="16" t="s">
        <v>164</v>
      </c>
    </row>
    <row r="45" spans="1:8" ht="12.75" customHeight="1">
      <c r="A45" s="14" t="s">
        <v>201</v>
      </c>
      <c r="B45" s="14"/>
      <c r="C45" s="14" t="s">
        <v>202</v>
      </c>
      <c r="D45" s="14" t="s">
        <v>203</v>
      </c>
      <c r="E45" s="14" t="s">
        <v>204</v>
      </c>
      <c r="F45" s="14"/>
      <c r="G45" s="15">
        <v>178</v>
      </c>
      <c r="H45" s="16" t="s">
        <v>164</v>
      </c>
    </row>
    <row r="46" spans="1:8" ht="12.75" customHeight="1">
      <c r="A46" s="14" t="s">
        <v>205</v>
      </c>
      <c r="B46" s="14"/>
      <c r="C46" s="14" t="s">
        <v>206</v>
      </c>
      <c r="D46" s="14" t="s">
        <v>207</v>
      </c>
      <c r="E46" s="14" t="s">
        <v>25</v>
      </c>
      <c r="F46" s="14"/>
      <c r="G46" s="15">
        <v>350</v>
      </c>
      <c r="H46" s="16" t="s">
        <v>164</v>
      </c>
    </row>
    <row r="47" spans="1:8" ht="12.75" customHeight="1">
      <c r="A47" s="14" t="s">
        <v>208</v>
      </c>
      <c r="B47" s="14"/>
      <c r="C47" s="14" t="s">
        <v>209</v>
      </c>
      <c r="D47" s="14" t="s">
        <v>210</v>
      </c>
      <c r="E47" s="14" t="s">
        <v>25</v>
      </c>
      <c r="F47" s="14"/>
      <c r="G47" s="15">
        <v>350</v>
      </c>
      <c r="H47" s="16" t="s">
        <v>164</v>
      </c>
    </row>
    <row r="48" spans="1:8" ht="12.75" customHeight="1">
      <c r="A48" s="14" t="s">
        <v>211</v>
      </c>
      <c r="B48" s="14"/>
      <c r="C48" s="14" t="s">
        <v>212</v>
      </c>
      <c r="D48" s="14" t="s">
        <v>213</v>
      </c>
      <c r="E48" s="14" t="s">
        <v>52</v>
      </c>
      <c r="F48" s="14"/>
      <c r="G48" s="15">
        <v>1</v>
      </c>
      <c r="H48" s="16" t="s">
        <v>164</v>
      </c>
    </row>
    <row r="49" spans="1:8" ht="12.75" customHeight="1">
      <c r="A49" s="14" t="s">
        <v>214</v>
      </c>
      <c r="B49" s="14"/>
      <c r="C49" s="14" t="s">
        <v>215</v>
      </c>
      <c r="D49" s="14" t="s">
        <v>216</v>
      </c>
      <c r="E49" s="14" t="s">
        <v>217</v>
      </c>
      <c r="F49" s="14"/>
      <c r="G49" s="15">
        <v>11.56</v>
      </c>
      <c r="H49" s="16" t="s">
        <v>164</v>
      </c>
    </row>
    <row r="50" spans="1:8" ht="12.75" customHeight="1">
      <c r="A50" s="14" t="s">
        <v>218</v>
      </c>
      <c r="B50" s="14"/>
      <c r="C50" s="14" t="s">
        <v>219</v>
      </c>
      <c r="D50" s="14" t="s">
        <v>220</v>
      </c>
      <c r="E50" s="14" t="s">
        <v>52</v>
      </c>
      <c r="F50" s="14"/>
      <c r="G50" s="15">
        <v>1</v>
      </c>
      <c r="H50" s="16" t="s">
        <v>164</v>
      </c>
    </row>
    <row r="51" spans="1:8" ht="12.75" customHeight="1">
      <c r="A51" s="14" t="s">
        <v>221</v>
      </c>
      <c r="B51" s="14"/>
      <c r="C51" s="14" t="s">
        <v>222</v>
      </c>
      <c r="D51" s="14" t="s">
        <v>223</v>
      </c>
      <c r="E51" s="14" t="s">
        <v>52</v>
      </c>
      <c r="F51" s="14"/>
      <c r="G51" s="15">
        <v>1</v>
      </c>
      <c r="H51" s="16" t="s">
        <v>164</v>
      </c>
    </row>
    <row r="52" spans="1:8" ht="12.75" customHeight="1">
      <c r="A52" s="14" t="s">
        <v>224</v>
      </c>
      <c r="B52" s="14"/>
      <c r="C52" s="14" t="s">
        <v>225</v>
      </c>
      <c r="D52" s="14" t="s">
        <v>226</v>
      </c>
      <c r="E52" s="14" t="s">
        <v>63</v>
      </c>
      <c r="F52" s="14"/>
      <c r="G52" s="15">
        <v>15</v>
      </c>
      <c r="H52" s="16" t="s">
        <v>164</v>
      </c>
    </row>
    <row r="53" spans="1:8" ht="12.75" customHeight="1">
      <c r="A53" s="14" t="s">
        <v>227</v>
      </c>
      <c r="B53" s="14"/>
      <c r="C53" s="14" t="s">
        <v>228</v>
      </c>
      <c r="D53" s="14" t="s">
        <v>229</v>
      </c>
      <c r="E53" s="14" t="s">
        <v>63</v>
      </c>
      <c r="F53" s="14"/>
      <c r="G53" s="15">
        <v>12</v>
      </c>
      <c r="H53" s="16" t="s">
        <v>164</v>
      </c>
    </row>
    <row r="54" ht="12.75" customHeight="1"/>
    <row r="55" ht="10.5" customHeight="1">
      <c r="A55" s="66" t="s">
        <v>230</v>
      </c>
    </row>
    <row r="56" ht="409.5" customHeight="1" hidden="1">
      <c r="A56" s="25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8">
    <mergeCell ref="A2:B3"/>
    <mergeCell ref="C2:D3"/>
    <mergeCell ref="E2:E3"/>
    <mergeCell ref="E8:E9"/>
    <mergeCell ref="E6:E7"/>
    <mergeCell ref="E4:E5"/>
    <mergeCell ref="F6:H7"/>
    <mergeCell ref="F8:H9"/>
    <mergeCell ref="C6:D7"/>
    <mergeCell ref="C8:D9"/>
    <mergeCell ref="F4:H5"/>
    <mergeCell ref="F2:H3"/>
    <mergeCell ref="A6:B7"/>
    <mergeCell ref="A8:B9"/>
    <mergeCell ref="A56:G56"/>
    <mergeCell ref="A4:B5"/>
    <mergeCell ref="A1:H1"/>
    <mergeCell ref="C4:D5"/>
  </mergeCell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I29"/>
  <sheetViews>
    <sheetView workbookViewId="0" topLeftCell="A1"/>
  </sheetViews>
  <sheetFormatPr defaultColWidth="14.421875" defaultRowHeight="15" customHeight="1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  <col min="9" max="9" width="11.57421875" style="0" customWidth="1"/>
    <col min="10" max="26" width="8.00390625" style="0" customWidth="1"/>
  </cols>
  <sheetData>
    <row r="1" spans="1:8" ht="72.75" customHeight="1">
      <c r="A1" s="2" t="s">
        <v>234</v>
      </c>
      <c r="B1" s="4"/>
      <c r="C1" s="4"/>
      <c r="D1" s="4"/>
      <c r="E1" s="4"/>
      <c r="F1" s="4"/>
      <c r="G1" s="4"/>
      <c r="H1" s="4"/>
    </row>
    <row r="2" spans="1:9" ht="12.75" customHeight="1">
      <c r="A2" s="7" t="s">
        <v>14</v>
      </c>
      <c r="B2" s="10" t="s">
        <v>19</v>
      </c>
      <c r="C2" s="17" t="s">
        <v>27</v>
      </c>
      <c r="D2" s="17" t="s">
        <v>28</v>
      </c>
      <c r="E2" s="8"/>
      <c r="F2" s="11" t="s">
        <v>20</v>
      </c>
      <c r="G2" s="11" t="s">
        <v>21</v>
      </c>
      <c r="H2" s="13"/>
      <c r="I2" s="5"/>
    </row>
    <row r="3" spans="1:9" ht="12.75" customHeight="1">
      <c r="A3" s="19"/>
      <c r="H3" s="22"/>
      <c r="I3" s="5"/>
    </row>
    <row r="4" spans="1:9" ht="12.75" customHeight="1">
      <c r="A4" s="24" t="s">
        <v>31</v>
      </c>
      <c r="B4" s="25" t="s">
        <v>35</v>
      </c>
      <c r="C4" s="14" t="s">
        <v>37</v>
      </c>
      <c r="D4" s="14" t="s">
        <v>15</v>
      </c>
      <c r="F4" s="25" t="s">
        <v>36</v>
      </c>
      <c r="G4" s="25"/>
      <c r="H4" s="22"/>
      <c r="I4" s="5"/>
    </row>
    <row r="5" spans="1:9" ht="12.75" customHeight="1">
      <c r="A5" s="19"/>
      <c r="H5" s="22"/>
      <c r="I5" s="5"/>
    </row>
    <row r="6" spans="1:9" ht="12.75" customHeight="1">
      <c r="A6" s="24" t="s">
        <v>41</v>
      </c>
      <c r="B6" s="25" t="s">
        <v>42</v>
      </c>
      <c r="C6" s="14" t="s">
        <v>44</v>
      </c>
      <c r="D6" s="26">
        <v>43707</v>
      </c>
      <c r="F6" s="25" t="s">
        <v>43</v>
      </c>
      <c r="G6" s="25"/>
      <c r="H6" s="22"/>
      <c r="I6" s="5"/>
    </row>
    <row r="7" spans="1:9" ht="12.75" customHeight="1">
      <c r="A7" s="19"/>
      <c r="H7" s="22"/>
      <c r="I7" s="5"/>
    </row>
    <row r="8" spans="1:9" ht="12.75" customHeight="1">
      <c r="A8" s="24" t="s">
        <v>53</v>
      </c>
      <c r="B8" s="25"/>
      <c r="C8" s="14" t="s">
        <v>48</v>
      </c>
      <c r="D8" s="26">
        <v>43607</v>
      </c>
      <c r="F8" s="25" t="s">
        <v>47</v>
      </c>
      <c r="G8" s="25"/>
      <c r="H8" s="22"/>
      <c r="I8" s="5"/>
    </row>
    <row r="9" spans="1:9" ht="12.75" customHeight="1">
      <c r="A9" s="27"/>
      <c r="B9" s="28"/>
      <c r="C9" s="28"/>
      <c r="D9" s="28"/>
      <c r="E9" s="28"/>
      <c r="F9" s="28"/>
      <c r="G9" s="28"/>
      <c r="H9" s="29"/>
      <c r="I9" s="5"/>
    </row>
    <row r="10" spans="1:9" ht="12.75" customHeight="1">
      <c r="A10" s="3" t="s">
        <v>3</v>
      </c>
      <c r="B10" s="32" t="s">
        <v>4</v>
      </c>
      <c r="C10" s="62" t="s">
        <v>235</v>
      </c>
      <c r="D10" s="62" t="s">
        <v>238</v>
      </c>
      <c r="E10" s="62" t="s">
        <v>239</v>
      </c>
      <c r="F10" s="68" t="s">
        <v>240</v>
      </c>
      <c r="G10" s="69"/>
      <c r="H10" s="70"/>
      <c r="I10" s="37"/>
    </row>
    <row r="11" spans="1:8" ht="12.75" customHeight="1">
      <c r="A11" s="39" t="s">
        <v>16</v>
      </c>
      <c r="B11" s="39" t="s">
        <v>17</v>
      </c>
      <c r="C11" s="43">
        <v>4.4</v>
      </c>
      <c r="D11" s="65" t="s">
        <v>22</v>
      </c>
      <c r="E11" s="65" t="s">
        <v>22</v>
      </c>
      <c r="F11" s="71">
        <v>0</v>
      </c>
      <c r="G11" s="72"/>
      <c r="H11" s="72"/>
    </row>
    <row r="12" spans="1:6" ht="12.75" customHeight="1">
      <c r="A12" s="14" t="s">
        <v>29</v>
      </c>
      <c r="B12" s="14" t="s">
        <v>30</v>
      </c>
      <c r="C12" s="15">
        <v>163.3868</v>
      </c>
      <c r="D12" s="16" t="s">
        <v>60</v>
      </c>
      <c r="E12" s="16" t="s">
        <v>49</v>
      </c>
      <c r="F12" s="73">
        <v>0</v>
      </c>
    </row>
    <row r="13" spans="1:6" ht="12.75" customHeight="1">
      <c r="A13" s="14" t="s">
        <v>81</v>
      </c>
      <c r="B13" s="14" t="s">
        <v>82</v>
      </c>
      <c r="C13" s="15">
        <v>17.352</v>
      </c>
      <c r="D13" s="16" t="s">
        <v>22</v>
      </c>
      <c r="E13" s="16" t="s">
        <v>38</v>
      </c>
      <c r="F13" s="73">
        <v>0</v>
      </c>
    </row>
    <row r="14" spans="1:6" ht="12.75" customHeight="1">
      <c r="A14" s="14" t="s">
        <v>95</v>
      </c>
      <c r="B14" s="14" t="s">
        <v>96</v>
      </c>
      <c r="C14" s="15">
        <v>34.529</v>
      </c>
      <c r="D14" s="16" t="s">
        <v>22</v>
      </c>
      <c r="E14" s="16" t="s">
        <v>56</v>
      </c>
      <c r="F14" s="73">
        <v>0</v>
      </c>
    </row>
    <row r="15" spans="1:6" ht="12.75" customHeight="1">
      <c r="A15" s="14" t="s">
        <v>101</v>
      </c>
      <c r="B15" s="14" t="s">
        <v>102</v>
      </c>
      <c r="C15" s="15">
        <v>146.91</v>
      </c>
      <c r="D15" s="16" t="s">
        <v>38</v>
      </c>
      <c r="E15" s="16" t="s">
        <v>65</v>
      </c>
      <c r="F15" s="73">
        <v>0</v>
      </c>
    </row>
    <row r="16" spans="1:6" ht="12.75" customHeight="1">
      <c r="A16" s="14" t="s">
        <v>103</v>
      </c>
      <c r="B16" s="14" t="s">
        <v>104</v>
      </c>
      <c r="C16" s="15">
        <v>220.586</v>
      </c>
      <c r="D16" s="16" t="s">
        <v>83</v>
      </c>
      <c r="E16" s="16" t="s">
        <v>38</v>
      </c>
      <c r="F16" s="73">
        <v>0</v>
      </c>
    </row>
    <row r="17" spans="1:6" ht="12.75" customHeight="1">
      <c r="A17" s="14" t="s">
        <v>105</v>
      </c>
      <c r="B17" s="14" t="s">
        <v>106</v>
      </c>
      <c r="C17" s="15">
        <v>91.12</v>
      </c>
      <c r="D17" s="16" t="s">
        <v>56</v>
      </c>
      <c r="E17" s="16" t="s">
        <v>38</v>
      </c>
      <c r="F17" s="73">
        <v>0</v>
      </c>
    </row>
    <row r="18" spans="1:6" ht="12.75" customHeight="1">
      <c r="A18" s="14" t="s">
        <v>108</v>
      </c>
      <c r="B18" s="14" t="s">
        <v>109</v>
      </c>
      <c r="C18" s="15">
        <v>17.685</v>
      </c>
      <c r="D18" s="16" t="s">
        <v>22</v>
      </c>
      <c r="E18" s="16" t="s">
        <v>38</v>
      </c>
      <c r="F18" s="73">
        <v>0</v>
      </c>
    </row>
    <row r="19" spans="1:6" ht="12.75" customHeight="1">
      <c r="A19" s="14" t="s">
        <v>110</v>
      </c>
      <c r="B19" s="14" t="s">
        <v>111</v>
      </c>
      <c r="C19" s="15">
        <v>281.25232</v>
      </c>
      <c r="D19" s="16" t="s">
        <v>60</v>
      </c>
      <c r="E19" s="16" t="s">
        <v>60</v>
      </c>
      <c r="F19" s="73">
        <v>0</v>
      </c>
    </row>
    <row r="20" spans="1:6" ht="12.75" customHeight="1">
      <c r="A20" s="14" t="s">
        <v>124</v>
      </c>
      <c r="B20" s="14" t="s">
        <v>125</v>
      </c>
      <c r="C20" s="15">
        <v>124.95</v>
      </c>
      <c r="D20" s="16" t="s">
        <v>56</v>
      </c>
      <c r="E20" s="16" t="s">
        <v>49</v>
      </c>
      <c r="F20" s="73">
        <v>0</v>
      </c>
    </row>
    <row r="21" spans="1:6" ht="12.75" customHeight="1">
      <c r="A21" s="14" t="s">
        <v>126</v>
      </c>
      <c r="B21" s="14" t="s">
        <v>128</v>
      </c>
      <c r="C21" s="15">
        <v>3.68692</v>
      </c>
      <c r="D21" s="16" t="s">
        <v>22</v>
      </c>
      <c r="E21" s="16" t="s">
        <v>22</v>
      </c>
      <c r="F21" s="73">
        <v>0</v>
      </c>
    </row>
    <row r="22" spans="1:6" ht="12.75" customHeight="1">
      <c r="A22" s="14" t="s">
        <v>115</v>
      </c>
      <c r="B22" s="14" t="s">
        <v>116</v>
      </c>
      <c r="C22" s="15">
        <v>178</v>
      </c>
      <c r="D22" s="16" t="s">
        <v>65</v>
      </c>
      <c r="E22" s="16" t="s">
        <v>49</v>
      </c>
      <c r="F22" s="73">
        <v>0</v>
      </c>
    </row>
    <row r="23" spans="1:6" ht="12.75" customHeight="1">
      <c r="A23" s="14" t="s">
        <v>137</v>
      </c>
      <c r="B23" s="14" t="s">
        <v>138</v>
      </c>
      <c r="C23" s="15">
        <v>172.80192</v>
      </c>
      <c r="D23" s="16" t="s">
        <v>60</v>
      </c>
      <c r="E23" s="16" t="s">
        <v>49</v>
      </c>
      <c r="F23" s="73">
        <v>0</v>
      </c>
    </row>
    <row r="24" spans="1:6" ht="12.75" customHeight="1">
      <c r="A24" s="14" t="s">
        <v>54</v>
      </c>
      <c r="B24" s="14" t="s">
        <v>55</v>
      </c>
      <c r="C24" s="15">
        <v>25.96476</v>
      </c>
      <c r="D24" s="16" t="s">
        <v>22</v>
      </c>
      <c r="E24" s="16" t="s">
        <v>49</v>
      </c>
      <c r="F24" s="73">
        <v>0</v>
      </c>
    </row>
    <row r="25" spans="1:6" ht="12.75" customHeight="1">
      <c r="A25" s="14" t="s">
        <v>45</v>
      </c>
      <c r="B25" s="14" t="s">
        <v>46</v>
      </c>
      <c r="C25" s="15">
        <v>0.475</v>
      </c>
      <c r="D25" s="16" t="s">
        <v>22</v>
      </c>
      <c r="E25" s="16" t="s">
        <v>22</v>
      </c>
      <c r="F25" s="73">
        <v>0</v>
      </c>
    </row>
    <row r="26" spans="1:6" ht="12.75" customHeight="1">
      <c r="A26" s="14" t="s">
        <v>75</v>
      </c>
      <c r="B26" s="14" t="s">
        <v>76</v>
      </c>
      <c r="C26" s="15">
        <v>0.165</v>
      </c>
      <c r="D26" s="16" t="s">
        <v>22</v>
      </c>
      <c r="E26" s="16" t="s">
        <v>22</v>
      </c>
      <c r="F26" s="73">
        <v>0</v>
      </c>
    </row>
    <row r="27" ht="12.75" customHeight="1"/>
    <row r="28" ht="10.5" customHeight="1">
      <c r="A28" s="66" t="s">
        <v>230</v>
      </c>
    </row>
    <row r="29" ht="409.5" customHeight="1" hidden="1">
      <c r="A29" s="25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3">
    <mergeCell ref="F8:F9"/>
    <mergeCell ref="G8:H9"/>
    <mergeCell ref="G4:H5"/>
    <mergeCell ref="G6:H7"/>
    <mergeCell ref="F14:H14"/>
    <mergeCell ref="A1:H1"/>
    <mergeCell ref="C2:C3"/>
    <mergeCell ref="D2:E3"/>
    <mergeCell ref="C6:C7"/>
    <mergeCell ref="F15:H15"/>
    <mergeCell ref="F10:H10"/>
    <mergeCell ref="F6:F7"/>
    <mergeCell ref="F16:H16"/>
    <mergeCell ref="F18:H18"/>
    <mergeCell ref="F17:H17"/>
    <mergeCell ref="F22:H22"/>
    <mergeCell ref="F21:H21"/>
    <mergeCell ref="A29:H29"/>
    <mergeCell ref="F20:H20"/>
    <mergeCell ref="F19:H19"/>
    <mergeCell ref="F13:H13"/>
    <mergeCell ref="F11:H11"/>
    <mergeCell ref="F12:H12"/>
    <mergeCell ref="F23:H23"/>
    <mergeCell ref="F26:H26"/>
    <mergeCell ref="F25:H25"/>
    <mergeCell ref="F24:H24"/>
    <mergeCell ref="F2:F3"/>
    <mergeCell ref="G2:H3"/>
    <mergeCell ref="B4:B5"/>
    <mergeCell ref="C4:C5"/>
    <mergeCell ref="D4:E5"/>
    <mergeCell ref="F4:F5"/>
    <mergeCell ref="B2:B3"/>
    <mergeCell ref="B6:B7"/>
    <mergeCell ref="A2:A3"/>
    <mergeCell ref="A8:A9"/>
    <mergeCell ref="A4:A5"/>
    <mergeCell ref="A6:A7"/>
    <mergeCell ref="B8:B9"/>
    <mergeCell ref="C8:C9"/>
    <mergeCell ref="D8:E9"/>
    <mergeCell ref="D6:E7"/>
  </mergeCell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E72"/>
  <sheetViews>
    <sheetView workbookViewId="0" topLeftCell="A1"/>
  </sheetViews>
  <sheetFormatPr defaultColWidth="14.421875" defaultRowHeight="15" customHeight="1"/>
  <cols>
    <col min="1" max="1" width="14.7109375" style="0" customWidth="1"/>
    <col min="2" max="2" width="10.421875" style="0" customWidth="1"/>
    <col min="3" max="3" width="14.7109375" style="0" customWidth="1"/>
    <col min="4" max="4" width="39.7109375" style="0" customWidth="1"/>
    <col min="5" max="5" width="16.140625" style="0" customWidth="1"/>
    <col min="6" max="6" width="23.28125" style="0" customWidth="1"/>
    <col min="7" max="7" width="21.28125" style="0" customWidth="1"/>
    <col min="8" max="8" width="19.57421875" style="0" customWidth="1"/>
    <col min="9" max="9" width="11.421875" style="0" customWidth="1"/>
    <col min="10" max="12" width="20.00390625" style="0" customWidth="1"/>
    <col min="13" max="30" width="11.57421875" style="0" customWidth="1"/>
    <col min="31" max="31" width="9.7109375" style="0" hidden="1" customWidth="1"/>
  </cols>
  <sheetData>
    <row r="1" spans="1:12" ht="72.75" customHeight="1">
      <c r="A1" s="2" t="s">
        <v>241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12.75" customHeight="1">
      <c r="A2" s="7" t="s">
        <v>14</v>
      </c>
      <c r="B2" s="10" t="s">
        <v>19</v>
      </c>
      <c r="C2" s="8"/>
      <c r="D2" s="8"/>
      <c r="E2" s="17" t="s">
        <v>27</v>
      </c>
      <c r="F2" s="17" t="s">
        <v>28</v>
      </c>
      <c r="G2" s="11" t="s">
        <v>20</v>
      </c>
      <c r="H2" s="11" t="s">
        <v>21</v>
      </c>
      <c r="I2" s="8"/>
      <c r="J2" s="8"/>
      <c r="K2" s="8"/>
      <c r="L2" s="13"/>
      <c r="M2" s="5"/>
    </row>
    <row r="3" spans="1:13" ht="12.75" customHeight="1">
      <c r="A3" s="19"/>
      <c r="L3" s="22"/>
      <c r="M3" s="5"/>
    </row>
    <row r="4" spans="1:13" ht="12.75" customHeight="1">
      <c r="A4" s="24" t="s">
        <v>31</v>
      </c>
      <c r="B4" s="25" t="s">
        <v>35</v>
      </c>
      <c r="E4" s="14" t="s">
        <v>37</v>
      </c>
      <c r="F4" s="14" t="s">
        <v>15</v>
      </c>
      <c r="G4" s="25" t="s">
        <v>36</v>
      </c>
      <c r="H4" s="25"/>
      <c r="L4" s="22"/>
      <c r="M4" s="5"/>
    </row>
    <row r="5" spans="1:13" ht="12.75" customHeight="1">
      <c r="A5" s="19"/>
      <c r="L5" s="22"/>
      <c r="M5" s="5"/>
    </row>
    <row r="6" spans="1:13" ht="12.75" customHeight="1">
      <c r="A6" s="24" t="s">
        <v>41</v>
      </c>
      <c r="B6" s="25" t="s">
        <v>42</v>
      </c>
      <c r="E6" s="14" t="s">
        <v>44</v>
      </c>
      <c r="F6" s="26">
        <v>43707</v>
      </c>
      <c r="G6" s="25" t="s">
        <v>43</v>
      </c>
      <c r="H6" s="25"/>
      <c r="L6" s="22"/>
      <c r="M6" s="5"/>
    </row>
    <row r="7" spans="1:13" ht="12.75" customHeight="1">
      <c r="A7" s="19"/>
      <c r="L7" s="22"/>
      <c r="M7" s="5"/>
    </row>
    <row r="8" spans="1:13" ht="12.75" customHeight="1">
      <c r="A8" s="24" t="s">
        <v>53</v>
      </c>
      <c r="B8" s="25"/>
      <c r="E8" s="14" t="s">
        <v>48</v>
      </c>
      <c r="F8" s="26">
        <v>43607</v>
      </c>
      <c r="G8" s="25" t="s">
        <v>47</v>
      </c>
      <c r="H8" s="25"/>
      <c r="L8" s="22"/>
      <c r="M8" s="5"/>
    </row>
    <row r="9" spans="1:13" ht="12.7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9"/>
      <c r="M9" s="5"/>
    </row>
    <row r="10" spans="1:13" ht="12.75" customHeight="1">
      <c r="A10" s="1" t="s">
        <v>0</v>
      </c>
      <c r="B10" s="1" t="s">
        <v>2</v>
      </c>
      <c r="C10" s="3" t="s">
        <v>3</v>
      </c>
      <c r="D10" s="74" t="s">
        <v>4</v>
      </c>
      <c r="E10" s="75"/>
      <c r="F10" s="62" t="s">
        <v>243</v>
      </c>
      <c r="G10" s="62" t="s">
        <v>244</v>
      </c>
      <c r="H10" s="62" t="s">
        <v>245</v>
      </c>
      <c r="I10" s="76" t="s">
        <v>246</v>
      </c>
      <c r="J10" s="77" t="s">
        <v>247</v>
      </c>
      <c r="K10" s="62" t="s">
        <v>248</v>
      </c>
      <c r="L10" s="76" t="s">
        <v>249</v>
      </c>
      <c r="M10" s="37"/>
    </row>
    <row r="11" spans="1:31" ht="12.75" customHeight="1">
      <c r="A11" s="6"/>
      <c r="B11" s="6"/>
      <c r="C11" s="6" t="s">
        <v>16</v>
      </c>
      <c r="D11" s="56" t="s">
        <v>17</v>
      </c>
      <c r="E11" s="59"/>
      <c r="F11" s="12">
        <f aca="true" t="shared" si="0" ref="F11:G11">SUM(F12)</f>
        <v>0</v>
      </c>
      <c r="G11" s="12">
        <f t="shared" si="0"/>
        <v>0</v>
      </c>
      <c r="H11" s="12">
        <f aca="true" t="shared" si="1" ref="H11:H69">G11-F11</f>
        <v>0</v>
      </c>
      <c r="I11" s="78">
        <f aca="true" t="shared" si="2" ref="I11:I69">IF(F11=0,0,H11/F11*100)</f>
        <v>0</v>
      </c>
      <c r="J11" s="79" t="str">
        <f aca="true" t="shared" si="3" ref="J11:J69">IF(G11=0,"Nefakturováno",AE11)</f>
        <v>Nefakturováno</v>
      </c>
      <c r="K11" s="12">
        <f aca="true" t="shared" si="4" ref="K11:K69">AE11-G11</f>
        <v>0</v>
      </c>
      <c r="L11" s="12">
        <f aca="true" t="shared" si="5" ref="L11:L69">IF(G11&lt;&gt;0,K11/G11*100,-100)</f>
        <v>-100</v>
      </c>
      <c r="AE11" s="15">
        <v>0</v>
      </c>
    </row>
    <row r="12" spans="1:31" ht="12.75" customHeight="1">
      <c r="A12" s="14" t="s">
        <v>22</v>
      </c>
      <c r="B12" s="14"/>
      <c r="C12" s="14" t="s">
        <v>23</v>
      </c>
      <c r="D12" s="14" t="s">
        <v>24</v>
      </c>
      <c r="F12" s="73">
        <v>0</v>
      </c>
      <c r="G12" s="15">
        <v>0</v>
      </c>
      <c r="H12" s="15">
        <f t="shared" si="1"/>
        <v>0</v>
      </c>
      <c r="I12" s="80">
        <f t="shared" si="2"/>
        <v>0</v>
      </c>
      <c r="J12" s="81" t="str">
        <f t="shared" si="3"/>
        <v>Nefakturováno</v>
      </c>
      <c r="K12" s="15">
        <f t="shared" si="4"/>
        <v>0</v>
      </c>
      <c r="L12" s="15">
        <f t="shared" si="5"/>
        <v>-100</v>
      </c>
      <c r="AE12" s="15">
        <v>0</v>
      </c>
    </row>
    <row r="13" spans="1:31" ht="12.75" customHeight="1">
      <c r="A13" s="20"/>
      <c r="B13" s="20"/>
      <c r="C13" s="20" t="s">
        <v>29</v>
      </c>
      <c r="D13" s="61" t="s">
        <v>30</v>
      </c>
      <c r="E13" s="64"/>
      <c r="F13" s="23">
        <f aca="true" t="shared" si="6" ref="F13:G13">SUM(F14:F15)</f>
        <v>0</v>
      </c>
      <c r="G13" s="23">
        <f t="shared" si="6"/>
        <v>0</v>
      </c>
      <c r="H13" s="23">
        <f t="shared" si="1"/>
        <v>0</v>
      </c>
      <c r="I13" s="85">
        <f t="shared" si="2"/>
        <v>0</v>
      </c>
      <c r="J13" s="86" t="str">
        <f t="shared" si="3"/>
        <v>Nefakturováno</v>
      </c>
      <c r="K13" s="23">
        <f t="shared" si="4"/>
        <v>0</v>
      </c>
      <c r="L13" s="23">
        <f t="shared" si="5"/>
        <v>-100</v>
      </c>
      <c r="AE13" s="15">
        <v>0</v>
      </c>
    </row>
    <row r="14" spans="1:31" ht="12.75" customHeight="1">
      <c r="A14" s="14" t="s">
        <v>32</v>
      </c>
      <c r="B14" s="14"/>
      <c r="C14" s="14" t="s">
        <v>33</v>
      </c>
      <c r="D14" s="14" t="s">
        <v>34</v>
      </c>
      <c r="F14" s="73">
        <v>0</v>
      </c>
      <c r="G14" s="15">
        <v>0</v>
      </c>
      <c r="H14" s="15">
        <f t="shared" si="1"/>
        <v>0</v>
      </c>
      <c r="I14" s="80">
        <f t="shared" si="2"/>
        <v>0</v>
      </c>
      <c r="J14" s="81" t="str">
        <f t="shared" si="3"/>
        <v>Nefakturováno</v>
      </c>
      <c r="K14" s="15">
        <f t="shared" si="4"/>
        <v>0</v>
      </c>
      <c r="L14" s="15">
        <f t="shared" si="5"/>
        <v>-100</v>
      </c>
      <c r="AE14" s="15">
        <v>0</v>
      </c>
    </row>
    <row r="15" spans="1:31" ht="12.75" customHeight="1">
      <c r="A15" s="14" t="s">
        <v>38</v>
      </c>
      <c r="B15" s="14"/>
      <c r="C15" s="14" t="s">
        <v>39</v>
      </c>
      <c r="D15" s="14" t="s">
        <v>40</v>
      </c>
      <c r="F15" s="73">
        <v>0</v>
      </c>
      <c r="G15" s="15">
        <v>0</v>
      </c>
      <c r="H15" s="15">
        <f t="shared" si="1"/>
        <v>0</v>
      </c>
      <c r="I15" s="80">
        <f t="shared" si="2"/>
        <v>0</v>
      </c>
      <c r="J15" s="81" t="str">
        <f t="shared" si="3"/>
        <v>Nefakturováno</v>
      </c>
      <c r="K15" s="15">
        <f t="shared" si="4"/>
        <v>0</v>
      </c>
      <c r="L15" s="15">
        <f t="shared" si="5"/>
        <v>-100</v>
      </c>
      <c r="AE15" s="15">
        <v>0</v>
      </c>
    </row>
    <row r="16" spans="1:31" ht="12.75" customHeight="1">
      <c r="A16" s="20"/>
      <c r="B16" s="20"/>
      <c r="C16" s="20" t="s">
        <v>45</v>
      </c>
      <c r="D16" s="61" t="s">
        <v>46</v>
      </c>
      <c r="E16" s="64"/>
      <c r="F16" s="23">
        <f aca="true" t="shared" si="7" ref="F16:G16">SUM(F17)</f>
        <v>0</v>
      </c>
      <c r="G16" s="23">
        <f t="shared" si="7"/>
        <v>0</v>
      </c>
      <c r="H16" s="23">
        <f t="shared" si="1"/>
        <v>0</v>
      </c>
      <c r="I16" s="85">
        <f t="shared" si="2"/>
        <v>0</v>
      </c>
      <c r="J16" s="86" t="str">
        <f t="shared" si="3"/>
        <v>Nefakturováno</v>
      </c>
      <c r="K16" s="23">
        <f t="shared" si="4"/>
        <v>0</v>
      </c>
      <c r="L16" s="23">
        <f t="shared" si="5"/>
        <v>-100</v>
      </c>
      <c r="AE16" s="15">
        <v>0</v>
      </c>
    </row>
    <row r="17" spans="1:31" ht="12.75" customHeight="1">
      <c r="A17" s="14" t="s">
        <v>49</v>
      </c>
      <c r="B17" s="14"/>
      <c r="C17" s="14" t="s">
        <v>50</v>
      </c>
      <c r="D17" s="14" t="s">
        <v>51</v>
      </c>
      <c r="F17" s="73">
        <v>0</v>
      </c>
      <c r="G17" s="15">
        <v>0</v>
      </c>
      <c r="H17" s="15">
        <f t="shared" si="1"/>
        <v>0</v>
      </c>
      <c r="I17" s="80">
        <f t="shared" si="2"/>
        <v>0</v>
      </c>
      <c r="J17" s="81" t="str">
        <f t="shared" si="3"/>
        <v>Nefakturováno</v>
      </c>
      <c r="K17" s="15">
        <f t="shared" si="4"/>
        <v>0</v>
      </c>
      <c r="L17" s="15">
        <f t="shared" si="5"/>
        <v>-100</v>
      </c>
      <c r="AE17" s="15">
        <v>0</v>
      </c>
    </row>
    <row r="18" spans="1:31" ht="12.75" customHeight="1">
      <c r="A18" s="20"/>
      <c r="B18" s="20"/>
      <c r="C18" s="20" t="s">
        <v>54</v>
      </c>
      <c r="D18" s="61" t="s">
        <v>55</v>
      </c>
      <c r="E18" s="64"/>
      <c r="F18" s="23">
        <f aca="true" t="shared" si="8" ref="F18:G18">SUM(F19:F22)</f>
        <v>0</v>
      </c>
      <c r="G18" s="23">
        <f t="shared" si="8"/>
        <v>0</v>
      </c>
      <c r="H18" s="23">
        <f t="shared" si="1"/>
        <v>0</v>
      </c>
      <c r="I18" s="85">
        <f t="shared" si="2"/>
        <v>0</v>
      </c>
      <c r="J18" s="86" t="str">
        <f t="shared" si="3"/>
        <v>Nefakturováno</v>
      </c>
      <c r="K18" s="23">
        <f t="shared" si="4"/>
        <v>0</v>
      </c>
      <c r="L18" s="23">
        <f t="shared" si="5"/>
        <v>-100</v>
      </c>
      <c r="AE18" s="15">
        <v>0</v>
      </c>
    </row>
    <row r="19" spans="1:31" ht="12.75" customHeight="1">
      <c r="A19" s="14" t="s">
        <v>56</v>
      </c>
      <c r="B19" s="14"/>
      <c r="C19" s="14" t="s">
        <v>57</v>
      </c>
      <c r="D19" s="14" t="s">
        <v>58</v>
      </c>
      <c r="F19" s="73">
        <v>0</v>
      </c>
      <c r="G19" s="15">
        <v>0</v>
      </c>
      <c r="H19" s="15">
        <f t="shared" si="1"/>
        <v>0</v>
      </c>
      <c r="I19" s="80">
        <f t="shared" si="2"/>
        <v>0</v>
      </c>
      <c r="J19" s="81" t="str">
        <f t="shared" si="3"/>
        <v>Nefakturováno</v>
      </c>
      <c r="K19" s="15">
        <f t="shared" si="4"/>
        <v>0</v>
      </c>
      <c r="L19" s="15">
        <f t="shared" si="5"/>
        <v>-100</v>
      </c>
      <c r="AE19" s="15">
        <v>0</v>
      </c>
    </row>
    <row r="20" spans="1:31" ht="12.75" customHeight="1">
      <c r="A20" s="14" t="s">
        <v>60</v>
      </c>
      <c r="B20" s="14"/>
      <c r="C20" s="14" t="s">
        <v>61</v>
      </c>
      <c r="D20" s="14" t="s">
        <v>62</v>
      </c>
      <c r="F20" s="73">
        <v>0</v>
      </c>
      <c r="G20" s="15">
        <v>0</v>
      </c>
      <c r="H20" s="15">
        <f t="shared" si="1"/>
        <v>0</v>
      </c>
      <c r="I20" s="80">
        <f t="shared" si="2"/>
        <v>0</v>
      </c>
      <c r="J20" s="81" t="str">
        <f t="shared" si="3"/>
        <v>Nefakturováno</v>
      </c>
      <c r="K20" s="15">
        <f t="shared" si="4"/>
        <v>0</v>
      </c>
      <c r="L20" s="15">
        <f t="shared" si="5"/>
        <v>-100</v>
      </c>
      <c r="AE20" s="15">
        <v>0</v>
      </c>
    </row>
    <row r="21" spans="1:31" ht="12.75" customHeight="1">
      <c r="A21" s="14" t="s">
        <v>65</v>
      </c>
      <c r="B21" s="14"/>
      <c r="C21" s="14" t="s">
        <v>66</v>
      </c>
      <c r="D21" s="14" t="s">
        <v>67</v>
      </c>
      <c r="F21" s="73">
        <v>0</v>
      </c>
      <c r="G21" s="15">
        <v>0</v>
      </c>
      <c r="H21" s="15">
        <f t="shared" si="1"/>
        <v>0</v>
      </c>
      <c r="I21" s="80">
        <f t="shared" si="2"/>
        <v>0</v>
      </c>
      <c r="J21" s="81" t="str">
        <f t="shared" si="3"/>
        <v>Nefakturováno</v>
      </c>
      <c r="K21" s="15">
        <f t="shared" si="4"/>
        <v>0</v>
      </c>
      <c r="L21" s="15">
        <f t="shared" si="5"/>
        <v>-100</v>
      </c>
      <c r="AE21" s="15">
        <v>0</v>
      </c>
    </row>
    <row r="22" spans="1:31" ht="12.75" customHeight="1">
      <c r="A22" s="14" t="s">
        <v>72</v>
      </c>
      <c r="B22" s="14"/>
      <c r="C22" s="14" t="s">
        <v>73</v>
      </c>
      <c r="D22" s="14" t="s">
        <v>74</v>
      </c>
      <c r="F22" s="73">
        <v>0</v>
      </c>
      <c r="G22" s="15">
        <v>0</v>
      </c>
      <c r="H22" s="15">
        <f t="shared" si="1"/>
        <v>0</v>
      </c>
      <c r="I22" s="80">
        <f t="shared" si="2"/>
        <v>0</v>
      </c>
      <c r="J22" s="81" t="str">
        <f t="shared" si="3"/>
        <v>Nefakturováno</v>
      </c>
      <c r="K22" s="15">
        <f t="shared" si="4"/>
        <v>0</v>
      </c>
      <c r="L22" s="15">
        <f t="shared" si="5"/>
        <v>-100</v>
      </c>
      <c r="AE22" s="15">
        <v>0</v>
      </c>
    </row>
    <row r="23" spans="1:31" ht="12.75" customHeight="1">
      <c r="A23" s="20"/>
      <c r="B23" s="20"/>
      <c r="C23" s="20" t="s">
        <v>75</v>
      </c>
      <c r="D23" s="61" t="s">
        <v>76</v>
      </c>
      <c r="E23" s="64"/>
      <c r="F23" s="23">
        <f aca="true" t="shared" si="9" ref="F23:G23">SUM(F24)</f>
        <v>0</v>
      </c>
      <c r="G23" s="23">
        <f t="shared" si="9"/>
        <v>0</v>
      </c>
      <c r="H23" s="23">
        <f t="shared" si="1"/>
        <v>0</v>
      </c>
      <c r="I23" s="85">
        <f t="shared" si="2"/>
        <v>0</v>
      </c>
      <c r="J23" s="86" t="str">
        <f t="shared" si="3"/>
        <v>Nefakturováno</v>
      </c>
      <c r="K23" s="23">
        <f t="shared" si="4"/>
        <v>0</v>
      </c>
      <c r="L23" s="23">
        <f t="shared" si="5"/>
        <v>-100</v>
      </c>
      <c r="AE23" s="15">
        <v>0</v>
      </c>
    </row>
    <row r="24" spans="1:31" ht="12.75" customHeight="1">
      <c r="A24" s="14" t="s">
        <v>77</v>
      </c>
      <c r="B24" s="14"/>
      <c r="C24" s="14" t="s">
        <v>78</v>
      </c>
      <c r="D24" s="14" t="s">
        <v>79</v>
      </c>
      <c r="F24" s="73">
        <v>0</v>
      </c>
      <c r="G24" s="15">
        <v>0</v>
      </c>
      <c r="H24" s="15">
        <f t="shared" si="1"/>
        <v>0</v>
      </c>
      <c r="I24" s="80">
        <f t="shared" si="2"/>
        <v>0</v>
      </c>
      <c r="J24" s="81" t="str">
        <f t="shared" si="3"/>
        <v>Nefakturováno</v>
      </c>
      <c r="K24" s="15">
        <f t="shared" si="4"/>
        <v>0</v>
      </c>
      <c r="L24" s="15">
        <f t="shared" si="5"/>
        <v>-100</v>
      </c>
      <c r="AE24" s="15">
        <v>0</v>
      </c>
    </row>
    <row r="25" spans="1:31" ht="12.75" customHeight="1">
      <c r="A25" s="20"/>
      <c r="B25" s="20"/>
      <c r="C25" s="20" t="s">
        <v>81</v>
      </c>
      <c r="D25" s="61" t="s">
        <v>82</v>
      </c>
      <c r="E25" s="64"/>
      <c r="F25" s="23">
        <f aca="true" t="shared" si="10" ref="F25:G25">SUM(F26:F30)</f>
        <v>0</v>
      </c>
      <c r="G25" s="23">
        <f t="shared" si="10"/>
        <v>0</v>
      </c>
      <c r="H25" s="23">
        <f t="shared" si="1"/>
        <v>0</v>
      </c>
      <c r="I25" s="85">
        <f t="shared" si="2"/>
        <v>0</v>
      </c>
      <c r="J25" s="86" t="str">
        <f t="shared" si="3"/>
        <v>Nefakturováno</v>
      </c>
      <c r="K25" s="23">
        <f t="shared" si="4"/>
        <v>0</v>
      </c>
      <c r="L25" s="23">
        <f t="shared" si="5"/>
        <v>-100</v>
      </c>
      <c r="AE25" s="15">
        <v>0</v>
      </c>
    </row>
    <row r="26" spans="1:31" ht="12.75" customHeight="1">
      <c r="A26" s="14" t="s">
        <v>83</v>
      </c>
      <c r="B26" s="14"/>
      <c r="C26" s="14" t="s">
        <v>84</v>
      </c>
      <c r="D26" s="14" t="s">
        <v>85</v>
      </c>
      <c r="F26" s="73">
        <v>0</v>
      </c>
      <c r="G26" s="15">
        <v>0</v>
      </c>
      <c r="H26" s="15">
        <f t="shared" si="1"/>
        <v>0</v>
      </c>
      <c r="I26" s="80">
        <f t="shared" si="2"/>
        <v>0</v>
      </c>
      <c r="J26" s="81" t="str">
        <f t="shared" si="3"/>
        <v>Nefakturováno</v>
      </c>
      <c r="K26" s="15">
        <f t="shared" si="4"/>
        <v>0</v>
      </c>
      <c r="L26" s="15">
        <f t="shared" si="5"/>
        <v>-100</v>
      </c>
      <c r="AE26" s="15">
        <v>0</v>
      </c>
    </row>
    <row r="27" spans="1:31" ht="12.75" customHeight="1">
      <c r="A27" s="14" t="s">
        <v>87</v>
      </c>
      <c r="B27" s="14"/>
      <c r="C27" s="14" t="s">
        <v>88</v>
      </c>
      <c r="D27" s="14" t="s">
        <v>89</v>
      </c>
      <c r="F27" s="73">
        <v>0</v>
      </c>
      <c r="G27" s="15">
        <v>0</v>
      </c>
      <c r="H27" s="15">
        <f t="shared" si="1"/>
        <v>0</v>
      </c>
      <c r="I27" s="80">
        <f t="shared" si="2"/>
        <v>0</v>
      </c>
      <c r="J27" s="81" t="str">
        <f t="shared" si="3"/>
        <v>Nefakturováno</v>
      </c>
      <c r="K27" s="15">
        <f t="shared" si="4"/>
        <v>0</v>
      </c>
      <c r="L27" s="15">
        <f t="shared" si="5"/>
        <v>-100</v>
      </c>
      <c r="AE27" s="15">
        <v>0</v>
      </c>
    </row>
    <row r="28" spans="1:31" ht="12.75" customHeight="1">
      <c r="A28" s="14" t="s">
        <v>92</v>
      </c>
      <c r="B28" s="14"/>
      <c r="C28" s="14" t="s">
        <v>93</v>
      </c>
      <c r="D28" s="14" t="s">
        <v>94</v>
      </c>
      <c r="F28" s="73">
        <v>0</v>
      </c>
      <c r="G28" s="15">
        <v>0</v>
      </c>
      <c r="H28" s="15">
        <f t="shared" si="1"/>
        <v>0</v>
      </c>
      <c r="I28" s="80">
        <f t="shared" si="2"/>
        <v>0</v>
      </c>
      <c r="J28" s="81" t="str">
        <f t="shared" si="3"/>
        <v>Nefakturováno</v>
      </c>
      <c r="K28" s="15">
        <f t="shared" si="4"/>
        <v>0</v>
      </c>
      <c r="L28" s="15">
        <f t="shared" si="5"/>
        <v>-100</v>
      </c>
      <c r="AE28" s="15">
        <v>0</v>
      </c>
    </row>
    <row r="29" spans="1:31" ht="12.75" customHeight="1">
      <c r="A29" s="14" t="s">
        <v>97</v>
      </c>
      <c r="B29" s="14"/>
      <c r="C29" s="14" t="s">
        <v>98</v>
      </c>
      <c r="D29" s="14" t="s">
        <v>99</v>
      </c>
      <c r="F29" s="73">
        <v>0</v>
      </c>
      <c r="G29" s="15">
        <v>0</v>
      </c>
      <c r="H29" s="15">
        <f t="shared" si="1"/>
        <v>0</v>
      </c>
      <c r="I29" s="80">
        <f t="shared" si="2"/>
        <v>0</v>
      </c>
      <c r="J29" s="81" t="str">
        <f t="shared" si="3"/>
        <v>Nefakturováno</v>
      </c>
      <c r="K29" s="15">
        <f t="shared" si="4"/>
        <v>0</v>
      </c>
      <c r="L29" s="15">
        <f t="shared" si="5"/>
        <v>-100</v>
      </c>
      <c r="AE29" s="15">
        <v>0</v>
      </c>
    </row>
    <row r="30" spans="1:31" ht="12.75" customHeight="1">
      <c r="A30" s="14" t="s">
        <v>112</v>
      </c>
      <c r="B30" s="14"/>
      <c r="C30" s="14" t="s">
        <v>113</v>
      </c>
      <c r="D30" s="14" t="s">
        <v>114</v>
      </c>
      <c r="F30" s="73">
        <v>0</v>
      </c>
      <c r="G30" s="15">
        <v>0</v>
      </c>
      <c r="H30" s="15">
        <f t="shared" si="1"/>
        <v>0</v>
      </c>
      <c r="I30" s="80">
        <f t="shared" si="2"/>
        <v>0</v>
      </c>
      <c r="J30" s="81" t="str">
        <f t="shared" si="3"/>
        <v>Nefakturováno</v>
      </c>
      <c r="K30" s="15">
        <f t="shared" si="4"/>
        <v>0</v>
      </c>
      <c r="L30" s="15">
        <f t="shared" si="5"/>
        <v>-100</v>
      </c>
      <c r="AE30" s="15">
        <v>0</v>
      </c>
    </row>
    <row r="31" spans="1:31" ht="12.75" customHeight="1">
      <c r="A31" s="20"/>
      <c r="B31" s="20"/>
      <c r="C31" s="20" t="s">
        <v>95</v>
      </c>
      <c r="D31" s="61" t="s">
        <v>96</v>
      </c>
      <c r="E31" s="64"/>
      <c r="F31" s="23">
        <f aca="true" t="shared" si="11" ref="F31:G31">SUM(F32:F33)</f>
        <v>0</v>
      </c>
      <c r="G31" s="23">
        <f t="shared" si="11"/>
        <v>0</v>
      </c>
      <c r="H31" s="23">
        <f t="shared" si="1"/>
        <v>0</v>
      </c>
      <c r="I31" s="85">
        <f t="shared" si="2"/>
        <v>0</v>
      </c>
      <c r="J31" s="86" t="str">
        <f t="shared" si="3"/>
        <v>Nefakturováno</v>
      </c>
      <c r="K31" s="23">
        <f t="shared" si="4"/>
        <v>0</v>
      </c>
      <c r="L31" s="23">
        <f t="shared" si="5"/>
        <v>-100</v>
      </c>
      <c r="AE31" s="15">
        <v>0</v>
      </c>
    </row>
    <row r="32" spans="1:31" ht="12.75" customHeight="1">
      <c r="A32" s="14" t="s">
        <v>120</v>
      </c>
      <c r="B32" s="14"/>
      <c r="C32" s="14" t="s">
        <v>121</v>
      </c>
      <c r="D32" s="14" t="s">
        <v>122</v>
      </c>
      <c r="F32" s="73">
        <v>0</v>
      </c>
      <c r="G32" s="15">
        <v>0</v>
      </c>
      <c r="H32" s="15">
        <f t="shared" si="1"/>
        <v>0</v>
      </c>
      <c r="I32" s="80">
        <f t="shared" si="2"/>
        <v>0</v>
      </c>
      <c r="J32" s="81" t="str">
        <f t="shared" si="3"/>
        <v>Nefakturováno</v>
      </c>
      <c r="K32" s="15">
        <f t="shared" si="4"/>
        <v>0</v>
      </c>
      <c r="L32" s="15">
        <f t="shared" si="5"/>
        <v>-100</v>
      </c>
      <c r="AE32" s="15">
        <v>0</v>
      </c>
    </row>
    <row r="33" spans="1:31" ht="12.75" customHeight="1">
      <c r="A33" s="14" t="s">
        <v>140</v>
      </c>
      <c r="B33" s="14"/>
      <c r="C33" s="14" t="s">
        <v>141</v>
      </c>
      <c r="D33" s="14" t="s">
        <v>142</v>
      </c>
      <c r="F33" s="73">
        <v>0</v>
      </c>
      <c r="G33" s="15">
        <v>0</v>
      </c>
      <c r="H33" s="15">
        <f t="shared" si="1"/>
        <v>0</v>
      </c>
      <c r="I33" s="80">
        <f t="shared" si="2"/>
        <v>0</v>
      </c>
      <c r="J33" s="81" t="str">
        <f t="shared" si="3"/>
        <v>Nefakturováno</v>
      </c>
      <c r="K33" s="15">
        <f t="shared" si="4"/>
        <v>0</v>
      </c>
      <c r="L33" s="15">
        <f t="shared" si="5"/>
        <v>-100</v>
      </c>
      <c r="AE33" s="15">
        <v>0</v>
      </c>
    </row>
    <row r="34" spans="1:31" ht="12.75" customHeight="1">
      <c r="A34" s="20"/>
      <c r="B34" s="20"/>
      <c r="C34" s="20" t="s">
        <v>101</v>
      </c>
      <c r="D34" s="61" t="s">
        <v>102</v>
      </c>
      <c r="E34" s="64"/>
      <c r="F34" s="23">
        <f aca="true" t="shared" si="12" ref="F34:G34">SUM(F35:F39)</f>
        <v>0</v>
      </c>
      <c r="G34" s="23">
        <f t="shared" si="12"/>
        <v>0</v>
      </c>
      <c r="H34" s="23">
        <f t="shared" si="1"/>
        <v>0</v>
      </c>
      <c r="I34" s="85">
        <f t="shared" si="2"/>
        <v>0</v>
      </c>
      <c r="J34" s="86" t="str">
        <f t="shared" si="3"/>
        <v>Nefakturováno</v>
      </c>
      <c r="K34" s="23">
        <f t="shared" si="4"/>
        <v>0</v>
      </c>
      <c r="L34" s="23">
        <f t="shared" si="5"/>
        <v>-100</v>
      </c>
      <c r="AE34" s="15">
        <v>0</v>
      </c>
    </row>
    <row r="35" spans="1:31" ht="12.75" customHeight="1">
      <c r="A35" s="14" t="s">
        <v>143</v>
      </c>
      <c r="B35" s="14"/>
      <c r="C35" s="14" t="s">
        <v>144</v>
      </c>
      <c r="D35" s="14" t="s">
        <v>145</v>
      </c>
      <c r="F35" s="73">
        <v>0</v>
      </c>
      <c r="G35" s="15">
        <v>0</v>
      </c>
      <c r="H35" s="15">
        <f t="shared" si="1"/>
        <v>0</v>
      </c>
      <c r="I35" s="80">
        <f t="shared" si="2"/>
        <v>0</v>
      </c>
      <c r="J35" s="81" t="str">
        <f t="shared" si="3"/>
        <v>Nefakturováno</v>
      </c>
      <c r="K35" s="15">
        <f t="shared" si="4"/>
        <v>0</v>
      </c>
      <c r="L35" s="15">
        <f t="shared" si="5"/>
        <v>-100</v>
      </c>
      <c r="AE35" s="15">
        <v>0</v>
      </c>
    </row>
    <row r="36" spans="1:31" ht="12.75" customHeight="1">
      <c r="A36" s="14" t="s">
        <v>146</v>
      </c>
      <c r="B36" s="14"/>
      <c r="C36" s="14" t="s">
        <v>147</v>
      </c>
      <c r="D36" s="14" t="s">
        <v>148</v>
      </c>
      <c r="F36" s="73">
        <v>0</v>
      </c>
      <c r="G36" s="15">
        <v>0</v>
      </c>
      <c r="H36" s="15">
        <f t="shared" si="1"/>
        <v>0</v>
      </c>
      <c r="I36" s="80">
        <f t="shared" si="2"/>
        <v>0</v>
      </c>
      <c r="J36" s="81" t="str">
        <f t="shared" si="3"/>
        <v>Nefakturováno</v>
      </c>
      <c r="K36" s="15">
        <f t="shared" si="4"/>
        <v>0</v>
      </c>
      <c r="L36" s="15">
        <f t="shared" si="5"/>
        <v>-100</v>
      </c>
      <c r="AE36" s="15">
        <v>0</v>
      </c>
    </row>
    <row r="37" spans="1:31" ht="12.75" customHeight="1">
      <c r="A37" s="14" t="s">
        <v>150</v>
      </c>
      <c r="B37" s="14"/>
      <c r="C37" s="14" t="s">
        <v>151</v>
      </c>
      <c r="D37" s="14" t="s">
        <v>152</v>
      </c>
      <c r="F37" s="73">
        <v>0</v>
      </c>
      <c r="G37" s="15">
        <v>0</v>
      </c>
      <c r="H37" s="15">
        <f t="shared" si="1"/>
        <v>0</v>
      </c>
      <c r="I37" s="80">
        <f t="shared" si="2"/>
        <v>0</v>
      </c>
      <c r="J37" s="81" t="str">
        <f t="shared" si="3"/>
        <v>Nefakturováno</v>
      </c>
      <c r="K37" s="15">
        <f t="shared" si="4"/>
        <v>0</v>
      </c>
      <c r="L37" s="15">
        <f t="shared" si="5"/>
        <v>-100</v>
      </c>
      <c r="AE37" s="15">
        <v>0</v>
      </c>
    </row>
    <row r="38" spans="1:31" ht="12.75" customHeight="1">
      <c r="A38" s="14" t="s">
        <v>153</v>
      </c>
      <c r="B38" s="14"/>
      <c r="C38" s="14" t="s">
        <v>154</v>
      </c>
      <c r="D38" s="14" t="s">
        <v>155</v>
      </c>
      <c r="F38" s="73">
        <v>0</v>
      </c>
      <c r="G38" s="15">
        <v>0</v>
      </c>
      <c r="H38" s="15">
        <f t="shared" si="1"/>
        <v>0</v>
      </c>
      <c r="I38" s="80">
        <f t="shared" si="2"/>
        <v>0</v>
      </c>
      <c r="J38" s="81" t="str">
        <f t="shared" si="3"/>
        <v>Nefakturováno</v>
      </c>
      <c r="K38" s="15">
        <f t="shared" si="4"/>
        <v>0</v>
      </c>
      <c r="L38" s="15">
        <f t="shared" si="5"/>
        <v>-100</v>
      </c>
      <c r="AE38" s="15">
        <v>0</v>
      </c>
    </row>
    <row r="39" spans="1:31" ht="12.75" customHeight="1">
      <c r="A39" s="14" t="s">
        <v>26</v>
      </c>
      <c r="B39" s="14"/>
      <c r="C39" s="14" t="s">
        <v>156</v>
      </c>
      <c r="D39" s="14" t="s">
        <v>157</v>
      </c>
      <c r="F39" s="73">
        <v>0</v>
      </c>
      <c r="G39" s="15">
        <v>0</v>
      </c>
      <c r="H39" s="15">
        <f t="shared" si="1"/>
        <v>0</v>
      </c>
      <c r="I39" s="80">
        <f t="shared" si="2"/>
        <v>0</v>
      </c>
      <c r="J39" s="81" t="str">
        <f t="shared" si="3"/>
        <v>Nefakturováno</v>
      </c>
      <c r="K39" s="15">
        <f t="shared" si="4"/>
        <v>0</v>
      </c>
      <c r="L39" s="15">
        <f t="shared" si="5"/>
        <v>-100</v>
      </c>
      <c r="AE39" s="15">
        <v>0</v>
      </c>
    </row>
    <row r="40" spans="1:31" ht="12.75" customHeight="1">
      <c r="A40" s="20"/>
      <c r="B40" s="20"/>
      <c r="C40" s="20" t="s">
        <v>103</v>
      </c>
      <c r="D40" s="61" t="s">
        <v>104</v>
      </c>
      <c r="E40" s="64"/>
      <c r="F40" s="23">
        <f aca="true" t="shared" si="13" ref="F40:G40">SUM(F41:F45)</f>
        <v>0</v>
      </c>
      <c r="G40" s="23">
        <f t="shared" si="13"/>
        <v>0</v>
      </c>
      <c r="H40" s="23">
        <f t="shared" si="1"/>
        <v>0</v>
      </c>
      <c r="I40" s="85">
        <f t="shared" si="2"/>
        <v>0</v>
      </c>
      <c r="J40" s="86" t="str">
        <f t="shared" si="3"/>
        <v>Nefakturováno</v>
      </c>
      <c r="K40" s="23">
        <f t="shared" si="4"/>
        <v>0</v>
      </c>
      <c r="L40" s="23">
        <f t="shared" si="5"/>
        <v>-100</v>
      </c>
      <c r="AE40" s="15">
        <v>0</v>
      </c>
    </row>
    <row r="41" spans="1:31" ht="12.75" customHeight="1">
      <c r="A41" s="14" t="s">
        <v>158</v>
      </c>
      <c r="B41" s="14"/>
      <c r="C41" s="14" t="s">
        <v>159</v>
      </c>
      <c r="D41" s="14" t="s">
        <v>160</v>
      </c>
      <c r="F41" s="73">
        <v>0</v>
      </c>
      <c r="G41" s="15">
        <v>0</v>
      </c>
      <c r="H41" s="15">
        <f t="shared" si="1"/>
        <v>0</v>
      </c>
      <c r="I41" s="80">
        <f t="shared" si="2"/>
        <v>0</v>
      </c>
      <c r="J41" s="81" t="str">
        <f t="shared" si="3"/>
        <v>Nefakturováno</v>
      </c>
      <c r="K41" s="15">
        <f t="shared" si="4"/>
        <v>0</v>
      </c>
      <c r="L41" s="15">
        <f t="shared" si="5"/>
        <v>-100</v>
      </c>
      <c r="AE41" s="15">
        <v>0</v>
      </c>
    </row>
    <row r="42" spans="1:31" ht="12.75" customHeight="1">
      <c r="A42" s="14" t="s">
        <v>161</v>
      </c>
      <c r="B42" s="14"/>
      <c r="C42" s="14" t="s">
        <v>162</v>
      </c>
      <c r="D42" s="14" t="s">
        <v>163</v>
      </c>
      <c r="F42" s="73">
        <v>0</v>
      </c>
      <c r="G42" s="15">
        <v>0</v>
      </c>
      <c r="H42" s="15">
        <f t="shared" si="1"/>
        <v>0</v>
      </c>
      <c r="I42" s="80">
        <f t="shared" si="2"/>
        <v>0</v>
      </c>
      <c r="J42" s="81" t="str">
        <f t="shared" si="3"/>
        <v>Nefakturováno</v>
      </c>
      <c r="K42" s="15">
        <f t="shared" si="4"/>
        <v>0</v>
      </c>
      <c r="L42" s="15">
        <f t="shared" si="5"/>
        <v>-100</v>
      </c>
      <c r="AE42" s="15">
        <v>0</v>
      </c>
    </row>
    <row r="43" spans="1:31" ht="12.75" customHeight="1">
      <c r="A43" s="14" t="s">
        <v>166</v>
      </c>
      <c r="B43" s="14"/>
      <c r="C43" s="14" t="s">
        <v>167</v>
      </c>
      <c r="D43" s="14" t="s">
        <v>168</v>
      </c>
      <c r="F43" s="73">
        <v>0</v>
      </c>
      <c r="G43" s="15">
        <v>0</v>
      </c>
      <c r="H43" s="15">
        <f t="shared" si="1"/>
        <v>0</v>
      </c>
      <c r="I43" s="80">
        <f t="shared" si="2"/>
        <v>0</v>
      </c>
      <c r="J43" s="81" t="str">
        <f t="shared" si="3"/>
        <v>Nefakturováno</v>
      </c>
      <c r="K43" s="15">
        <f t="shared" si="4"/>
        <v>0</v>
      </c>
      <c r="L43" s="15">
        <f t="shared" si="5"/>
        <v>-100</v>
      </c>
      <c r="AE43" s="15">
        <v>0</v>
      </c>
    </row>
    <row r="44" spans="1:31" ht="12.75" customHeight="1">
      <c r="A44" s="14" t="s">
        <v>169</v>
      </c>
      <c r="B44" s="14"/>
      <c r="C44" s="14" t="s">
        <v>159</v>
      </c>
      <c r="D44" s="14" t="s">
        <v>170</v>
      </c>
      <c r="F44" s="73">
        <v>0</v>
      </c>
      <c r="G44" s="15">
        <v>0</v>
      </c>
      <c r="H44" s="15">
        <f t="shared" si="1"/>
        <v>0</v>
      </c>
      <c r="I44" s="80">
        <f t="shared" si="2"/>
        <v>0</v>
      </c>
      <c r="J44" s="81" t="str">
        <f t="shared" si="3"/>
        <v>Nefakturováno</v>
      </c>
      <c r="K44" s="15">
        <f t="shared" si="4"/>
        <v>0</v>
      </c>
      <c r="L44" s="15">
        <f t="shared" si="5"/>
        <v>-100</v>
      </c>
      <c r="AE44" s="15">
        <v>0</v>
      </c>
    </row>
    <row r="45" spans="1:31" ht="12.75" customHeight="1">
      <c r="A45" s="14" t="s">
        <v>171</v>
      </c>
      <c r="B45" s="14"/>
      <c r="C45" s="14" t="s">
        <v>172</v>
      </c>
      <c r="D45" s="14" t="s">
        <v>173</v>
      </c>
      <c r="F45" s="73">
        <v>0</v>
      </c>
      <c r="G45" s="15">
        <v>0</v>
      </c>
      <c r="H45" s="15">
        <f t="shared" si="1"/>
        <v>0</v>
      </c>
      <c r="I45" s="80">
        <f t="shared" si="2"/>
        <v>0</v>
      </c>
      <c r="J45" s="81" t="str">
        <f t="shared" si="3"/>
        <v>Nefakturováno</v>
      </c>
      <c r="K45" s="15">
        <f t="shared" si="4"/>
        <v>0</v>
      </c>
      <c r="L45" s="15">
        <f t="shared" si="5"/>
        <v>-100</v>
      </c>
      <c r="AE45" s="15">
        <v>0</v>
      </c>
    </row>
    <row r="46" spans="1:31" ht="12.75" customHeight="1">
      <c r="A46" s="20"/>
      <c r="B46" s="20"/>
      <c r="C46" s="20" t="s">
        <v>105</v>
      </c>
      <c r="D46" s="61" t="s">
        <v>106</v>
      </c>
      <c r="E46" s="64"/>
      <c r="F46" s="23">
        <f aca="true" t="shared" si="14" ref="F46:G46">SUM(F47:F50)</f>
        <v>0</v>
      </c>
      <c r="G46" s="23">
        <f t="shared" si="14"/>
        <v>0</v>
      </c>
      <c r="H46" s="23">
        <f t="shared" si="1"/>
        <v>0</v>
      </c>
      <c r="I46" s="85">
        <f t="shared" si="2"/>
        <v>0</v>
      </c>
      <c r="J46" s="86" t="str">
        <f t="shared" si="3"/>
        <v>Nefakturováno</v>
      </c>
      <c r="K46" s="23">
        <f t="shared" si="4"/>
        <v>0</v>
      </c>
      <c r="L46" s="23">
        <f t="shared" si="5"/>
        <v>-100</v>
      </c>
      <c r="AE46" s="15">
        <v>0</v>
      </c>
    </row>
    <row r="47" spans="1:31" ht="12.75" customHeight="1">
      <c r="A47" s="14" t="s">
        <v>174</v>
      </c>
      <c r="B47" s="14"/>
      <c r="C47" s="14" t="s">
        <v>175</v>
      </c>
      <c r="D47" s="14" t="s">
        <v>176</v>
      </c>
      <c r="F47" s="73">
        <v>0</v>
      </c>
      <c r="G47" s="15">
        <v>0</v>
      </c>
      <c r="H47" s="15">
        <f t="shared" si="1"/>
        <v>0</v>
      </c>
      <c r="I47" s="80">
        <f t="shared" si="2"/>
        <v>0</v>
      </c>
      <c r="J47" s="81" t="str">
        <f t="shared" si="3"/>
        <v>Nefakturováno</v>
      </c>
      <c r="K47" s="15">
        <f t="shared" si="4"/>
        <v>0</v>
      </c>
      <c r="L47" s="15">
        <f t="shared" si="5"/>
        <v>-100</v>
      </c>
      <c r="AE47" s="15">
        <v>0</v>
      </c>
    </row>
    <row r="48" spans="1:31" ht="12.75" customHeight="1">
      <c r="A48" s="14" t="s">
        <v>180</v>
      </c>
      <c r="B48" s="14"/>
      <c r="C48" s="14" t="s">
        <v>181</v>
      </c>
      <c r="D48" s="14" t="s">
        <v>182</v>
      </c>
      <c r="F48" s="73">
        <v>0</v>
      </c>
      <c r="G48" s="15">
        <v>0</v>
      </c>
      <c r="H48" s="15">
        <f t="shared" si="1"/>
        <v>0</v>
      </c>
      <c r="I48" s="80">
        <f t="shared" si="2"/>
        <v>0</v>
      </c>
      <c r="J48" s="81" t="str">
        <f t="shared" si="3"/>
        <v>Nefakturováno</v>
      </c>
      <c r="K48" s="15">
        <f t="shared" si="4"/>
        <v>0</v>
      </c>
      <c r="L48" s="15">
        <f t="shared" si="5"/>
        <v>-100</v>
      </c>
      <c r="AE48" s="15">
        <v>0</v>
      </c>
    </row>
    <row r="49" spans="1:31" ht="12.75" customHeight="1">
      <c r="A49" s="14" t="s">
        <v>183</v>
      </c>
      <c r="B49" s="14"/>
      <c r="C49" s="14" t="s">
        <v>184</v>
      </c>
      <c r="D49" s="14" t="s">
        <v>185</v>
      </c>
      <c r="F49" s="73">
        <v>0</v>
      </c>
      <c r="G49" s="15">
        <v>0</v>
      </c>
      <c r="H49" s="15">
        <f t="shared" si="1"/>
        <v>0</v>
      </c>
      <c r="I49" s="80">
        <f t="shared" si="2"/>
        <v>0</v>
      </c>
      <c r="J49" s="81" t="str">
        <f t="shared" si="3"/>
        <v>Nefakturováno</v>
      </c>
      <c r="K49" s="15">
        <f t="shared" si="4"/>
        <v>0</v>
      </c>
      <c r="L49" s="15">
        <f t="shared" si="5"/>
        <v>-100</v>
      </c>
      <c r="AE49" s="15">
        <v>0</v>
      </c>
    </row>
    <row r="50" spans="1:31" ht="12.75" customHeight="1">
      <c r="A50" s="14" t="s">
        <v>186</v>
      </c>
      <c r="B50" s="14"/>
      <c r="C50" s="14" t="s">
        <v>187</v>
      </c>
      <c r="D50" s="14" t="s">
        <v>188</v>
      </c>
      <c r="F50" s="73">
        <v>0</v>
      </c>
      <c r="G50" s="15">
        <v>0</v>
      </c>
      <c r="H50" s="15">
        <f t="shared" si="1"/>
        <v>0</v>
      </c>
      <c r="I50" s="80">
        <f t="shared" si="2"/>
        <v>0</v>
      </c>
      <c r="J50" s="81" t="str">
        <f t="shared" si="3"/>
        <v>Nefakturováno</v>
      </c>
      <c r="K50" s="15">
        <f t="shared" si="4"/>
        <v>0</v>
      </c>
      <c r="L50" s="15">
        <f t="shared" si="5"/>
        <v>-100</v>
      </c>
      <c r="AE50" s="15">
        <v>0</v>
      </c>
    </row>
    <row r="51" spans="1:31" ht="12.75" customHeight="1">
      <c r="A51" s="20"/>
      <c r="B51" s="20"/>
      <c r="C51" s="20" t="s">
        <v>108</v>
      </c>
      <c r="D51" s="61" t="s">
        <v>109</v>
      </c>
      <c r="E51" s="64"/>
      <c r="F51" s="23">
        <f aca="true" t="shared" si="15" ref="F51:G51">SUM(F52)</f>
        <v>0</v>
      </c>
      <c r="G51" s="23">
        <f t="shared" si="15"/>
        <v>0</v>
      </c>
      <c r="H51" s="23">
        <f t="shared" si="1"/>
        <v>0</v>
      </c>
      <c r="I51" s="85">
        <f t="shared" si="2"/>
        <v>0</v>
      </c>
      <c r="J51" s="86" t="str">
        <f t="shared" si="3"/>
        <v>Nefakturováno</v>
      </c>
      <c r="K51" s="23">
        <f t="shared" si="4"/>
        <v>0</v>
      </c>
      <c r="L51" s="23">
        <f t="shared" si="5"/>
        <v>-100</v>
      </c>
      <c r="AE51" s="15">
        <v>0</v>
      </c>
    </row>
    <row r="52" spans="1:31" ht="12.75" customHeight="1">
      <c r="A52" s="14" t="s">
        <v>189</v>
      </c>
      <c r="B52" s="14"/>
      <c r="C52" s="14" t="s">
        <v>190</v>
      </c>
      <c r="D52" s="14" t="s">
        <v>191</v>
      </c>
      <c r="F52" s="73">
        <v>0</v>
      </c>
      <c r="G52" s="15">
        <v>0</v>
      </c>
      <c r="H52" s="15">
        <f t="shared" si="1"/>
        <v>0</v>
      </c>
      <c r="I52" s="80">
        <f t="shared" si="2"/>
        <v>0</v>
      </c>
      <c r="J52" s="81" t="str">
        <f t="shared" si="3"/>
        <v>Nefakturováno</v>
      </c>
      <c r="K52" s="15">
        <f t="shared" si="4"/>
        <v>0</v>
      </c>
      <c r="L52" s="15">
        <f t="shared" si="5"/>
        <v>-100</v>
      </c>
      <c r="AE52" s="15">
        <v>0</v>
      </c>
    </row>
    <row r="53" spans="1:31" ht="12.75" customHeight="1">
      <c r="A53" s="20"/>
      <c r="B53" s="20"/>
      <c r="C53" s="20" t="s">
        <v>110</v>
      </c>
      <c r="D53" s="61" t="s">
        <v>111</v>
      </c>
      <c r="E53" s="64"/>
      <c r="F53" s="23">
        <f aca="true" t="shared" si="16" ref="F53:G53">SUM(F54:F56)</f>
        <v>0</v>
      </c>
      <c r="G53" s="23">
        <f t="shared" si="16"/>
        <v>0</v>
      </c>
      <c r="H53" s="23">
        <f t="shared" si="1"/>
        <v>0</v>
      </c>
      <c r="I53" s="85">
        <f t="shared" si="2"/>
        <v>0</v>
      </c>
      <c r="J53" s="86" t="str">
        <f t="shared" si="3"/>
        <v>Nefakturováno</v>
      </c>
      <c r="K53" s="23">
        <f t="shared" si="4"/>
        <v>0</v>
      </c>
      <c r="L53" s="23">
        <f t="shared" si="5"/>
        <v>-100</v>
      </c>
      <c r="AE53" s="15">
        <v>0</v>
      </c>
    </row>
    <row r="54" spans="1:31" ht="12.75" customHeight="1">
      <c r="A54" s="14" t="s">
        <v>193</v>
      </c>
      <c r="B54" s="14"/>
      <c r="C54" s="14" t="s">
        <v>194</v>
      </c>
      <c r="D54" s="14" t="s">
        <v>195</v>
      </c>
      <c r="F54" s="73">
        <v>0</v>
      </c>
      <c r="G54" s="15">
        <v>0</v>
      </c>
      <c r="H54" s="15">
        <f t="shared" si="1"/>
        <v>0</v>
      </c>
      <c r="I54" s="80">
        <f t="shared" si="2"/>
        <v>0</v>
      </c>
      <c r="J54" s="81" t="str">
        <f t="shared" si="3"/>
        <v>Nefakturováno</v>
      </c>
      <c r="K54" s="15">
        <f t="shared" si="4"/>
        <v>0</v>
      </c>
      <c r="L54" s="15">
        <f t="shared" si="5"/>
        <v>-100</v>
      </c>
      <c r="AE54" s="15">
        <v>0</v>
      </c>
    </row>
    <row r="55" spans="1:31" ht="12.75" customHeight="1">
      <c r="A55" s="14" t="s">
        <v>196</v>
      </c>
      <c r="B55" s="14"/>
      <c r="C55" s="14" t="s">
        <v>197</v>
      </c>
      <c r="D55" s="14" t="s">
        <v>198</v>
      </c>
      <c r="F55" s="73">
        <v>0</v>
      </c>
      <c r="G55" s="15">
        <v>0</v>
      </c>
      <c r="H55" s="15">
        <f t="shared" si="1"/>
        <v>0</v>
      </c>
      <c r="I55" s="80">
        <f t="shared" si="2"/>
        <v>0</v>
      </c>
      <c r="J55" s="81" t="str">
        <f t="shared" si="3"/>
        <v>Nefakturováno</v>
      </c>
      <c r="K55" s="15">
        <f t="shared" si="4"/>
        <v>0</v>
      </c>
      <c r="L55" s="15">
        <f t="shared" si="5"/>
        <v>-100</v>
      </c>
      <c r="AE55" s="15">
        <v>0</v>
      </c>
    </row>
    <row r="56" spans="1:31" ht="12.75" customHeight="1">
      <c r="A56" s="14" t="s">
        <v>16</v>
      </c>
      <c r="B56" s="14"/>
      <c r="C56" s="14" t="s">
        <v>199</v>
      </c>
      <c r="D56" s="14" t="s">
        <v>200</v>
      </c>
      <c r="F56" s="73">
        <v>0</v>
      </c>
      <c r="G56" s="15">
        <v>0</v>
      </c>
      <c r="H56" s="15">
        <f t="shared" si="1"/>
        <v>0</v>
      </c>
      <c r="I56" s="80">
        <f t="shared" si="2"/>
        <v>0</v>
      </c>
      <c r="J56" s="81" t="str">
        <f t="shared" si="3"/>
        <v>Nefakturováno</v>
      </c>
      <c r="K56" s="15">
        <f t="shared" si="4"/>
        <v>0</v>
      </c>
      <c r="L56" s="15">
        <f t="shared" si="5"/>
        <v>-100</v>
      </c>
      <c r="AE56" s="15">
        <v>0</v>
      </c>
    </row>
    <row r="57" spans="1:31" ht="12.75" customHeight="1">
      <c r="A57" s="20"/>
      <c r="B57" s="20"/>
      <c r="C57" s="20" t="s">
        <v>115</v>
      </c>
      <c r="D57" s="61" t="s">
        <v>116</v>
      </c>
      <c r="E57" s="64"/>
      <c r="F57" s="23">
        <f aca="true" t="shared" si="17" ref="F57:G57">SUM(F58)</f>
        <v>0</v>
      </c>
      <c r="G57" s="23">
        <f t="shared" si="17"/>
        <v>0</v>
      </c>
      <c r="H57" s="23">
        <f t="shared" si="1"/>
        <v>0</v>
      </c>
      <c r="I57" s="85">
        <f t="shared" si="2"/>
        <v>0</v>
      </c>
      <c r="J57" s="86" t="str">
        <f t="shared" si="3"/>
        <v>Nefakturováno</v>
      </c>
      <c r="K57" s="23">
        <f t="shared" si="4"/>
        <v>0</v>
      </c>
      <c r="L57" s="23">
        <f t="shared" si="5"/>
        <v>-100</v>
      </c>
      <c r="AE57" s="15">
        <v>0</v>
      </c>
    </row>
    <row r="58" spans="1:31" ht="12.75" customHeight="1">
      <c r="A58" s="14" t="s">
        <v>201</v>
      </c>
      <c r="B58" s="14"/>
      <c r="C58" s="14" t="s">
        <v>202</v>
      </c>
      <c r="D58" s="14" t="s">
        <v>203</v>
      </c>
      <c r="F58" s="73">
        <v>0</v>
      </c>
      <c r="G58" s="15">
        <v>0</v>
      </c>
      <c r="H58" s="15">
        <f t="shared" si="1"/>
        <v>0</v>
      </c>
      <c r="I58" s="80">
        <f t="shared" si="2"/>
        <v>0</v>
      </c>
      <c r="J58" s="81" t="str">
        <f t="shared" si="3"/>
        <v>Nefakturováno</v>
      </c>
      <c r="K58" s="15">
        <f t="shared" si="4"/>
        <v>0</v>
      </c>
      <c r="L58" s="15">
        <f t="shared" si="5"/>
        <v>-100</v>
      </c>
      <c r="AE58" s="15">
        <v>0</v>
      </c>
    </row>
    <row r="59" spans="1:31" ht="12.75" customHeight="1">
      <c r="A59" s="20"/>
      <c r="B59" s="20"/>
      <c r="C59" s="20" t="s">
        <v>124</v>
      </c>
      <c r="D59" s="61" t="s">
        <v>125</v>
      </c>
      <c r="E59" s="64"/>
      <c r="F59" s="23">
        <f aca="true" t="shared" si="18" ref="F59:G59">SUM(F60:F61)</f>
        <v>0</v>
      </c>
      <c r="G59" s="23">
        <f t="shared" si="18"/>
        <v>0</v>
      </c>
      <c r="H59" s="23">
        <f t="shared" si="1"/>
        <v>0</v>
      </c>
      <c r="I59" s="85">
        <f t="shared" si="2"/>
        <v>0</v>
      </c>
      <c r="J59" s="86" t="str">
        <f t="shared" si="3"/>
        <v>Nefakturováno</v>
      </c>
      <c r="K59" s="23">
        <f t="shared" si="4"/>
        <v>0</v>
      </c>
      <c r="L59" s="23">
        <f t="shared" si="5"/>
        <v>-100</v>
      </c>
      <c r="AE59" s="15">
        <v>0</v>
      </c>
    </row>
    <row r="60" spans="1:31" ht="12.75" customHeight="1">
      <c r="A60" s="14" t="s">
        <v>205</v>
      </c>
      <c r="B60" s="14"/>
      <c r="C60" s="14" t="s">
        <v>206</v>
      </c>
      <c r="D60" s="14" t="s">
        <v>207</v>
      </c>
      <c r="F60" s="73">
        <v>0</v>
      </c>
      <c r="G60" s="15">
        <v>0</v>
      </c>
      <c r="H60" s="15">
        <f t="shared" si="1"/>
        <v>0</v>
      </c>
      <c r="I60" s="80">
        <f t="shared" si="2"/>
        <v>0</v>
      </c>
      <c r="J60" s="81" t="str">
        <f t="shared" si="3"/>
        <v>Nefakturováno</v>
      </c>
      <c r="K60" s="15">
        <f t="shared" si="4"/>
        <v>0</v>
      </c>
      <c r="L60" s="15">
        <f t="shared" si="5"/>
        <v>-100</v>
      </c>
      <c r="AE60" s="15">
        <v>0</v>
      </c>
    </row>
    <row r="61" spans="1:31" ht="12.75" customHeight="1">
      <c r="A61" s="14" t="s">
        <v>208</v>
      </c>
      <c r="B61" s="14"/>
      <c r="C61" s="14" t="s">
        <v>209</v>
      </c>
      <c r="D61" s="14" t="s">
        <v>210</v>
      </c>
      <c r="F61" s="73">
        <v>0</v>
      </c>
      <c r="G61" s="15">
        <v>0</v>
      </c>
      <c r="H61" s="15">
        <f t="shared" si="1"/>
        <v>0</v>
      </c>
      <c r="I61" s="80">
        <f t="shared" si="2"/>
        <v>0</v>
      </c>
      <c r="J61" s="81" t="str">
        <f t="shared" si="3"/>
        <v>Nefakturováno</v>
      </c>
      <c r="K61" s="15">
        <f t="shared" si="4"/>
        <v>0</v>
      </c>
      <c r="L61" s="15">
        <f t="shared" si="5"/>
        <v>-100</v>
      </c>
      <c r="AE61" s="15">
        <v>0</v>
      </c>
    </row>
    <row r="62" spans="1:31" ht="12.75" customHeight="1">
      <c r="A62" s="20"/>
      <c r="B62" s="20"/>
      <c r="C62" s="20" t="s">
        <v>126</v>
      </c>
      <c r="D62" s="61" t="s">
        <v>128</v>
      </c>
      <c r="E62" s="64"/>
      <c r="F62" s="23">
        <f aca="true" t="shared" si="19" ref="F62:G62">SUM(F63:F64)</f>
        <v>0</v>
      </c>
      <c r="G62" s="23">
        <f t="shared" si="19"/>
        <v>0</v>
      </c>
      <c r="H62" s="23">
        <f t="shared" si="1"/>
        <v>0</v>
      </c>
      <c r="I62" s="85">
        <f t="shared" si="2"/>
        <v>0</v>
      </c>
      <c r="J62" s="86" t="str">
        <f t="shared" si="3"/>
        <v>Nefakturováno</v>
      </c>
      <c r="K62" s="23">
        <f t="shared" si="4"/>
        <v>0</v>
      </c>
      <c r="L62" s="23">
        <f t="shared" si="5"/>
        <v>-100</v>
      </c>
      <c r="AE62" s="15">
        <v>0</v>
      </c>
    </row>
    <row r="63" spans="1:31" ht="12.75" customHeight="1">
      <c r="A63" s="14" t="s">
        <v>211</v>
      </c>
      <c r="B63" s="14"/>
      <c r="C63" s="14" t="s">
        <v>212</v>
      </c>
      <c r="D63" s="14" t="s">
        <v>213</v>
      </c>
      <c r="F63" s="73">
        <v>0</v>
      </c>
      <c r="G63" s="15">
        <v>0</v>
      </c>
      <c r="H63" s="15">
        <f t="shared" si="1"/>
        <v>0</v>
      </c>
      <c r="I63" s="80">
        <f t="shared" si="2"/>
        <v>0</v>
      </c>
      <c r="J63" s="81" t="str">
        <f t="shared" si="3"/>
        <v>Nefakturováno</v>
      </c>
      <c r="K63" s="15">
        <f t="shared" si="4"/>
        <v>0</v>
      </c>
      <c r="L63" s="15">
        <f t="shared" si="5"/>
        <v>-100</v>
      </c>
      <c r="AE63" s="15">
        <v>0</v>
      </c>
    </row>
    <row r="64" spans="1:31" ht="12.75" customHeight="1">
      <c r="A64" s="14" t="s">
        <v>214</v>
      </c>
      <c r="B64" s="14"/>
      <c r="C64" s="14" t="s">
        <v>215</v>
      </c>
      <c r="D64" s="14" t="s">
        <v>216</v>
      </c>
      <c r="F64" s="73">
        <v>0</v>
      </c>
      <c r="G64" s="15">
        <v>0</v>
      </c>
      <c r="H64" s="15">
        <f t="shared" si="1"/>
        <v>0</v>
      </c>
      <c r="I64" s="80">
        <f t="shared" si="2"/>
        <v>0</v>
      </c>
      <c r="J64" s="81" t="str">
        <f t="shared" si="3"/>
        <v>Nefakturováno</v>
      </c>
      <c r="K64" s="15">
        <f t="shared" si="4"/>
        <v>0</v>
      </c>
      <c r="L64" s="15">
        <f t="shared" si="5"/>
        <v>-100</v>
      </c>
      <c r="AE64" s="15">
        <v>0</v>
      </c>
    </row>
    <row r="65" spans="1:31" ht="12.75" customHeight="1">
      <c r="A65" s="20"/>
      <c r="B65" s="20"/>
      <c r="C65" s="20" t="s">
        <v>137</v>
      </c>
      <c r="D65" s="61" t="s">
        <v>138</v>
      </c>
      <c r="E65" s="64"/>
      <c r="F65" s="23">
        <f aca="true" t="shared" si="20" ref="F65:G65">SUM(F66:F69)</f>
        <v>0</v>
      </c>
      <c r="G65" s="23">
        <f t="shared" si="20"/>
        <v>0</v>
      </c>
      <c r="H65" s="23">
        <f t="shared" si="1"/>
        <v>0</v>
      </c>
      <c r="I65" s="85">
        <f t="shared" si="2"/>
        <v>0</v>
      </c>
      <c r="J65" s="86" t="str">
        <f t="shared" si="3"/>
        <v>Nefakturováno</v>
      </c>
      <c r="K65" s="23">
        <f t="shared" si="4"/>
        <v>0</v>
      </c>
      <c r="L65" s="23">
        <f t="shared" si="5"/>
        <v>-100</v>
      </c>
      <c r="AE65" s="15">
        <v>0</v>
      </c>
    </row>
    <row r="66" spans="1:31" ht="12.75" customHeight="1">
      <c r="A66" s="14" t="s">
        <v>218</v>
      </c>
      <c r="B66" s="14"/>
      <c r="C66" s="14" t="s">
        <v>219</v>
      </c>
      <c r="D66" s="14" t="s">
        <v>220</v>
      </c>
      <c r="F66" s="73">
        <v>0</v>
      </c>
      <c r="G66" s="15">
        <v>0</v>
      </c>
      <c r="H66" s="15">
        <f t="shared" si="1"/>
        <v>0</v>
      </c>
      <c r="I66" s="80">
        <f t="shared" si="2"/>
        <v>0</v>
      </c>
      <c r="J66" s="81" t="str">
        <f t="shared" si="3"/>
        <v>Nefakturováno</v>
      </c>
      <c r="K66" s="15">
        <f t="shared" si="4"/>
        <v>0</v>
      </c>
      <c r="L66" s="15">
        <f t="shared" si="5"/>
        <v>-100</v>
      </c>
      <c r="AE66" s="15">
        <v>0</v>
      </c>
    </row>
    <row r="67" spans="1:31" ht="12.75" customHeight="1">
      <c r="A67" s="14" t="s">
        <v>221</v>
      </c>
      <c r="B67" s="14"/>
      <c r="C67" s="14" t="s">
        <v>222</v>
      </c>
      <c r="D67" s="14" t="s">
        <v>223</v>
      </c>
      <c r="F67" s="73">
        <v>0</v>
      </c>
      <c r="G67" s="15">
        <v>0</v>
      </c>
      <c r="H67" s="15">
        <f t="shared" si="1"/>
        <v>0</v>
      </c>
      <c r="I67" s="80">
        <f t="shared" si="2"/>
        <v>0</v>
      </c>
      <c r="J67" s="81" t="str">
        <f t="shared" si="3"/>
        <v>Nefakturováno</v>
      </c>
      <c r="K67" s="15">
        <f t="shared" si="4"/>
        <v>0</v>
      </c>
      <c r="L67" s="15">
        <f t="shared" si="5"/>
        <v>-100</v>
      </c>
      <c r="AE67" s="15">
        <v>0</v>
      </c>
    </row>
    <row r="68" spans="1:31" ht="12.75" customHeight="1">
      <c r="A68" s="14" t="s">
        <v>224</v>
      </c>
      <c r="B68" s="14"/>
      <c r="C68" s="14" t="s">
        <v>225</v>
      </c>
      <c r="D68" s="14" t="s">
        <v>226</v>
      </c>
      <c r="F68" s="73">
        <v>0</v>
      </c>
      <c r="G68" s="15">
        <v>0</v>
      </c>
      <c r="H68" s="15">
        <f t="shared" si="1"/>
        <v>0</v>
      </c>
      <c r="I68" s="80">
        <f t="shared" si="2"/>
        <v>0</v>
      </c>
      <c r="J68" s="81" t="str">
        <f t="shared" si="3"/>
        <v>Nefakturováno</v>
      </c>
      <c r="K68" s="15">
        <f t="shared" si="4"/>
        <v>0</v>
      </c>
      <c r="L68" s="15">
        <f t="shared" si="5"/>
        <v>-100</v>
      </c>
      <c r="AE68" s="15">
        <v>0</v>
      </c>
    </row>
    <row r="69" spans="1:31" ht="12.75" customHeight="1">
      <c r="A69" s="14" t="s">
        <v>227</v>
      </c>
      <c r="B69" s="14"/>
      <c r="C69" s="14" t="s">
        <v>228</v>
      </c>
      <c r="D69" s="14" t="s">
        <v>229</v>
      </c>
      <c r="F69" s="73">
        <v>0</v>
      </c>
      <c r="G69" s="15">
        <v>0</v>
      </c>
      <c r="H69" s="15">
        <f t="shared" si="1"/>
        <v>0</v>
      </c>
      <c r="I69" s="80">
        <f t="shared" si="2"/>
        <v>0</v>
      </c>
      <c r="J69" s="81" t="str">
        <f t="shared" si="3"/>
        <v>Nefakturováno</v>
      </c>
      <c r="K69" s="15">
        <f t="shared" si="4"/>
        <v>0</v>
      </c>
      <c r="L69" s="15">
        <f t="shared" si="5"/>
        <v>-100</v>
      </c>
      <c r="AE69" s="15">
        <v>0</v>
      </c>
    </row>
    <row r="70" ht="12.75" customHeight="1"/>
    <row r="71" ht="10.5" customHeight="1">
      <c r="A71" s="66" t="s">
        <v>230</v>
      </c>
    </row>
    <row r="72" ht="409.5" customHeight="1" hidden="1">
      <c r="A72" s="25"/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6">
    <mergeCell ref="D59:E59"/>
    <mergeCell ref="D60:E60"/>
    <mergeCell ref="D61:E61"/>
    <mergeCell ref="D62:E62"/>
    <mergeCell ref="D63:E63"/>
    <mergeCell ref="D64:E64"/>
    <mergeCell ref="D65:E65"/>
    <mergeCell ref="D67:E67"/>
    <mergeCell ref="A72:J72"/>
    <mergeCell ref="D66:E66"/>
    <mergeCell ref="D68:E68"/>
    <mergeCell ref="D69:E69"/>
    <mergeCell ref="D54:E54"/>
    <mergeCell ref="D55:E55"/>
    <mergeCell ref="D56:E56"/>
    <mergeCell ref="D57:E57"/>
    <mergeCell ref="D58:E58"/>
    <mergeCell ref="D53:E53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40:E40"/>
    <mergeCell ref="D39:E39"/>
    <mergeCell ref="D33:E33"/>
    <mergeCell ref="D32:E32"/>
    <mergeCell ref="D36:E36"/>
    <mergeCell ref="D37:E37"/>
    <mergeCell ref="D38:E38"/>
    <mergeCell ref="D30:E30"/>
    <mergeCell ref="D31:E31"/>
    <mergeCell ref="D34:E34"/>
    <mergeCell ref="D35:E35"/>
    <mergeCell ref="D29:E29"/>
    <mergeCell ref="B4:D5"/>
    <mergeCell ref="E4:E5"/>
    <mergeCell ref="D15:E15"/>
    <mergeCell ref="D14:E14"/>
    <mergeCell ref="A8:A9"/>
    <mergeCell ref="B8:D9"/>
    <mergeCell ref="A6:A7"/>
    <mergeCell ref="B6:D7"/>
    <mergeCell ref="A4:A5"/>
    <mergeCell ref="D21:E21"/>
    <mergeCell ref="D22:E22"/>
    <mergeCell ref="D23:E23"/>
    <mergeCell ref="D24:E24"/>
    <mergeCell ref="D25:E25"/>
    <mergeCell ref="D26:E26"/>
    <mergeCell ref="D27:E27"/>
    <mergeCell ref="D28:E28"/>
    <mergeCell ref="D20:E20"/>
    <mergeCell ref="D19:E19"/>
    <mergeCell ref="D16:E16"/>
    <mergeCell ref="D17:E17"/>
    <mergeCell ref="D18:E18"/>
    <mergeCell ref="D10:E10"/>
    <mergeCell ref="D11:E11"/>
    <mergeCell ref="D12:E12"/>
    <mergeCell ref="D13:E13"/>
    <mergeCell ref="F6:F7"/>
    <mergeCell ref="G6:G7"/>
    <mergeCell ref="F8:F9"/>
    <mergeCell ref="G8:G9"/>
    <mergeCell ref="H8:L9"/>
    <mergeCell ref="H6:L7"/>
    <mergeCell ref="F2:F3"/>
    <mergeCell ref="G2:G3"/>
    <mergeCell ref="F4:F5"/>
    <mergeCell ref="G4:G5"/>
    <mergeCell ref="H2:L3"/>
    <mergeCell ref="A1:L1"/>
    <mergeCell ref="A2:A3"/>
    <mergeCell ref="E2:E3"/>
    <mergeCell ref="B2:D3"/>
    <mergeCell ref="H4:L5"/>
    <mergeCell ref="E8:E9"/>
    <mergeCell ref="E6:E7"/>
  </mergeCells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J37"/>
  <sheetViews>
    <sheetView workbookViewId="0" topLeftCell="A1"/>
  </sheetViews>
  <sheetFormatPr defaultColWidth="14.421875" defaultRowHeight="15" customHeight="1"/>
  <cols>
    <col min="1" max="1" width="9.140625" style="0" customWidth="1"/>
    <col min="2" max="2" width="12.7109375" style="0" customWidth="1"/>
    <col min="3" max="3" width="22.8515625" style="0" customWidth="1"/>
    <col min="4" max="4" width="10.14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7109375" style="0" customWidth="1"/>
    <col min="9" max="9" width="22.8515625" style="0" customWidth="1"/>
    <col min="10" max="10" width="11.57421875" style="0" customWidth="1"/>
    <col min="11" max="26" width="8.00390625" style="0" customWidth="1"/>
  </cols>
  <sheetData>
    <row r="1" spans="1:9" ht="72.75" customHeight="1">
      <c r="A1" s="82"/>
      <c r="B1" s="83"/>
      <c r="C1" s="84" t="s">
        <v>250</v>
      </c>
      <c r="D1" s="4"/>
      <c r="E1" s="4"/>
      <c r="F1" s="4"/>
      <c r="G1" s="4"/>
      <c r="H1" s="4"/>
      <c r="I1" s="4"/>
    </row>
    <row r="2" spans="1:10" ht="12.75" customHeight="1">
      <c r="A2" s="7" t="s">
        <v>14</v>
      </c>
      <c r="B2" s="8"/>
      <c r="C2" s="10" t="s">
        <v>19</v>
      </c>
      <c r="D2" s="8"/>
      <c r="E2" s="11" t="s">
        <v>20</v>
      </c>
      <c r="F2" s="11" t="s">
        <v>21</v>
      </c>
      <c r="G2" s="8"/>
      <c r="H2" s="11" t="s">
        <v>251</v>
      </c>
      <c r="I2" s="87"/>
      <c r="J2" s="5"/>
    </row>
    <row r="3" spans="1:10" ht="12.75" customHeight="1">
      <c r="A3" s="19"/>
      <c r="I3" s="22"/>
      <c r="J3" s="5"/>
    </row>
    <row r="4" spans="1:10" ht="12.75" customHeight="1">
      <c r="A4" s="24" t="s">
        <v>31</v>
      </c>
      <c r="C4" s="25" t="s">
        <v>35</v>
      </c>
      <c r="E4" s="25" t="s">
        <v>36</v>
      </c>
      <c r="F4" s="25"/>
      <c r="H4" s="25" t="s">
        <v>251</v>
      </c>
      <c r="I4" s="88"/>
      <c r="J4" s="5"/>
    </row>
    <row r="5" spans="1:10" ht="12.75" customHeight="1">
      <c r="A5" s="19"/>
      <c r="I5" s="22"/>
      <c r="J5" s="5"/>
    </row>
    <row r="6" spans="1:10" ht="12.75" customHeight="1">
      <c r="A6" s="24" t="s">
        <v>41</v>
      </c>
      <c r="C6" s="25" t="s">
        <v>42</v>
      </c>
      <c r="E6" s="25" t="s">
        <v>43</v>
      </c>
      <c r="F6" s="25"/>
      <c r="H6" s="25" t="s">
        <v>251</v>
      </c>
      <c r="I6" s="88"/>
      <c r="J6" s="5"/>
    </row>
    <row r="7" spans="1:10" ht="12.75" customHeight="1">
      <c r="A7" s="19"/>
      <c r="I7" s="22"/>
      <c r="J7" s="5"/>
    </row>
    <row r="8" spans="1:10" ht="12.75" customHeight="1">
      <c r="A8" s="24" t="s">
        <v>37</v>
      </c>
      <c r="C8" s="14" t="s">
        <v>15</v>
      </c>
      <c r="E8" s="25" t="s">
        <v>44</v>
      </c>
      <c r="F8" s="26">
        <v>43707</v>
      </c>
      <c r="H8" s="14" t="s">
        <v>252</v>
      </c>
      <c r="I8" s="88" t="s">
        <v>227</v>
      </c>
      <c r="J8" s="5"/>
    </row>
    <row r="9" spans="1:10" ht="12.75" customHeight="1">
      <c r="A9" s="19"/>
      <c r="I9" s="22"/>
      <c r="J9" s="5"/>
    </row>
    <row r="10" spans="1:10" ht="12.75" customHeight="1">
      <c r="A10" s="24" t="s">
        <v>53</v>
      </c>
      <c r="C10" s="25"/>
      <c r="E10" s="25" t="s">
        <v>47</v>
      </c>
      <c r="F10" s="25"/>
      <c r="H10" s="14" t="s">
        <v>254</v>
      </c>
      <c r="I10" s="89">
        <v>43607</v>
      </c>
      <c r="J10" s="5"/>
    </row>
    <row r="11" spans="1:10" ht="12.75" customHeight="1">
      <c r="A11" s="90"/>
      <c r="B11" s="4"/>
      <c r="C11" s="4"/>
      <c r="D11" s="4"/>
      <c r="E11" s="4"/>
      <c r="F11" s="4"/>
      <c r="G11" s="4"/>
      <c r="H11" s="4"/>
      <c r="I11" s="91"/>
      <c r="J11" s="5"/>
    </row>
    <row r="12" spans="1:9" ht="18.75" customHeight="1">
      <c r="A12" s="92" t="s">
        <v>255</v>
      </c>
      <c r="B12" s="93"/>
      <c r="C12" s="93"/>
      <c r="D12" s="93"/>
      <c r="E12" s="93"/>
      <c r="F12" s="93"/>
      <c r="G12" s="93"/>
      <c r="H12" s="93"/>
      <c r="I12" s="93"/>
    </row>
    <row r="13" spans="1:10" ht="26.25" customHeight="1">
      <c r="A13" s="94" t="s">
        <v>256</v>
      </c>
      <c r="B13" s="95" t="s">
        <v>257</v>
      </c>
      <c r="C13" s="96"/>
      <c r="D13" s="94" t="s">
        <v>258</v>
      </c>
      <c r="E13" s="95" t="s">
        <v>259</v>
      </c>
      <c r="F13" s="96"/>
      <c r="G13" s="94" t="s">
        <v>260</v>
      </c>
      <c r="H13" s="95" t="s">
        <v>261</v>
      </c>
      <c r="I13" s="96"/>
      <c r="J13" s="5"/>
    </row>
    <row r="14" spans="1:10" ht="12.75" customHeight="1">
      <c r="A14" s="97" t="s">
        <v>262</v>
      </c>
      <c r="B14" s="98" t="s">
        <v>263</v>
      </c>
      <c r="C14" s="99">
        <f>SUM('Stavební rozpočet'!R12:R70)</f>
        <v>0</v>
      </c>
      <c r="D14" s="100" t="s">
        <v>265</v>
      </c>
      <c r="E14" s="96"/>
      <c r="F14" s="99">
        <f>VORN!I15</f>
        <v>0</v>
      </c>
      <c r="G14" s="100" t="s">
        <v>266</v>
      </c>
      <c r="H14" s="96"/>
      <c r="I14" s="99">
        <f>VORN!I21</f>
        <v>0</v>
      </c>
      <c r="J14" s="5"/>
    </row>
    <row r="15" spans="1:10" ht="12.75" customHeight="1">
      <c r="A15" s="101"/>
      <c r="B15" s="98" t="s">
        <v>118</v>
      </c>
      <c r="C15" s="99">
        <f>SUM('Stavební rozpočet'!S12:S70)</f>
        <v>0</v>
      </c>
      <c r="D15" s="100" t="s">
        <v>267</v>
      </c>
      <c r="E15" s="96"/>
      <c r="F15" s="99">
        <f>VORN!I16</f>
        <v>0</v>
      </c>
      <c r="G15" s="100" t="s">
        <v>268</v>
      </c>
      <c r="H15" s="96"/>
      <c r="I15" s="99">
        <f>VORN!I22</f>
        <v>0</v>
      </c>
      <c r="J15" s="5"/>
    </row>
    <row r="16" spans="1:10" ht="12.75" customHeight="1">
      <c r="A16" s="97" t="s">
        <v>269</v>
      </c>
      <c r="B16" s="98" t="s">
        <v>263</v>
      </c>
      <c r="C16" s="99">
        <f>SUM('Stavební rozpočet'!T12:T70)</f>
        <v>0</v>
      </c>
      <c r="D16" s="100" t="s">
        <v>270</v>
      </c>
      <c r="E16" s="96"/>
      <c r="F16" s="99">
        <f>VORN!I17</f>
        <v>0</v>
      </c>
      <c r="G16" s="100" t="s">
        <v>271</v>
      </c>
      <c r="H16" s="96"/>
      <c r="I16" s="99">
        <f>VORN!I23</f>
        <v>0</v>
      </c>
      <c r="J16" s="5"/>
    </row>
    <row r="17" spans="1:10" ht="12.75" customHeight="1">
      <c r="A17" s="101"/>
      <c r="B17" s="98" t="s">
        <v>118</v>
      </c>
      <c r="C17" s="99">
        <f>SUM('Stavební rozpočet'!U12:U70)</f>
        <v>0</v>
      </c>
      <c r="D17" s="100"/>
      <c r="E17" s="96"/>
      <c r="F17" s="102"/>
      <c r="G17" s="100" t="s">
        <v>272</v>
      </c>
      <c r="H17" s="96"/>
      <c r="I17" s="99">
        <f>VORN!I24</f>
        <v>0</v>
      </c>
      <c r="J17" s="5"/>
    </row>
    <row r="18" spans="1:10" ht="12.75" customHeight="1">
      <c r="A18" s="97" t="s">
        <v>273</v>
      </c>
      <c r="B18" s="98" t="s">
        <v>263</v>
      </c>
      <c r="C18" s="99">
        <f>SUM('Stavební rozpočet'!V12:V70)</f>
        <v>0</v>
      </c>
      <c r="D18" s="100"/>
      <c r="E18" s="96"/>
      <c r="F18" s="102"/>
      <c r="G18" s="100" t="s">
        <v>274</v>
      </c>
      <c r="H18" s="96"/>
      <c r="I18" s="99">
        <f>VORN!I25</f>
        <v>0</v>
      </c>
      <c r="J18" s="5"/>
    </row>
    <row r="19" spans="1:10" ht="12.75" customHeight="1">
      <c r="A19" s="101"/>
      <c r="B19" s="98" t="s">
        <v>118</v>
      </c>
      <c r="C19" s="99">
        <f>SUM('Stavební rozpočet'!W12:W70)</f>
        <v>0</v>
      </c>
      <c r="D19" s="100"/>
      <c r="E19" s="96"/>
      <c r="F19" s="102"/>
      <c r="G19" s="100" t="s">
        <v>275</v>
      </c>
      <c r="H19" s="96"/>
      <c r="I19" s="99">
        <f>VORN!I26</f>
        <v>0</v>
      </c>
      <c r="J19" s="5"/>
    </row>
    <row r="20" spans="1:10" ht="12.75" customHeight="1">
      <c r="A20" s="103" t="s">
        <v>276</v>
      </c>
      <c r="B20" s="96"/>
      <c r="C20" s="99">
        <f>SUM('Stavební rozpočet'!X12:X70)</f>
        <v>0</v>
      </c>
      <c r="D20" s="100"/>
      <c r="E20" s="96"/>
      <c r="F20" s="102"/>
      <c r="G20" s="100"/>
      <c r="H20" s="96"/>
      <c r="I20" s="102"/>
      <c r="J20" s="5"/>
    </row>
    <row r="21" spans="1:10" ht="12.75" customHeight="1">
      <c r="A21" s="103" t="s">
        <v>277</v>
      </c>
      <c r="B21" s="96"/>
      <c r="C21" s="99">
        <f>SUM('Stavební rozpočet'!P12:P70)</f>
        <v>0</v>
      </c>
      <c r="D21" s="100"/>
      <c r="E21" s="96"/>
      <c r="F21" s="102"/>
      <c r="G21" s="100"/>
      <c r="H21" s="96"/>
      <c r="I21" s="102"/>
      <c r="J21" s="5"/>
    </row>
    <row r="22" spans="1:10" ht="16.5" customHeight="1">
      <c r="A22" s="103" t="s">
        <v>280</v>
      </c>
      <c r="B22" s="96"/>
      <c r="C22" s="99">
        <f>SUM(C14:C21)</f>
        <v>0</v>
      </c>
      <c r="D22" s="103" t="s">
        <v>281</v>
      </c>
      <c r="E22" s="96"/>
      <c r="F22" s="99">
        <f>SUM(F14:F21)</f>
        <v>0</v>
      </c>
      <c r="G22" s="103" t="s">
        <v>282</v>
      </c>
      <c r="H22" s="96"/>
      <c r="I22" s="99">
        <f>SUM(I14:I21)</f>
        <v>0</v>
      </c>
      <c r="J22" s="5"/>
    </row>
    <row r="23" spans="1:10" ht="12.75" customHeight="1">
      <c r="A23" s="104"/>
      <c r="B23" s="104"/>
      <c r="C23" s="105"/>
      <c r="D23" s="103" t="s">
        <v>283</v>
      </c>
      <c r="E23" s="96"/>
      <c r="F23" s="106">
        <v>0</v>
      </c>
      <c r="G23" s="103" t="s">
        <v>284</v>
      </c>
      <c r="H23" s="96"/>
      <c r="I23" s="99">
        <v>0</v>
      </c>
      <c r="J23" s="5"/>
    </row>
    <row r="24" spans="4:10" ht="12.75" customHeight="1">
      <c r="D24" s="104"/>
      <c r="E24" s="104"/>
      <c r="F24" s="107"/>
      <c r="G24" s="103" t="s">
        <v>285</v>
      </c>
      <c r="H24" s="96"/>
      <c r="I24" s="99">
        <f>vorn_sum</f>
        <v>0</v>
      </c>
      <c r="J24" s="5"/>
    </row>
    <row r="25" spans="6:10" ht="12.75" customHeight="1">
      <c r="F25" s="108"/>
      <c r="G25" s="103" t="s">
        <v>286</v>
      </c>
      <c r="H25" s="96"/>
      <c r="I25" s="99">
        <v>0</v>
      </c>
      <c r="J25" s="5"/>
    </row>
    <row r="26" spans="1:9" ht="12.75" customHeight="1">
      <c r="A26" s="83"/>
      <c r="B26" s="83"/>
      <c r="C26" s="83"/>
      <c r="G26" s="104"/>
      <c r="H26" s="104"/>
      <c r="I26" s="104"/>
    </row>
    <row r="27" spans="1:9" ht="12.75" customHeight="1">
      <c r="A27" s="109" t="s">
        <v>287</v>
      </c>
      <c r="B27" s="110"/>
      <c r="C27" s="111">
        <f>SUM('Stavební rozpočet'!Z12:Z70)</f>
        <v>0</v>
      </c>
      <c r="D27" s="112"/>
      <c r="E27" s="83"/>
      <c r="F27" s="83"/>
      <c r="G27" s="83"/>
      <c r="H27" s="83"/>
      <c r="I27" s="83"/>
    </row>
    <row r="28" spans="1:10" ht="12.75" customHeight="1">
      <c r="A28" s="109" t="s">
        <v>288</v>
      </c>
      <c r="B28" s="110"/>
      <c r="C28" s="111">
        <f>SUM('Stavební rozpočet'!AA12:AA70)</f>
        <v>0</v>
      </c>
      <c r="D28" s="109" t="s">
        <v>289</v>
      </c>
      <c r="E28" s="110"/>
      <c r="F28" s="111">
        <f>ROUND(C28*(15/100),2)</f>
        <v>0</v>
      </c>
      <c r="G28" s="109" t="s">
        <v>292</v>
      </c>
      <c r="H28" s="110"/>
      <c r="I28" s="111">
        <f>SUM(C27:C29)</f>
        <v>0</v>
      </c>
      <c r="J28" s="5"/>
    </row>
    <row r="29" spans="1:10" ht="12.75" customHeight="1">
      <c r="A29" s="109" t="s">
        <v>293</v>
      </c>
      <c r="B29" s="110"/>
      <c r="C29" s="111">
        <f>SUM('Stavební rozpočet'!AB12:AB70)+(F22+I22+F23+I23+I24+I25)</f>
        <v>0</v>
      </c>
      <c r="D29" s="109" t="s">
        <v>294</v>
      </c>
      <c r="E29" s="110"/>
      <c r="F29" s="111">
        <f>ROUND(C29*(21/100),2)</f>
        <v>0</v>
      </c>
      <c r="G29" s="109" t="s">
        <v>295</v>
      </c>
      <c r="H29" s="110"/>
      <c r="I29" s="111">
        <f>SUM(F28:F29)+I28</f>
        <v>0</v>
      </c>
      <c r="J29" s="5"/>
    </row>
    <row r="30" spans="1:9" ht="12.75" customHeight="1">
      <c r="A30" s="113"/>
      <c r="B30" s="113"/>
      <c r="C30" s="113"/>
      <c r="D30" s="113"/>
      <c r="E30" s="113"/>
      <c r="F30" s="113"/>
      <c r="G30" s="113"/>
      <c r="H30" s="113"/>
      <c r="I30" s="113"/>
    </row>
    <row r="31" spans="1:10" ht="12.75" customHeight="1">
      <c r="A31" s="114" t="s">
        <v>296</v>
      </c>
      <c r="B31" s="72"/>
      <c r="C31" s="115"/>
      <c r="D31" s="114" t="s">
        <v>297</v>
      </c>
      <c r="E31" s="72"/>
      <c r="F31" s="115"/>
      <c r="G31" s="114" t="s">
        <v>298</v>
      </c>
      <c r="H31" s="72"/>
      <c r="I31" s="115"/>
      <c r="J31" s="37"/>
    </row>
    <row r="32" spans="1:10" ht="12.75" customHeight="1">
      <c r="A32" s="116"/>
      <c r="C32" s="117"/>
      <c r="D32" s="116"/>
      <c r="F32" s="117"/>
      <c r="G32" s="116"/>
      <c r="I32" s="117"/>
      <c r="J32" s="37"/>
    </row>
    <row r="33" spans="1:10" ht="12.75" customHeight="1">
      <c r="A33" s="116"/>
      <c r="C33" s="117"/>
      <c r="D33" s="116"/>
      <c r="F33" s="117"/>
      <c r="G33" s="116"/>
      <c r="I33" s="117"/>
      <c r="J33" s="37"/>
    </row>
    <row r="34" spans="1:10" ht="12.75" customHeight="1">
      <c r="A34" s="116"/>
      <c r="C34" s="117"/>
      <c r="D34" s="116"/>
      <c r="F34" s="117"/>
      <c r="G34" s="116"/>
      <c r="I34" s="117"/>
      <c r="J34" s="37"/>
    </row>
    <row r="35" spans="1:10" ht="12.75" customHeight="1">
      <c r="A35" s="118" t="s">
        <v>299</v>
      </c>
      <c r="B35" s="28"/>
      <c r="C35" s="119"/>
      <c r="D35" s="118" t="s">
        <v>299</v>
      </c>
      <c r="E35" s="28"/>
      <c r="F35" s="119"/>
      <c r="G35" s="118" t="s">
        <v>299</v>
      </c>
      <c r="H35" s="28"/>
      <c r="I35" s="119"/>
      <c r="J35" s="37"/>
    </row>
    <row r="36" spans="1:9" ht="10.5" customHeight="1">
      <c r="A36" s="120" t="s">
        <v>230</v>
      </c>
      <c r="B36" s="41"/>
      <c r="C36" s="41"/>
      <c r="D36" s="41"/>
      <c r="E36" s="41"/>
      <c r="F36" s="41"/>
      <c r="G36" s="41"/>
      <c r="H36" s="41"/>
      <c r="I36" s="41"/>
    </row>
    <row r="37" ht="409.5" customHeight="1" hidden="1">
      <c r="A37" s="2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3">
    <mergeCell ref="C4:D5"/>
    <mergeCell ref="C2:D3"/>
    <mergeCell ref="E2:E3"/>
    <mergeCell ref="F2:G3"/>
    <mergeCell ref="E4:E5"/>
    <mergeCell ref="F4:G5"/>
    <mergeCell ref="H4:H5"/>
    <mergeCell ref="I2:I3"/>
    <mergeCell ref="I4:I5"/>
    <mergeCell ref="H2:H3"/>
    <mergeCell ref="C1:I1"/>
    <mergeCell ref="A29:B29"/>
    <mergeCell ref="A22:B22"/>
    <mergeCell ref="D29:E29"/>
    <mergeCell ref="C6:D7"/>
    <mergeCell ref="C8:D9"/>
    <mergeCell ref="F8:G9"/>
    <mergeCell ref="C10:D11"/>
    <mergeCell ref="A6:B7"/>
    <mergeCell ref="D17:E17"/>
    <mergeCell ref="D19:E19"/>
    <mergeCell ref="E6:E7"/>
    <mergeCell ref="E8:E9"/>
    <mergeCell ref="F6:G7"/>
    <mergeCell ref="H6:H7"/>
    <mergeCell ref="I8:I9"/>
    <mergeCell ref="I6:I7"/>
    <mergeCell ref="I10:I11"/>
    <mergeCell ref="H10:H11"/>
    <mergeCell ref="H8:H9"/>
    <mergeCell ref="G18:H18"/>
    <mergeCell ref="G19:H19"/>
    <mergeCell ref="G17:H17"/>
    <mergeCell ref="G20:H20"/>
    <mergeCell ref="A34:C34"/>
    <mergeCell ref="D34:F34"/>
    <mergeCell ref="A32:C32"/>
    <mergeCell ref="D32:F32"/>
    <mergeCell ref="A31:C31"/>
    <mergeCell ref="A27:B27"/>
    <mergeCell ref="A28:B28"/>
    <mergeCell ref="D23:E23"/>
    <mergeCell ref="A37:I37"/>
    <mergeCell ref="G34:I34"/>
    <mergeCell ref="D35:F35"/>
    <mergeCell ref="A8:B9"/>
    <mergeCell ref="A10:B11"/>
    <mergeCell ref="A12:I12"/>
    <mergeCell ref="D20:E20"/>
    <mergeCell ref="D18:E18"/>
    <mergeCell ref="E10:E11"/>
    <mergeCell ref="F10:G11"/>
    <mergeCell ref="D15:E15"/>
    <mergeCell ref="D16:E16"/>
    <mergeCell ref="D21:E21"/>
    <mergeCell ref="D22:E22"/>
    <mergeCell ref="D14:E14"/>
    <mergeCell ref="A33:C33"/>
    <mergeCell ref="D33:F33"/>
    <mergeCell ref="G33:I33"/>
    <mergeCell ref="G32:I32"/>
    <mergeCell ref="G31:I31"/>
    <mergeCell ref="D31:F31"/>
    <mergeCell ref="G28:H28"/>
    <mergeCell ref="D28:E28"/>
    <mergeCell ref="G24:H24"/>
    <mergeCell ref="G25:H25"/>
    <mergeCell ref="A35:C35"/>
    <mergeCell ref="G35:I35"/>
    <mergeCell ref="G23:H23"/>
    <mergeCell ref="G29:H29"/>
    <mergeCell ref="G22:H22"/>
    <mergeCell ref="G21:H21"/>
    <mergeCell ref="A2:B3"/>
    <mergeCell ref="A4:B5"/>
    <mergeCell ref="A21:B21"/>
    <mergeCell ref="A20:B20"/>
    <mergeCell ref="H13:I13"/>
    <mergeCell ref="G14:H14"/>
    <mergeCell ref="B13:C13"/>
    <mergeCell ref="E13:F13"/>
    <mergeCell ref="G15:H15"/>
    <mergeCell ref="G16:H16"/>
  </mergeCells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J37"/>
  <sheetViews>
    <sheetView workbookViewId="0" topLeftCell="A1"/>
  </sheetViews>
  <sheetFormatPr defaultColWidth="14.421875" defaultRowHeight="15" customHeight="1"/>
  <cols>
    <col min="1" max="1" width="9.140625" style="0" customWidth="1"/>
    <col min="2" max="2" width="12.7109375" style="0" customWidth="1"/>
    <col min="3" max="3" width="22.8515625" style="0" customWidth="1"/>
    <col min="4" max="4" width="10.14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  <col min="10" max="10" width="11.57421875" style="0" customWidth="1"/>
    <col min="11" max="26" width="8.00390625" style="0" customWidth="1"/>
  </cols>
  <sheetData>
    <row r="1" spans="1:9" ht="72.75" customHeight="1">
      <c r="A1" s="82"/>
      <c r="B1" s="83"/>
      <c r="C1" s="84" t="s">
        <v>301</v>
      </c>
      <c r="D1" s="4"/>
      <c r="E1" s="4"/>
      <c r="F1" s="4"/>
      <c r="G1" s="4"/>
      <c r="H1" s="4"/>
      <c r="I1" s="4"/>
    </row>
    <row r="2" spans="1:10" ht="12.75" customHeight="1">
      <c r="A2" s="7" t="s">
        <v>14</v>
      </c>
      <c r="B2" s="8"/>
      <c r="C2" s="10" t="s">
        <v>19</v>
      </c>
      <c r="D2" s="8"/>
      <c r="E2" s="11" t="s">
        <v>20</v>
      </c>
      <c r="F2" s="11" t="s">
        <v>21</v>
      </c>
      <c r="G2" s="8"/>
      <c r="H2" s="11" t="s">
        <v>251</v>
      </c>
      <c r="I2" s="87"/>
      <c r="J2" s="5"/>
    </row>
    <row r="3" spans="1:10" ht="12.75" customHeight="1">
      <c r="A3" s="19"/>
      <c r="I3" s="22"/>
      <c r="J3" s="5"/>
    </row>
    <row r="4" spans="1:10" ht="12.75" customHeight="1">
      <c r="A4" s="24" t="s">
        <v>31</v>
      </c>
      <c r="C4" s="25" t="s">
        <v>35</v>
      </c>
      <c r="E4" s="25" t="s">
        <v>36</v>
      </c>
      <c r="F4" s="25"/>
      <c r="H4" s="25" t="s">
        <v>251</v>
      </c>
      <c r="I4" s="88"/>
      <c r="J4" s="5"/>
    </row>
    <row r="5" spans="1:10" ht="12.75" customHeight="1">
      <c r="A5" s="19"/>
      <c r="I5" s="22"/>
      <c r="J5" s="5"/>
    </row>
    <row r="6" spans="1:10" ht="12.75" customHeight="1">
      <c r="A6" s="24" t="s">
        <v>41</v>
      </c>
      <c r="C6" s="25" t="s">
        <v>42</v>
      </c>
      <c r="E6" s="25" t="s">
        <v>43</v>
      </c>
      <c r="F6" s="25"/>
      <c r="H6" s="25" t="s">
        <v>251</v>
      </c>
      <c r="I6" s="88"/>
      <c r="J6" s="5"/>
    </row>
    <row r="7" spans="1:10" ht="12.75" customHeight="1">
      <c r="A7" s="19"/>
      <c r="I7" s="22"/>
      <c r="J7" s="5"/>
    </row>
    <row r="8" spans="1:10" ht="12.75" customHeight="1">
      <c r="A8" s="24" t="s">
        <v>37</v>
      </c>
      <c r="C8" s="14" t="s">
        <v>15</v>
      </c>
      <c r="E8" s="25" t="s">
        <v>44</v>
      </c>
      <c r="F8" s="26">
        <v>43707</v>
      </c>
      <c r="H8" s="14" t="s">
        <v>252</v>
      </c>
      <c r="I8" s="88" t="s">
        <v>227</v>
      </c>
      <c r="J8" s="5"/>
    </row>
    <row r="9" spans="1:10" ht="12.75" customHeight="1">
      <c r="A9" s="19"/>
      <c r="I9" s="22"/>
      <c r="J9" s="5"/>
    </row>
    <row r="10" spans="1:10" ht="12.75" customHeight="1">
      <c r="A10" s="24" t="s">
        <v>53</v>
      </c>
      <c r="C10" s="25"/>
      <c r="E10" s="25" t="s">
        <v>47</v>
      </c>
      <c r="F10" s="25"/>
      <c r="H10" s="14" t="s">
        <v>254</v>
      </c>
      <c r="I10" s="89">
        <v>43607</v>
      </c>
      <c r="J10" s="5"/>
    </row>
    <row r="11" spans="1:10" ht="12.75" customHeight="1">
      <c r="A11" s="90"/>
      <c r="B11" s="4"/>
      <c r="C11" s="4"/>
      <c r="D11" s="4"/>
      <c r="E11" s="4"/>
      <c r="F11" s="4"/>
      <c r="G11" s="4"/>
      <c r="H11" s="4"/>
      <c r="I11" s="91"/>
      <c r="J11" s="5"/>
    </row>
    <row r="12" spans="1:9" ht="12.75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ht="12.75" customHeight="1">
      <c r="A13" s="121" t="s">
        <v>302</v>
      </c>
      <c r="B13" s="28"/>
      <c r="C13" s="28"/>
      <c r="D13" s="28"/>
      <c r="E13" s="28"/>
      <c r="F13" s="122"/>
      <c r="G13" s="122"/>
      <c r="H13" s="122"/>
      <c r="I13" s="122"/>
    </row>
    <row r="14" spans="1:10" ht="12.75" customHeight="1">
      <c r="A14" s="123" t="s">
        <v>303</v>
      </c>
      <c r="B14" s="42"/>
      <c r="C14" s="42"/>
      <c r="D14" s="42"/>
      <c r="E14" s="44"/>
      <c r="F14" s="124" t="s">
        <v>304</v>
      </c>
      <c r="G14" s="124" t="s">
        <v>305</v>
      </c>
      <c r="H14" s="124" t="s">
        <v>306</v>
      </c>
      <c r="I14" s="124" t="s">
        <v>304</v>
      </c>
      <c r="J14" s="37"/>
    </row>
    <row r="15" spans="1:10" ht="12.75" customHeight="1">
      <c r="A15" s="125" t="s">
        <v>265</v>
      </c>
      <c r="B15" s="93"/>
      <c r="C15" s="93"/>
      <c r="D15" s="93"/>
      <c r="E15" s="96"/>
      <c r="F15" s="126">
        <v>0</v>
      </c>
      <c r="G15" s="127"/>
      <c r="H15" s="127"/>
      <c r="I15" s="126">
        <f aca="true" t="shared" si="0" ref="I15:I17">F15</f>
        <v>0</v>
      </c>
      <c r="J15" s="5"/>
    </row>
    <row r="16" spans="1:10" ht="12.75" customHeight="1">
      <c r="A16" s="125" t="s">
        <v>267</v>
      </c>
      <c r="B16" s="93"/>
      <c r="C16" s="93"/>
      <c r="D16" s="93"/>
      <c r="E16" s="96"/>
      <c r="F16" s="126">
        <v>0</v>
      </c>
      <c r="G16" s="127"/>
      <c r="H16" s="127"/>
      <c r="I16" s="126">
        <f t="shared" si="0"/>
        <v>0</v>
      </c>
      <c r="J16" s="5"/>
    </row>
    <row r="17" spans="1:10" ht="12.75" customHeight="1">
      <c r="A17" s="128" t="s">
        <v>270</v>
      </c>
      <c r="B17" s="129"/>
      <c r="C17" s="129"/>
      <c r="D17" s="129"/>
      <c r="E17" s="130"/>
      <c r="F17" s="131">
        <v>0</v>
      </c>
      <c r="G17" s="132"/>
      <c r="H17" s="132"/>
      <c r="I17" s="131">
        <f t="shared" si="0"/>
        <v>0</v>
      </c>
      <c r="J17" s="5"/>
    </row>
    <row r="18" spans="1:10" ht="12.75" customHeight="1">
      <c r="A18" s="133" t="s">
        <v>309</v>
      </c>
      <c r="B18" s="69"/>
      <c r="C18" s="69"/>
      <c r="D18" s="69"/>
      <c r="E18" s="70"/>
      <c r="F18" s="1"/>
      <c r="G18" s="134"/>
      <c r="H18" s="134"/>
      <c r="I18" s="135">
        <f>SUM(I15:I17)</f>
        <v>0</v>
      </c>
      <c r="J18" s="37"/>
    </row>
    <row r="19" spans="1:9" ht="12.75" customHeight="1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10" ht="12.75" customHeight="1">
      <c r="A20" s="123" t="s">
        <v>261</v>
      </c>
      <c r="B20" s="42"/>
      <c r="C20" s="42"/>
      <c r="D20" s="42"/>
      <c r="E20" s="44"/>
      <c r="F20" s="124" t="s">
        <v>304</v>
      </c>
      <c r="G20" s="124" t="s">
        <v>305</v>
      </c>
      <c r="H20" s="124" t="s">
        <v>306</v>
      </c>
      <c r="I20" s="124" t="s">
        <v>304</v>
      </c>
      <c r="J20" s="37"/>
    </row>
    <row r="21" spans="1:10" ht="12.75" customHeight="1">
      <c r="A21" s="125" t="s">
        <v>266</v>
      </c>
      <c r="B21" s="93"/>
      <c r="C21" s="93"/>
      <c r="D21" s="93"/>
      <c r="E21" s="96"/>
      <c r="F21" s="127"/>
      <c r="G21" s="126">
        <v>3.25</v>
      </c>
      <c r="H21" s="126">
        <f>'Krycí list rozpočtu'!C22</f>
        <v>0</v>
      </c>
      <c r="I21" s="126">
        <f>(G21/100)*H21</f>
        <v>0</v>
      </c>
      <c r="J21" s="5"/>
    </row>
    <row r="22" spans="1:10" ht="12.75" customHeight="1">
      <c r="A22" s="125" t="s">
        <v>268</v>
      </c>
      <c r="B22" s="93"/>
      <c r="C22" s="93"/>
      <c r="D22" s="93"/>
      <c r="E22" s="96"/>
      <c r="F22" s="126">
        <v>0</v>
      </c>
      <c r="G22" s="127"/>
      <c r="H22" s="127"/>
      <c r="I22" s="126">
        <f aca="true" t="shared" si="1" ref="I22:I26">F22</f>
        <v>0</v>
      </c>
      <c r="J22" s="5"/>
    </row>
    <row r="23" spans="1:10" ht="12.75" customHeight="1">
      <c r="A23" s="125" t="s">
        <v>271</v>
      </c>
      <c r="B23" s="93"/>
      <c r="C23" s="93"/>
      <c r="D23" s="93"/>
      <c r="E23" s="96"/>
      <c r="F23" s="126">
        <v>0</v>
      </c>
      <c r="G23" s="127"/>
      <c r="H23" s="127"/>
      <c r="I23" s="126">
        <f t="shared" si="1"/>
        <v>0</v>
      </c>
      <c r="J23" s="5"/>
    </row>
    <row r="24" spans="1:10" ht="12.75" customHeight="1">
      <c r="A24" s="125" t="s">
        <v>272</v>
      </c>
      <c r="B24" s="93"/>
      <c r="C24" s="93"/>
      <c r="D24" s="93"/>
      <c r="E24" s="96"/>
      <c r="F24" s="126">
        <v>0</v>
      </c>
      <c r="G24" s="127"/>
      <c r="H24" s="127"/>
      <c r="I24" s="126">
        <f t="shared" si="1"/>
        <v>0</v>
      </c>
      <c r="J24" s="5"/>
    </row>
    <row r="25" spans="1:10" ht="12.75" customHeight="1">
      <c r="A25" s="125" t="s">
        <v>274</v>
      </c>
      <c r="B25" s="93"/>
      <c r="C25" s="93"/>
      <c r="D25" s="93"/>
      <c r="E25" s="96"/>
      <c r="F25" s="126">
        <v>0</v>
      </c>
      <c r="G25" s="127"/>
      <c r="H25" s="127"/>
      <c r="I25" s="126">
        <f t="shared" si="1"/>
        <v>0</v>
      </c>
      <c r="J25" s="5"/>
    </row>
    <row r="26" spans="1:10" ht="12.75" customHeight="1">
      <c r="A26" s="128" t="s">
        <v>275</v>
      </c>
      <c r="B26" s="129"/>
      <c r="C26" s="129"/>
      <c r="D26" s="129"/>
      <c r="E26" s="130"/>
      <c r="F26" s="131">
        <v>0</v>
      </c>
      <c r="G26" s="132"/>
      <c r="H26" s="132"/>
      <c r="I26" s="131">
        <f t="shared" si="1"/>
        <v>0</v>
      </c>
      <c r="J26" s="5"/>
    </row>
    <row r="27" spans="1:10" ht="12.75" customHeight="1">
      <c r="A27" s="133" t="s">
        <v>310</v>
      </c>
      <c r="B27" s="69"/>
      <c r="C27" s="69"/>
      <c r="D27" s="69"/>
      <c r="E27" s="70"/>
      <c r="F27" s="1"/>
      <c r="G27" s="134"/>
      <c r="H27" s="134"/>
      <c r="I27" s="135">
        <f>SUM(I21:I26)</f>
        <v>0</v>
      </c>
      <c r="J27" s="37"/>
    </row>
    <row r="28" spans="1:9" ht="12.75" customHeight="1">
      <c r="A28" s="136"/>
      <c r="B28" s="136"/>
      <c r="C28" s="136"/>
      <c r="D28" s="136"/>
      <c r="E28" s="136"/>
      <c r="F28" s="136"/>
      <c r="G28" s="136"/>
      <c r="H28" s="136"/>
      <c r="I28" s="136"/>
    </row>
    <row r="29" spans="1:10" ht="12.75" customHeight="1">
      <c r="A29" s="137" t="s">
        <v>311</v>
      </c>
      <c r="B29" s="69"/>
      <c r="C29" s="69"/>
      <c r="D29" s="69"/>
      <c r="E29" s="70"/>
      <c r="F29" s="138">
        <f>I18+I27</f>
        <v>0</v>
      </c>
      <c r="G29" s="69"/>
      <c r="H29" s="69"/>
      <c r="I29" s="70"/>
      <c r="J29" s="37"/>
    </row>
    <row r="30" spans="1:9" ht="12.75" customHeight="1">
      <c r="A30" s="41"/>
      <c r="B30" s="41"/>
      <c r="C30" s="41"/>
      <c r="D30" s="41"/>
      <c r="E30" s="41"/>
      <c r="F30" s="41"/>
      <c r="G30" s="41"/>
      <c r="H30" s="41"/>
      <c r="I30" s="41"/>
    </row>
    <row r="31" ht="12.75" customHeight="1"/>
    <row r="32" ht="12.75" customHeight="1"/>
    <row r="33" spans="1:9" ht="12.75" customHeight="1">
      <c r="A33" s="121" t="s">
        <v>313</v>
      </c>
      <c r="B33" s="28"/>
      <c r="C33" s="28"/>
      <c r="D33" s="28"/>
      <c r="E33" s="28"/>
      <c r="F33" s="122"/>
      <c r="G33" s="122"/>
      <c r="H33" s="122"/>
      <c r="I33" s="122"/>
    </row>
    <row r="34" spans="1:10" ht="12.75" customHeight="1">
      <c r="A34" s="123" t="s">
        <v>314</v>
      </c>
      <c r="B34" s="42"/>
      <c r="C34" s="42"/>
      <c r="D34" s="42"/>
      <c r="E34" s="44"/>
      <c r="F34" s="124" t="s">
        <v>304</v>
      </c>
      <c r="G34" s="124" t="s">
        <v>305</v>
      </c>
      <c r="H34" s="124" t="s">
        <v>306</v>
      </c>
      <c r="I34" s="124" t="s">
        <v>304</v>
      </c>
      <c r="J34" s="37"/>
    </row>
    <row r="35" spans="1:10" ht="12.75" customHeight="1">
      <c r="A35" s="128"/>
      <c r="B35" s="129"/>
      <c r="C35" s="129"/>
      <c r="D35" s="129"/>
      <c r="E35" s="130"/>
      <c r="F35" s="131">
        <v>0</v>
      </c>
      <c r="G35" s="132"/>
      <c r="H35" s="132"/>
      <c r="I35" s="131">
        <f>F35</f>
        <v>0</v>
      </c>
      <c r="J35" s="5"/>
    </row>
    <row r="36" spans="1:10" ht="12.75" customHeight="1">
      <c r="A36" s="133" t="s">
        <v>315</v>
      </c>
      <c r="B36" s="69"/>
      <c r="C36" s="69"/>
      <c r="D36" s="69"/>
      <c r="E36" s="70"/>
      <c r="F36" s="1"/>
      <c r="G36" s="134"/>
      <c r="H36" s="134"/>
      <c r="I36" s="135">
        <f>SUM(I35)</f>
        <v>0</v>
      </c>
      <c r="J36" s="37"/>
    </row>
    <row r="37" spans="1:9" ht="12.75" customHeight="1">
      <c r="A37" s="41"/>
      <c r="B37" s="41"/>
      <c r="C37" s="41"/>
      <c r="D37" s="41"/>
      <c r="E37" s="41"/>
      <c r="F37" s="41"/>
      <c r="G37" s="41"/>
      <c r="H37" s="41"/>
      <c r="I37" s="41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1">
    <mergeCell ref="A17:E17"/>
    <mergeCell ref="A23:E23"/>
    <mergeCell ref="A20:E20"/>
    <mergeCell ref="A18:E18"/>
    <mergeCell ref="F6:G7"/>
    <mergeCell ref="F10:G11"/>
    <mergeCell ref="H6:H7"/>
    <mergeCell ref="H10:H11"/>
    <mergeCell ref="E8:E9"/>
    <mergeCell ref="A10:B11"/>
    <mergeCell ref="E10:E11"/>
    <mergeCell ref="C10:D11"/>
    <mergeCell ref="I8:I9"/>
    <mergeCell ref="I10:I11"/>
    <mergeCell ref="A13:E13"/>
    <mergeCell ref="A14:E14"/>
    <mergeCell ref="F29:I29"/>
    <mergeCell ref="A29:E29"/>
    <mergeCell ref="A33:E33"/>
    <mergeCell ref="E6:E7"/>
    <mergeCell ref="A24:E24"/>
    <mergeCell ref="A27:E27"/>
    <mergeCell ref="I6:I7"/>
    <mergeCell ref="I2:I3"/>
    <mergeCell ref="I4:I5"/>
    <mergeCell ref="F8:G9"/>
    <mergeCell ref="H8:H9"/>
    <mergeCell ref="F2:G3"/>
    <mergeCell ref="F4:G5"/>
    <mergeCell ref="C1:I1"/>
    <mergeCell ref="E4:E5"/>
    <mergeCell ref="H2:H3"/>
    <mergeCell ref="H4:H5"/>
    <mergeCell ref="A8:B9"/>
    <mergeCell ref="C8:D9"/>
    <mergeCell ref="C6:D7"/>
    <mergeCell ref="A6:B7"/>
    <mergeCell ref="A4:B5"/>
    <mergeCell ref="C4:D5"/>
    <mergeCell ref="A21:E21"/>
    <mergeCell ref="A22:E22"/>
    <mergeCell ref="A15:E15"/>
    <mergeCell ref="A16:E16"/>
    <mergeCell ref="A34:E34"/>
    <mergeCell ref="A35:E35"/>
    <mergeCell ref="A36:E36"/>
    <mergeCell ref="A25:E25"/>
    <mergeCell ref="A26:E26"/>
    <mergeCell ref="C2:D3"/>
    <mergeCell ref="E2:E3"/>
    <mergeCell ref="A2:B3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