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30" yWindow="0" windowWidth="17190" windowHeight="12690" tabRatio="1000" activeTab="0"/>
  </bookViews>
  <sheets>
    <sheet name="Krycí_list_rozpoctu" sheetId="2" r:id="rId1"/>
    <sheet name="Objekt_A" sheetId="1" r:id="rId2"/>
    <sheet name="Objekt_B_1" sheetId="3" r:id="rId3"/>
    <sheet name="Objekt_B_2" sheetId="4" r:id="rId4"/>
    <sheet name="Objekt_C_1" sheetId="5" r:id="rId5"/>
    <sheet name="Objekt_C_2" sheetId="6" r:id="rId6"/>
    <sheet name="Objekt_D_1" sheetId="7" r:id="rId7"/>
    <sheet name="Objekt_D_2" sheetId="8" r:id="rId8"/>
    <sheet name="Objekt_E" sheetId="9" r:id="rId9"/>
    <sheet name="Hromosvod" sheetId="12" r:id="rId10"/>
    <sheet name="REVIZE_1_STAVBA" sheetId="13" r:id="rId11"/>
    <sheet name="REVIZE_2_STAVBA " sheetId="15" r:id="rId12"/>
    <sheet name="Rekuperace_stavba" sheetId="14" r:id="rId13"/>
    <sheet name="Rekuperace_VZT" sheetId="16" r:id="rId14"/>
    <sheet name="Rekuperace_ZTI" sheetId="17" r:id="rId15"/>
    <sheet name="Rekuperace_elektro" sheetId="18" r:id="rId16"/>
    <sheet name="16_Vedlejší rozpočtové náklady" sheetId="19" r:id="rId17"/>
  </sheets>
  <definedNames>
    <definedName name="_xlnm.Print_Area" localSheetId="9">'Hromosvod'!$A$1:$J$58</definedName>
    <definedName name="_xlnm.Print_Area" localSheetId="0">'Krycí_list_rozpoctu'!$A$1:$S$61</definedName>
    <definedName name="_xlnm.Print_Area" localSheetId="1">'Objekt_A'!$A$1:$J$728</definedName>
    <definedName name="_xlnm.Print_Area" localSheetId="2">'Objekt_B_1'!$A$1:$J$302</definedName>
    <definedName name="_xlnm.Print_Area" localSheetId="3">'Objekt_B_2'!$A$1:$J$282</definedName>
    <definedName name="_xlnm.Print_Area" localSheetId="4">'Objekt_C_1'!$A$1:$J$419</definedName>
    <definedName name="_xlnm.Print_Area" localSheetId="5">'Objekt_C_2'!$A$1:$J$391</definedName>
    <definedName name="_xlnm.Print_Area" localSheetId="6">'Objekt_D_1'!$A$1:$J$391</definedName>
    <definedName name="_xlnm.Print_Area" localSheetId="7">'Objekt_D_2'!$A$1:$J$407</definedName>
    <definedName name="_xlnm.Print_Area" localSheetId="8">'Objekt_E'!$A$1:$J$269</definedName>
    <definedName name="_xlnm.Print_Area" localSheetId="15">'Rekuperace_elektro'!$A$1:$J$62</definedName>
    <definedName name="_xlnm.Print_Area" localSheetId="12">'Rekuperace_stavba'!$A$1:$J$508</definedName>
    <definedName name="_xlnm.Print_Area" localSheetId="13">'Rekuperace_VZT'!$A$1:$J$155</definedName>
    <definedName name="_xlnm.Print_Area" localSheetId="14">'Rekuperace_ZTI'!$A$1:$J$65</definedName>
    <definedName name="_xlnm.Print_Area" localSheetId="10">'REVIZE_1_STAVBA'!$A$1:$J$122</definedName>
    <definedName name="_xlnm.Print_Area" localSheetId="11">'REVIZE_2_STAVBA '!$A$1:$J$21</definedName>
    <definedName name="_xlnm.Print_Titles" localSheetId="1">'Objekt_A'!$1:$16</definedName>
    <definedName name="_xlnm.Print_Titles" localSheetId="2">'Objekt_B_1'!$1:$16</definedName>
    <definedName name="_xlnm.Print_Titles" localSheetId="3">'Objekt_B_2'!$1:$16</definedName>
    <definedName name="_xlnm.Print_Titles" localSheetId="4">'Objekt_C_1'!$1:$16</definedName>
    <definedName name="_xlnm.Print_Titles" localSheetId="5">'Objekt_C_2'!$1:$16</definedName>
    <definedName name="_xlnm.Print_Titles" localSheetId="6">'Objekt_D_1'!$1:$16</definedName>
    <definedName name="_xlnm.Print_Titles" localSheetId="7">'Objekt_D_2'!$1:$16</definedName>
    <definedName name="_xlnm.Print_Titles" localSheetId="8">'Objekt_E'!$1:$16</definedName>
    <definedName name="_xlnm.Print_Titles" localSheetId="9">'Hromosvod'!$10:$13</definedName>
    <definedName name="_xlnm.Print_Titles" localSheetId="10">'REVIZE_1_STAVBA'!$1:$13</definedName>
    <definedName name="_xlnm.Print_Titles" localSheetId="11">'REVIZE_2_STAVBA '!$1:$13</definedName>
    <definedName name="_xlnm.Print_Titles" localSheetId="12">'Rekuperace_stavba'!$1:$13</definedName>
    <definedName name="_xlnm.Print_Titles" localSheetId="13">'Rekuperace_VZT'!$1:$14</definedName>
    <definedName name="_xlnm.Print_Titles" localSheetId="14">'Rekuperace_ZTI'!$1:$13</definedName>
    <definedName name="_xlnm.Print_Titles" localSheetId="15">'Rekuperace_elektro'!$1:$13</definedName>
  </definedNames>
  <calcPr calcId="152511"/>
</workbook>
</file>

<file path=xl/sharedStrings.xml><?xml version="1.0" encoding="utf-8"?>
<sst xmlns="http://schemas.openxmlformats.org/spreadsheetml/2006/main" count="12804" uniqueCount="3010">
  <si>
    <t>Dodávka a montáž konzol pro uchycení VZT jednotky  z ocel.profilů</t>
  </si>
  <si>
    <t>2x L65/50/5 mm,  dl.1350 mm
2x táhlo 25/4 mm, dl. 800 mm
2x kotevní plech 150/100/8 mm
2x 2 M12 8.8 + chem.kotvy HILTY HIT HY 50</t>
  </si>
  <si>
    <t>4.NP    4.4</t>
  </si>
  <si>
    <t>1.13</t>
  </si>
  <si>
    <t>275 32-1321.R00</t>
  </si>
  <si>
    <t>Železobeton základových patek C 16/20  tl.150 mm</t>
  </si>
  <si>
    <t>2,0*0,6*4,0*0,15</t>
  </si>
  <si>
    <t>1.14</t>
  </si>
  <si>
    <t>275 36-1921.RT9</t>
  </si>
  <si>
    <t>Výztuž základových patek ze svařovaných sítí  
 průměr drátu 8,0, oka 150/150 mm</t>
  </si>
  <si>
    <t>2,0*0,6*4,0*0,00548</t>
  </si>
  <si>
    <t>1.15</t>
  </si>
  <si>
    <t>568 11-1111.R00</t>
  </si>
  <si>
    <t xml:space="preserve">Zřízení vrstvy z geotextilie skl.do 1:5, š. do 3 m </t>
  </si>
  <si>
    <t>2,0*0,6*4,0*1,1</t>
  </si>
  <si>
    <t>1.16</t>
  </si>
  <si>
    <t>693-66199</t>
  </si>
  <si>
    <t>Geotextilie FILTEK 500 g/m2 š. 200cm 100% PP</t>
  </si>
  <si>
    <t>2,0*0,6*4,0*1,15</t>
  </si>
  <si>
    <t>612 40-3388.R00</t>
  </si>
  <si>
    <t xml:space="preserve"> Hrubá výplň rýh ve stěnách do 15x15cm maltou z SMS </t>
  </si>
  <si>
    <t>2*0,8</t>
  </si>
  <si>
    <t>2*0,7*2</t>
  </si>
  <si>
    <t>2*1,3</t>
  </si>
  <si>
    <t>2*1,15</t>
  </si>
  <si>
    <t>2*0,8+2*1,15</t>
  </si>
  <si>
    <t>2*0,7*2+1,15*2</t>
  </si>
  <si>
    <t>2*1,1</t>
  </si>
  <si>
    <t>2*1,25</t>
  </si>
  <si>
    <t>2*1,2+2*1,15*2</t>
  </si>
  <si>
    <t>2*0,6</t>
  </si>
  <si>
    <t>2*0,65</t>
  </si>
  <si>
    <t>2*1,25+2*1,1</t>
  </si>
  <si>
    <t>4*1,2*2+4*1,25*2+1,2*2</t>
  </si>
  <si>
    <t>1,2*2*3+1,2*2</t>
  </si>
  <si>
    <t>2*1,1+2*0,8+2*1,2+2*1,15</t>
  </si>
  <si>
    <t>6*1,2</t>
  </si>
  <si>
    <t>0,6*2+1,8*2*2+1,1*2</t>
  </si>
  <si>
    <t>0,6*2*4</t>
  </si>
  <si>
    <t>612 42-3531.R00</t>
  </si>
  <si>
    <t>Omítka rýh stěn MV o šířce do 15 cm, štuková</t>
  </si>
  <si>
    <t>2*0,8*0,15</t>
  </si>
  <si>
    <t>2*0,7*0,15*2</t>
  </si>
  <si>
    <t>2*1,3*0,15</t>
  </si>
  <si>
    <t>2*1,15*0,15</t>
  </si>
  <si>
    <t>2*0,8*0,15+2*1,15*0,15</t>
  </si>
  <si>
    <t>2*0,7*0,15+1,15*2*0,15</t>
  </si>
  <si>
    <t>2*1,1*0,15</t>
  </si>
  <si>
    <t>4*1,25*0,15</t>
  </si>
  <si>
    <t>2*1,2*0,15+2*1,15*2*0,15</t>
  </si>
  <si>
    <t>2*0,6*0,15</t>
  </si>
  <si>
    <t>2*1,25*0,15+2*1,1*0,15</t>
  </si>
  <si>
    <t>(4*1,2*2+4*1,25*2+1,2*2)*0,15</t>
  </si>
  <si>
    <t>(1,2*2*3+1,2*2)*0,15</t>
  </si>
  <si>
    <t>(2*1,1+2*0,8+2*1,2+2*1,15)*0,15</t>
  </si>
  <si>
    <t>6*1,2*0,15</t>
  </si>
  <si>
    <t>1*2*0,15</t>
  </si>
  <si>
    <t>(0,6*2+1,8*2*2+1,1*2)*0,15</t>
  </si>
  <si>
    <t>0,6*2*4*0,15</t>
  </si>
  <si>
    <t>612 40-1191.RT2</t>
  </si>
  <si>
    <t xml:space="preserve">Omítka malých ploch vnitřních stěn do 0,09 m2  s použitím suché maltové směsi </t>
  </si>
  <si>
    <t>2.NP    2.2</t>
  </si>
  <si>
    <t>2+2*2</t>
  </si>
  <si>
    <t>4+2</t>
  </si>
  <si>
    <t>2*4</t>
  </si>
  <si>
    <t>3*2*2</t>
  </si>
  <si>
    <t>1*2*2</t>
  </si>
  <si>
    <t>612 40-1291.RT2</t>
  </si>
  <si>
    <t xml:space="preserve">Omítka malých ploch vnitřních stěn do 0,25 m2  s použitím suché maltové směsi </t>
  </si>
  <si>
    <t>prostupy ZTI,kabely</t>
  </si>
  <si>
    <t>342 26-7111.R</t>
  </si>
  <si>
    <t>Obklad potrubí sádrokartonem pod stropem  desky standard tl. 12,5 mm</t>
  </si>
  <si>
    <t>(4,36+8,29)*1,555+0,55*1,0*2</t>
  </si>
  <si>
    <t>7,89*1,45+6,91*1,54+0,45*1,0+0,54*1,0</t>
  </si>
  <si>
    <t>3,565*1,45+(6,51+0,45)*1,545+0,45*1+0,545*1,0</t>
  </si>
  <si>
    <t>3,79*2,71+2,5*2,48+1,5*1,5</t>
  </si>
  <si>
    <t>6,68+4,2*1,5+3,4*1,0</t>
  </si>
  <si>
    <t>3,975*1,545+0,545*0,445+7,245*1,445+0,545*1,0+0,445*1,0</t>
  </si>
  <si>
    <t>1,495*2,09+4,2*2,515</t>
  </si>
  <si>
    <t>2.NP    2.3</t>
  </si>
  <si>
    <t>8,035*1,6+2,06*1,5+0,6*1,0+0,6*0,5+0,5*1,0</t>
  </si>
  <si>
    <t>10,64*1,8+3,92*1,6+0,6*1,0+0,8*0,6</t>
  </si>
  <si>
    <t>2,85*2,205</t>
  </si>
  <si>
    <t>2,8*2,005+2,8*1,0</t>
  </si>
  <si>
    <t>4,35*1,5+9,06*1,8+0,8*0,5+0,5*1,0+0,8*1,0</t>
  </si>
  <si>
    <t>4,325*2,8+2,8*1,5*2</t>
  </si>
  <si>
    <t>4,86*1,5+0,5*1+0,5*0,8+8,25*1,8+0,8*1,0</t>
  </si>
  <si>
    <t>1,735*2,755+1,255*1,265+3,635*2,765+0,815*2,08</t>
  </si>
  <si>
    <t>4,59*1,52+1,0*0,52+0,52*0,79+7,615*1,79+1,0*0,79</t>
  </si>
  <si>
    <t>1,95*2,485+2,5*1,5+1,305*0,985+3,79*2,805</t>
  </si>
  <si>
    <t>2.NP   2.8</t>
  </si>
  <si>
    <t>6,45*1,6+0,6*0,5+3,495*1,5+0,6*1,0+0,5*1,0</t>
  </si>
  <si>
    <t>3.NP   chodba</t>
  </si>
  <si>
    <t>2,95*2,52+4,655*2,75</t>
  </si>
  <si>
    <t>3.NP   3.2</t>
  </si>
  <si>
    <t>11,45*1,6+4,23*1,6+0,6*1,0+0,6*0,6</t>
  </si>
  <si>
    <t>(4,7+1,5)*2,8+0,1*4</t>
  </si>
  <si>
    <t>3.NP    3.3</t>
  </si>
  <si>
    <t>8,9*1,75+0,75*1,0+5,0*0,4+0,75*0,4</t>
  </si>
  <si>
    <t>3.NP    3.4</t>
  </si>
  <si>
    <t>3,5*1,45+10,6*0,78+0,78*0,45</t>
  </si>
  <si>
    <t>3.NP    3.5</t>
  </si>
  <si>
    <t>4,95*1,45+9,0*1,75+0,75*0,45</t>
  </si>
  <si>
    <t>7,9*2,8+6,2*2,8</t>
  </si>
  <si>
    <t>3.NP    3.6</t>
  </si>
  <si>
    <t>11,5*1,5+3,0*1,6+0,6*1,0+0,6*0,5</t>
  </si>
  <si>
    <t>4.NP    4.1</t>
  </si>
  <si>
    <t>0,75*1,0+9,75*1,75+0,5*1,0+3,05*1,5+0,75*0,5</t>
  </si>
  <si>
    <t>1,55*3,3+0,55*1,0+2,05*7,5+0,55*1,05+4,8*1,5+1,05*0,5</t>
  </si>
  <si>
    <t>4.NP    4.3</t>
  </si>
  <si>
    <t>1,6*3,6+0,6*1,0+5,1*1,75+0,75*0,6</t>
  </si>
  <si>
    <t>1,7*7,5+2,3*2,7+1,0*1,6</t>
  </si>
  <si>
    <t>4.NP    4.5</t>
  </si>
  <si>
    <t>1,6*3,6+0,6*1,0+10,7*1,75+0,75*0,6</t>
  </si>
  <si>
    <t>1,6*3,6+0,6*1,0+8,1*1,75+0,75*0,6+0,75*1,0</t>
  </si>
  <si>
    <t>4.NP    4.7</t>
  </si>
  <si>
    <t>1,5*4,9+0,5*1,0+4,4*2,02+0,5*1,02+1,6*3,3+1,02*0,6+0,6*1,0</t>
  </si>
  <si>
    <t>1,8*11,6+1,5*3,0+0,5*1,0+0,5*0,6</t>
  </si>
  <si>
    <t>4,3*2,8+7,3*2,8+2,2*0,9+4,0*1,0</t>
  </si>
  <si>
    <t>612 40-9991.RT2</t>
  </si>
  <si>
    <t xml:space="preserve">Začištění omítek kolem oken,dveří apod.
 s použitím suché maltové směsi </t>
  </si>
  <si>
    <t>2*(0,8+0,4)+2*(0,8+0,4)+0,8+0,4+0,15*2</t>
  </si>
  <si>
    <t>2*0,3*4*2</t>
  </si>
  <si>
    <t>2*(0,4+0,8)+0,8+0,4+0,15*2</t>
  </si>
  <si>
    <t>2*(0,78+0,33)+1,1+0,32+0,15*2</t>
  </si>
  <si>
    <t>1,2*2*2+3,4*1,0+2*(0,38+0,8)+0,85+0,52+0,15*2</t>
  </si>
  <si>
    <t>0,3*4*2</t>
  </si>
  <si>
    <t>0,75*0,3*2+0,8*2+0,38+0,32+0,75*0,3*2+0,8*2+0,38+0,32</t>
  </si>
  <si>
    <t>(2*0,3+0,75)*2</t>
  </si>
  <si>
    <t>4*1,2*2</t>
  </si>
  <si>
    <t>1,2*2</t>
  </si>
  <si>
    <t>1,2*4</t>
  </si>
  <si>
    <t>2+(0,8+0,4)*2*3</t>
  </si>
  <si>
    <t>1,2*2*4</t>
  </si>
  <si>
    <t>0,83*2+0,3*2*2+0,78*2+0,33*2</t>
  </si>
  <si>
    <t>0,83*2+0,35*4</t>
  </si>
  <si>
    <t>(0,83*2+0,35*4)*6</t>
  </si>
  <si>
    <t>4*1,2</t>
  </si>
  <si>
    <t>6*0,8*2+6*0,5*4</t>
  </si>
  <si>
    <t>4*0,6*4+4*0,8*4</t>
  </si>
  <si>
    <t>784 19-1101.R00</t>
  </si>
  <si>
    <t>Penetrace podkladu univerzální Primalex 1x</t>
  </si>
  <si>
    <t>0,8*0,15*1,1</t>
  </si>
  <si>
    <t>2*0,7*0,15*2*1,1+20,77</t>
  </si>
  <si>
    <t>2*1,3*0,15*1,1</t>
  </si>
  <si>
    <t>(3,79*2,71+2,5*2,48+1,5*1,5)*1,1</t>
  </si>
  <si>
    <t>(6,68+4,2*1,5+3,4*1,0)*1,1</t>
  </si>
  <si>
    <t>(3,975*1,545+0,545*0,445+7,245*1,445+0,545*1,0+0,445*1,0)*1,1</t>
  </si>
  <si>
    <t>(1,495*2,09+4,2*2,515)*1,1</t>
  </si>
  <si>
    <t>0,9*2</t>
  </si>
  <si>
    <t>0,9*0,5*4</t>
  </si>
  <si>
    <t>2*2*0,5*0,5</t>
  </si>
  <si>
    <t>3.NP   3.1</t>
  </si>
  <si>
    <t>9,59*1,6+0,6*1,0+4,62*1,5+0,5*1,0+0,6*0,5</t>
  </si>
  <si>
    <t>(0,35*0,8)*6</t>
  </si>
  <si>
    <t>(4,7+1,5)*2,8</t>
  </si>
  <si>
    <t>6*0,8*0,5</t>
  </si>
  <si>
    <t>1,6*3,6+0,6*1,0+5,1*1,45+0,45*0,6</t>
  </si>
  <si>
    <t>4*0,6*0,8</t>
  </si>
  <si>
    <t>Přesah malby</t>
  </si>
  <si>
    <t>738,57*0,15</t>
  </si>
  <si>
    <t>784 19-5412.R00</t>
  </si>
  <si>
    <t>Malba tekutá Primalex Polar, bílá, 2 x</t>
  </si>
  <si>
    <t>1.NP      1.4</t>
  </si>
  <si>
    <t>1.NP      1.2</t>
  </si>
  <si>
    <t>970 03-1020.R00</t>
  </si>
  <si>
    <t>Jádrové vrtání, d 20 mm, zdivo cihelné</t>
  </si>
  <si>
    <t>3.2</t>
  </si>
  <si>
    <t>970 05-1035.R01</t>
  </si>
  <si>
    <t>Vrtání jádrové do ŽB d 350  mm</t>
  </si>
  <si>
    <t>2*6</t>
  </si>
  <si>
    <t>3.3</t>
  </si>
  <si>
    <t>974 03-1164.R00</t>
  </si>
  <si>
    <t>Vysekání rýh ve zdi cihelné 15 x 15 cm</t>
  </si>
  <si>
    <t>2*0,8+0,8*0,15+0,4*0,8</t>
  </si>
  <si>
    <t>1.NP      1.1</t>
  </si>
  <si>
    <t>0,85*2+0,4*0,8+0,8*0,15</t>
  </si>
  <si>
    <t>0,85*2+1,15+0,38*0,8+0,85*0,15</t>
  </si>
  <si>
    <t>0,75*2+0,38*0,8+0,75*0,15</t>
  </si>
  <si>
    <t>1,1*2</t>
  </si>
  <si>
    <t>1,25*2</t>
  </si>
  <si>
    <t>3.4</t>
  </si>
  <si>
    <t>971 03-3561.R00</t>
  </si>
  <si>
    <t>Vybourání otv. zeď cihel. pl.1 m2, tl.60 cm, MVC</t>
  </si>
  <si>
    <t>0,4*0,8*0,6</t>
  </si>
  <si>
    <t>1,2*0,45*0,6</t>
  </si>
  <si>
    <t>1,3*0,3*0,6</t>
  </si>
  <si>
    <t>1,15*0,48*0,45</t>
  </si>
  <si>
    <t>0,38*0,85*0,6</t>
  </si>
  <si>
    <t>0,38*0,8*0,6+1,2*0,5*0,6</t>
  </si>
  <si>
    <t>1,255*0,5*0,6+1,255*0,5*0,45</t>
  </si>
  <si>
    <t>1,2*0,5*0,45</t>
  </si>
  <si>
    <t>1,2*0,5*0,6</t>
  </si>
  <si>
    <t>1,25*0,6*0,5+1,2*0,5*0,45*2</t>
  </si>
  <si>
    <t>0,655*0,95*0,6</t>
  </si>
  <si>
    <t>1,3*0,5*0,6+1,2*0,5*0,45</t>
  </si>
  <si>
    <t>1,25*0,45*0,5+1,2*0,5*0,6</t>
  </si>
  <si>
    <t>1,25*0,45*0,5*4</t>
  </si>
  <si>
    <t>1,25*0,6*0,5</t>
  </si>
  <si>
    <t>1,2*0,5*0,6*2+1,0*0,5*0,45+1,3*0,5*0,45</t>
  </si>
  <si>
    <t>1,2*0,5*0,45*3</t>
  </si>
  <si>
    <t>1,8*0,5*0,6*2+1,0*0,5*0,6+1,1*0,5*0,6</t>
  </si>
  <si>
    <t>0,6*0,45*0,5*4</t>
  </si>
  <si>
    <t>3.5</t>
  </si>
  <si>
    <t>971 03-3371.R00</t>
  </si>
  <si>
    <t>Vybourání otv. zeď cihel. pl.0,09 m2, tl.75cm, MVC</t>
  </si>
  <si>
    <t>3.6</t>
  </si>
  <si>
    <t>971 03-3581.R00</t>
  </si>
  <si>
    <t>Vybourání otv. zeď cihel. pl.1 m2, tl.90cm, MVC</t>
  </si>
  <si>
    <t>0,4*0,8*0,75</t>
  </si>
  <si>
    <t>3.7</t>
  </si>
  <si>
    <t>971 03-3331.R00</t>
  </si>
  <si>
    <t>Vybourání otv. zeď cihel. pl.0,09 m2, tl.15cm, MVC</t>
  </si>
  <si>
    <t>2,00</t>
  </si>
  <si>
    <t>3.8</t>
  </si>
  <si>
    <t>971 03-3441.R00</t>
  </si>
  <si>
    <t xml:space="preserve">Vybourání otv. zeď cihel. pl.0,25 m2, tl.30cm, MVC </t>
  </si>
  <si>
    <t>1,00</t>
  </si>
  <si>
    <t>3.9</t>
  </si>
  <si>
    <t>2,0*0,6*4,0</t>
  </si>
  <si>
    <t>3.10</t>
  </si>
  <si>
    <t>965 08-2922.R00</t>
  </si>
  <si>
    <t>Odstranění násypu tl. do 10 cm, plocha do 2 m2</t>
  </si>
  <si>
    <t>2,0*0,6*4,0*0,1</t>
  </si>
  <si>
    <t>99</t>
  </si>
  <si>
    <t>Přesun hmot</t>
  </si>
  <si>
    <t>999 28-1111.R00</t>
  </si>
  <si>
    <t>Přesun hmot pro opravy a údržbu do výšky 25 m</t>
  </si>
  <si>
    <t>REKUPERACE  VZT</t>
  </si>
  <si>
    <t>713411121R00</t>
  </si>
  <si>
    <t xml:space="preserve"> Montáž tepelné izolace potrubí a ohybů pásy nebo rohožemi pásy LSP (lamelové skružovací pásy) bez povrchové úpravy připevněnými ocelovým drátem , jednovrstvá</t>
  </si>
  <si>
    <t>potrubí</t>
  </si>
  <si>
    <t>140,8*1,04</t>
  </si>
  <si>
    <t>prostupy</t>
  </si>
  <si>
    <t>83,7*0,91</t>
  </si>
  <si>
    <t>63151680R</t>
  </si>
  <si>
    <t>rohož, pas izolační lamelový, pro tech. zařízení; minerální vlákno; tl. 20,0 mm; součinitel tepelné vodivosti 0,040 W/mK; kašírování Al fólie vyztužená mřížkou; obj. hmotnost 40,00 kg/m3; hydrofobizováno</t>
  </si>
  <si>
    <t>83,7*0,91*1,1</t>
  </si>
  <si>
    <t>63151682R</t>
  </si>
  <si>
    <t>rohož, pas izolační lamelový, pro tech. zařízení; minerální vlákno; tl. 40,0 mm; součinitel tepelné vodivosti 0,040 W/mK; kašírování Al fólie vyztužená mřížkou; obj. hmotnost 40,00 kg/m3; hydrofobizováno</t>
  </si>
  <si>
    <t>140,8*1,04*1,1</t>
  </si>
  <si>
    <t>998713103R00</t>
  </si>
  <si>
    <t>Přesun hmot pro izolace tepelné  v objektech výšky do 24 m</t>
  </si>
  <si>
    <t>728</t>
  </si>
  <si>
    <t>Vzduchotechnika</t>
  </si>
  <si>
    <t>Kruhové plechové potrubí</t>
  </si>
  <si>
    <t>728112113R00</t>
  </si>
  <si>
    <t>Montáž kruhového plechového potrubí, do průměru d 300 mm</t>
  </si>
  <si>
    <t>Montáž oblouku do kruhového plechového potrubí, do průměru d 300 mm</t>
  </si>
  <si>
    <t xml:space="preserve">90 stupňů </t>
  </si>
  <si>
    <t xml:space="preserve">45 stupňů </t>
  </si>
  <si>
    <t>728212313R00</t>
  </si>
  <si>
    <t>Montáž jednostranné nebo oboustranné odbočky nebo kalhotového kusu do kruhového plechového potrubí, do průměru d 300 mm</t>
  </si>
  <si>
    <t>728212413R00</t>
  </si>
  <si>
    <t>Montáž protidešťové střišky nebo výfukové hlavice do kruhového plechového potrubí, do průměru d 300 mm</t>
  </si>
  <si>
    <t>728212713R00</t>
  </si>
  <si>
    <t>Tlumiče</t>
  </si>
  <si>
    <t>728312123R00</t>
  </si>
  <si>
    <t>Montáž tlumiče hluku do kruhového potrubí,  , do průměru d 300 mm</t>
  </si>
  <si>
    <t>1500 : 42</t>
  </si>
  <si>
    <t>900 : 4</t>
  </si>
  <si>
    <t>Protidešťové žaluzie, podstavce</t>
  </si>
  <si>
    <t>728314121R00</t>
  </si>
  <si>
    <t>Montáž protidešťové žaluzie do kruhového potrubí,  , do průměru d 300 mm</t>
  </si>
  <si>
    <t>záslepka</t>
  </si>
  <si>
    <t>24</t>
  </si>
  <si>
    <t xml:space="preserve"> Vyústění</t>
  </si>
  <si>
    <t>728411312R00</t>
  </si>
  <si>
    <t xml:space="preserve">Montáž čtyřhranné vyústě, do průřezu 0,080 m2 </t>
  </si>
  <si>
    <t xml:space="preserve"> Mřížky, regulátory</t>
  </si>
  <si>
    <t>728415123R00</t>
  </si>
  <si>
    <t>Montáž kruhové větrací nebo ventilační mřížky, do průměru d 300 mm</t>
  </si>
  <si>
    <t>mřížka s protidešť.žaluzií</t>
  </si>
  <si>
    <t>mřížka ochranná</t>
  </si>
  <si>
    <t>728-POL01.1</t>
  </si>
  <si>
    <t>Vzduchotechnická jednotka, provedení podstropní, e1,i2 vpravo, VZT 1.1</t>
  </si>
  <si>
    <t>Položka obsahuje:</t>
  </si>
  <si>
    <t>- dodávka a montáž včetně dodávky kotevní techniky a podružného materiálu</t>
  </si>
  <si>
    <t>- dodávku a montáž příslušenství (měření a regulace, regulační prvky) včetně dodávky kotevní techniky a podružného materiálu</t>
  </si>
  <si>
    <t>- připojení potrubí, elektro, ZTI</t>
  </si>
  <si>
    <t>- náklady na lešení a zdvihací mechanismy</t>
  </si>
  <si>
    <t>- přesun hmot</t>
  </si>
  <si>
    <t>Specifikace sestavy jednotky VZT1.1:</t>
  </si>
  <si>
    <t>1 ks Větrací rovnotlaká jednotka, podstropní provedení, protiproudý rekuperační výměník, 2 ks ventilátory s EC motory 385W, filtr přívod kazetový třída G4; filtr odtah kazetový třída G4; by-pass; 4 ks D250 kruh. hrdlo, osazení na silentbloky</t>
  </si>
  <si>
    <t>Příslušenství jednotky:</t>
  </si>
  <si>
    <t>1 ks - by-pásová klapka; elektrický ohřívač vzduchu 2 kW - včetně vestavěných spínacích prvků a teplot;  hlavní vypínač; regulace řízení B - by-pass, termostat potrubí, dotykový ovládací panel včetně 3m kabelu, 2 ks - vývod kondezátu pr. 22 (plast), IR čidlo CO2</t>
  </si>
  <si>
    <t>728-POL01.2</t>
  </si>
  <si>
    <t>Vzduchotechnická jednotka, provedení podstropní, e1,i2 vlevo, VZT 1.2</t>
  </si>
  <si>
    <t>Specifikace sestavy jednotky VZT1.2:</t>
  </si>
  <si>
    <t>728-POL01.3</t>
  </si>
  <si>
    <t>Vzduchotechnická jednotka, provedení stojaté, e1,i2 vpravo, včetně systémového podstavce pod jednotku, VZT 1.3</t>
  </si>
  <si>
    <t>Specifikace sestavy jednotky VZT1.3:</t>
  </si>
  <si>
    <t>728-POL01.4</t>
  </si>
  <si>
    <t>Vzduchotechnická jednotka,  provedení stojaté, e1,i2 vlevo, včetně systémového podstavce pod jednotku, VZT 1.4</t>
  </si>
  <si>
    <t>Specifikace sestavy jednotky VZT1.4:</t>
  </si>
  <si>
    <t>2.14</t>
  </si>
  <si>
    <t>728-POL02.1</t>
  </si>
  <si>
    <t>- připojení</t>
  </si>
  <si>
    <t>Specifikace sestavy jednotky VZT2.1:</t>
  </si>
  <si>
    <t>1 ks Větrací rovnotlaká jednotka, podstropní provedení, protiproudý rekuperační výměník, 2 ks ventilátory s EC motory 170W, filtr přívod kazetový třída G4; filtr odtah kazetový třída G4; by-pass; 4 ks D250 kruh. hrdlo, osazení na silentbloky</t>
  </si>
  <si>
    <t>elektrický ohřívač vzduchu vestavný 1,3 kW - včetně vestavěných spínacích prvků a teplot; hlavní vypínač; regulace řízení B - by-pass, dotykový ovládací panel včetně 3m kabelu, 2 ks - vývod kondezátu pr. 14 (plast), IR čidlo CO2</t>
  </si>
  <si>
    <t>2.15</t>
  </si>
  <si>
    <t>728-POL02.2</t>
  </si>
  <si>
    <t>Vzduchotechnická jednotka,  provedení stojaté, e1,i2 vlevo, včetně systémového podstavce pod jednotku, VZT 2.2</t>
  </si>
  <si>
    <t>Specifikace sestavy jednotky VZT2.2:</t>
  </si>
  <si>
    <t>2.16</t>
  </si>
  <si>
    <t>429717520R</t>
  </si>
  <si>
    <t>klapka regulační kruhová-připojení na vzduchotechnické potrubí; těleso klapky i list z pozinkovaného plechu, čepy listu jsou ocelové; pr. D 250mm, délka L 300 mm mm; ovládání ruční "R", pro osazení servopohonu; možnost osazení libovolná poloha; teplotní rozsah -20 až 80 °C</t>
  </si>
  <si>
    <t>2.17</t>
  </si>
  <si>
    <t>42972151R</t>
  </si>
  <si>
    <t>hlavice výfuková, s přírubami; mater. pozink.plech bez povrch.úpravy,příruby se zákl.nátěrem; vnitřní pr. d = 250 mm; vnější pr. D = 400 mm; výška V = 650 mm</t>
  </si>
  <si>
    <t>2.18</t>
  </si>
  <si>
    <t>42972743R</t>
  </si>
  <si>
    <t>mřížka krycí; kruhová; rozměr pr. 250 mm; mater. výplň tahokov; barva základní nátěr; provedení s přírubou na volné konce potrubí</t>
  </si>
  <si>
    <t>2.19</t>
  </si>
  <si>
    <t>42981314R</t>
  </si>
  <si>
    <t>trouba do potrubí do vzduchotechniky; kruhová; rozměr d = 250, délka 1000 mm; ocelová; pozinkovaná; rozsah teplot -40 až 70 °C</t>
  </si>
  <si>
    <t>490,5*1,05</t>
  </si>
  <si>
    <t>2.20</t>
  </si>
  <si>
    <t>429822009R</t>
  </si>
  <si>
    <t>tvarovka do potrubí kruhová; oblouk segmentový 90°; d = 250 mm; ocelová; pozinkovaná; se 4-mi segmenty</t>
  </si>
  <si>
    <t>2.21</t>
  </si>
  <si>
    <t>429822069R</t>
  </si>
  <si>
    <t>tvarovka do potrubí kruhová; oblouk segmentový 45°; d = 250 mm; ocelová; pozinkovaná; se 3-mi segmenty</t>
  </si>
  <si>
    <t>2.22</t>
  </si>
  <si>
    <t>429823026R</t>
  </si>
  <si>
    <t>tvarovka do potrubí kruhová; rozbočka jednostranná T 90°; d = 250 mm, d1=250 mm; ocelová; pozinkovaná</t>
  </si>
  <si>
    <t>2.23</t>
  </si>
  <si>
    <t>KRO250T</t>
  </si>
  <si>
    <t>koncový kryt do potrubí, pro potrubí pr. 250 mm</t>
  </si>
  <si>
    <t>2.24</t>
  </si>
  <si>
    <t>PRG250T</t>
  </si>
  <si>
    <t>krycí mřížka s protidešťovou žaluzií, pro potrubí pr. 250 mm</t>
  </si>
  <si>
    <t>2.25</t>
  </si>
  <si>
    <t>THS/100/250/1500T</t>
  </si>
  <si>
    <t>tlumič hluku z pozinkovaného plechu, pro potrubí pr. 250 mm, délka 1500 mm, tl. izolace 100 mm</t>
  </si>
  <si>
    <t>2.26</t>
  </si>
  <si>
    <t>THS/100/250/900T</t>
  </si>
  <si>
    <t>tlumič hluku z pozinkovaného plechu, pro potrubí pr. 250 mm, délka 900 mm, tl. izolace 100 mm</t>
  </si>
  <si>
    <t>2.27</t>
  </si>
  <si>
    <t>TRP1_R1T</t>
  </si>
  <si>
    <t>vyústka pozinkovaná do kruhového potrubí, pro potrubí pr. 250 mm, rozměr 825x75 mm</t>
  </si>
  <si>
    <t>jednořadá s otočnými vertikálními lamelami</t>
  </si>
  <si>
    <t>2.28</t>
  </si>
  <si>
    <t>998728103R00</t>
  </si>
  <si>
    <t>Přesun hmot pro vzduchotechniku v objektech výšky do 24 m</t>
  </si>
  <si>
    <t>00523  R</t>
  </si>
  <si>
    <t>Zkoušky a revize</t>
  </si>
  <si>
    <t>005231020R</t>
  </si>
  <si>
    <t>Individuální a komplexní vyzkoušení</t>
  </si>
  <si>
    <t>00524 R</t>
  </si>
  <si>
    <t>Předání a převzetí díla</t>
  </si>
  <si>
    <t>REKUPERACE    ZTI</t>
  </si>
  <si>
    <t>721</t>
  </si>
  <si>
    <t>Vnitřní kanalizace</t>
  </si>
  <si>
    <t>721176102R00</t>
  </si>
  <si>
    <t xml:space="preserve">  Potrubí z plastových trub polypropylenové potrubí PP, připojovací, D 40 mmm, s 1,8 mm, DN 40</t>
  </si>
  <si>
    <t>721176113R00</t>
  </si>
  <si>
    <t xml:space="preserve">  Potrubí z plastových trub polypropylenové potrubí PP, odpadní (svislé), D 50 mmm, s 1,8 mm, DN 50</t>
  </si>
  <si>
    <t>721-POL01</t>
  </si>
  <si>
    <t>Odvod kondenzátu vzduchotechnické jednotky</t>
  </si>
  <si>
    <t>- dodávka a montáž odvodního potrubí průměru 22 mm - 2 ks jednotka</t>
  </si>
  <si>
    <t>- dodávku a montáž redukce na potrubí HT 40 - 2 ks jednotka</t>
  </si>
  <si>
    <t>- dodávku těsnění a kotevní techniky</t>
  </si>
  <si>
    <t>721-POL02</t>
  </si>
  <si>
    <t>- dodávka a montáž odvodního potrubí průměru 16 mm - 2 ks jednotka</t>
  </si>
  <si>
    <t>721-POL03</t>
  </si>
  <si>
    <t>Napojení potrubí na umyvadlo</t>
  </si>
  <si>
    <t>- demontáž a ekologická likvidce stávajícího sifonu</t>
  </si>
  <si>
    <t>- dodávka a montáž nového sifonu s možností připojení potrubí HT 40</t>
  </si>
  <si>
    <t>- dodávku a montáž tvarovky pro napojení potrubí HT 40</t>
  </si>
  <si>
    <t>721-POL04</t>
  </si>
  <si>
    <t>Napojení potrubí na dešťová svod</t>
  </si>
  <si>
    <t>- rozměrová úprava potrubí</t>
  </si>
  <si>
    <t>- dodávka a montáž odbočky na stávajícím dešťovém svodu pro připojení potrubí HT 40</t>
  </si>
  <si>
    <t>721-POL05</t>
  </si>
  <si>
    <t>Napojení potrubí na společný odvod kondnezátu pod fasádou</t>
  </si>
  <si>
    <t>721-POL06</t>
  </si>
  <si>
    <t>Stavební přípomoci pro ZTI</t>
  </si>
  <si>
    <t>28697330.AR</t>
  </si>
  <si>
    <t>objímka rychloupínací; d = 32 až 50 mm; matka M8</t>
  </si>
  <si>
    <t>28697335.AR</t>
  </si>
  <si>
    <t>podložka tlumicí</t>
  </si>
  <si>
    <t>553522590R</t>
  </si>
  <si>
    <t>trn šroubovací; M10; l = 100,0 mm; pozink</t>
  </si>
  <si>
    <t>56284128R</t>
  </si>
  <si>
    <t>hmoždinka</t>
  </si>
  <si>
    <t>1000 kus</t>
  </si>
  <si>
    <t>103/1000</t>
  </si>
  <si>
    <t>0,103</t>
  </si>
  <si>
    <t>998721103R00</t>
  </si>
  <si>
    <t>Přesun hmot pro vnitřní kanalizaci</t>
  </si>
  <si>
    <t>REKUPERACE    Elektro</t>
  </si>
  <si>
    <t>Chráničky a lišty</t>
  </si>
  <si>
    <t>210010105R00</t>
  </si>
  <si>
    <t>lišta elektroinstalační, materiál PVC, šířky do 40 mm, uložená pevně šroubováním</t>
  </si>
  <si>
    <t>210010121R00</t>
  </si>
  <si>
    <t>trubka ochranná, materiál PE, DN do 16,5 mm, uložená volně</t>
  </si>
  <si>
    <t>Spínací, spouštěcí a regulační ústrojí</t>
  </si>
  <si>
    <t>210110026R00</t>
  </si>
  <si>
    <t>spínač nástěnný pro prostředí venkovní a mokré včetně zapojení, trojpólový 16A, řazení 3</t>
  </si>
  <si>
    <t>Vodiče, šňůry a kabely měděné</t>
  </si>
  <si>
    <t>210800625R00</t>
  </si>
  <si>
    <t>Vodič nn a vn CYA 4 mm2 uložený volně</t>
  </si>
  <si>
    <t xml:space="preserve"> Kabely návěstní, sdělovací a mikrofonní</t>
  </si>
  <si>
    <t>210850204T00</t>
  </si>
  <si>
    <t>Kabel sdělovací pevně uložený, kabel ve specifikaci</t>
  </si>
  <si>
    <t>Šňůry</t>
  </si>
  <si>
    <t>šňůra CGSG, 3 x 2,50 mm2, pevně uložená</t>
  </si>
  <si>
    <t>Kabely silové</t>
  </si>
  <si>
    <t>kabel CYKY-m 750 V, 3 x 2,5 mm2, pevně uložený</t>
  </si>
  <si>
    <t>Materiál</t>
  </si>
  <si>
    <t>34111036R</t>
  </si>
  <si>
    <t>kabel CYKY; instalační; pro pevné uložení ve vnitřních a venk.prostorách v zemi, betonu; Cu plné holé jádro, tvar jádra RE-kulatý jednodrát; počet a průřez žil 3x2,5mm2; počet žil 3; teplota použití -30 až 70 °C; max.provoz.teplota při zkratu 160 °C; min.teplota pokládky -5 °C; průřez vodiče 2,5 mm2; samozhášivý; odolnost vůči UV záření</t>
  </si>
  <si>
    <t>615*1,05</t>
  </si>
  <si>
    <t>34121044R</t>
  </si>
  <si>
    <t>kabel SYKFY; sdělovací; pevné uložení vnitřní; Cu plná holá jádra; počet prvků 2; počet žil v prvku 2; jmen.prům.jádra 0,50 mm; teplota použití -25 až 60 °C</t>
  </si>
  <si>
    <t>316*1,05</t>
  </si>
  <si>
    <t>34142156R</t>
  </si>
  <si>
    <t>vodič CYA (H07V-K); silový, propojovací jednožilový; jádro Cu lanované holé; počet žil 1; jmen.průřez jádra 4,00 mm2; vnější průměr max 4,8 mm; izolace PVC; tl. izolace 0,8 mm; odolný proti šíření plamene</t>
  </si>
  <si>
    <t>22*2*1,05</t>
  </si>
  <si>
    <t>34145528R</t>
  </si>
  <si>
    <t>kabel CGSG; harmonizovaný; Cu jádra plná pocínovaná; počet žil 3; vnější průměr 13,0 mm; jmen.průřez jádra 2,50 mm2; teplota použití -40 až 60 °C</t>
  </si>
  <si>
    <t>44*1,05</t>
  </si>
  <si>
    <t>34536342T</t>
  </si>
  <si>
    <t>spínač nástěný, trojpólový, IP 44, 16A/400VAC, kompletní spínač</t>
  </si>
  <si>
    <t>34571050R</t>
  </si>
  <si>
    <t>trubka elektroinstalační ohebná; znač.dle ČSN; mat. PE není samozhášivý; mech.odolnost nízká; mezní hodnota zatížení 320 N/5 cm; teplot.rozsah -25 až 90 °C; stupeň hořlavosti A; barva ČSN bílá, EN oranžová; vnější pr.= 21,2 mm; vnitřní pr.= 16,0 mm</t>
  </si>
  <si>
    <t>34572105R</t>
  </si>
  <si>
    <t>lišta elektroinstalační vkládací; mat. PVC samozhášivé; Š x V 17,7 x 13,7 mm; délka 3,00 m; bílá; stupeň hořlavosti A-C3; teplot.rozsah -5 až 60 °C</t>
  </si>
  <si>
    <t>316*1,05+380*1,05</t>
  </si>
  <si>
    <t>34572120R</t>
  </si>
  <si>
    <t>lišta elektroinstalační vkládací; mat. PVC samozhášivé; Š x V 40 x 20 mm; délka 3,00 m; bílá; stupeň hořlavosti A-C3; teplot.rozsah -5 až 60 °C</t>
  </si>
  <si>
    <t>120*1,05</t>
  </si>
  <si>
    <t>35822401R</t>
  </si>
  <si>
    <t>jistič modulární do 63A; jmen.proud 16,00 A; charakt. B; počet pólů 3; tepl.okolí -30 do + 55 °C; IP 20</t>
  </si>
  <si>
    <t>3582249XT</t>
  </si>
  <si>
    <t>jistič modulární nad 63A, jměn.proud 80,00 A, charakt. C, počet pólů 3+N, IP 20</t>
  </si>
  <si>
    <t>75096131T</t>
  </si>
  <si>
    <t>Drobný montážní materiál jinde neuvedený, (příchytky, pásky, kabelové štítky, popisky a pod.)</t>
  </si>
  <si>
    <t>Hodinové zúčtovací sazby</t>
  </si>
  <si>
    <t>905      R02</t>
  </si>
  <si>
    <t>HZS - revize provoz.souboru a st.obj., Uprava stavajiciho rozvádeče - doplnění rozváděče jističi 16A/B, 3x80A/C</t>
  </si>
  <si>
    <t>hod</t>
  </si>
  <si>
    <t>910      R03</t>
  </si>
  <si>
    <t>HZS - předbežné obhlídky a revize - proměření stávajících rozvodů v rozvodnicích, stanovení maximálního zatížení jednotlivých jističů, zjištění dostatečné kapacity stávajích jističů</t>
  </si>
  <si>
    <t>oplechování parapetů, rš 250 mm</t>
  </si>
  <si>
    <t>K1</t>
  </si>
  <si>
    <t>19.2</t>
  </si>
  <si>
    <t>764 42-1240.R00</t>
  </si>
  <si>
    <t>oplechování říms rš.250mm (220 mm)</t>
  </si>
  <si>
    <t>K3</t>
  </si>
  <si>
    <t>19.3</t>
  </si>
  <si>
    <t>764 45-1202.R00</t>
  </si>
  <si>
    <t>D+M svod hranatý rš.400mm</t>
  </si>
  <si>
    <t>K11</t>
  </si>
  <si>
    <t>19.4</t>
  </si>
  <si>
    <t>764 42-1260.RT2</t>
  </si>
  <si>
    <r>
      <t xml:space="preserve">oplechování říms rš.400mm </t>
    </r>
    <r>
      <rPr>
        <sz val="10"/>
        <rFont val="Arial"/>
        <family val="2"/>
      </rPr>
      <t xml:space="preserve"> okapu</t>
    </r>
  </si>
  <si>
    <t>K16</t>
  </si>
  <si>
    <t>19.5</t>
  </si>
  <si>
    <t>764 33-1250.R00</t>
  </si>
  <si>
    <t>D+M Lemování zdí plochá střecha rš.500mm   450 mm</t>
  </si>
  <si>
    <t>K21</t>
  </si>
  <si>
    <t>19.6</t>
  </si>
  <si>
    <t>764 33-1220.R00</t>
  </si>
  <si>
    <t>D+M Lemování zdí plochá střecha rš.250mm</t>
  </si>
  <si>
    <t>K22</t>
  </si>
  <si>
    <t>19.7</t>
  </si>
  <si>
    <t>764 91-8101.R00</t>
  </si>
  <si>
    <t>montáž krytiny hladká střešní z tabulí</t>
  </si>
  <si>
    <t>19.8</t>
  </si>
  <si>
    <t>138-51036</t>
  </si>
  <si>
    <t>plechová tabule předlakovaný poz. plech</t>
  </si>
  <si>
    <t>19.9</t>
  </si>
  <si>
    <t>764171471</t>
  </si>
  <si>
    <t>D+M Lemování komínů v ploše</t>
  </si>
  <si>
    <t>K25, 26</t>
  </si>
  <si>
    <t>19.10</t>
  </si>
  <si>
    <t>764 31-1201.R00</t>
  </si>
  <si>
    <t>oplechování zdí rš.900mm</t>
  </si>
  <si>
    <t>K27</t>
  </si>
  <si>
    <t>19.11</t>
  </si>
  <si>
    <t>764 32-1230.R00</t>
  </si>
  <si>
    <t>oplechování říms rš.600mm</t>
  </si>
  <si>
    <t>K28</t>
  </si>
  <si>
    <t>19.12</t>
  </si>
  <si>
    <t>764 32-1260.R00</t>
  </si>
  <si>
    <t>oplechování říms pod nadřímsovým žlabem rš.1000mm</t>
  </si>
  <si>
    <t>K29</t>
  </si>
  <si>
    <t>19.13</t>
  </si>
  <si>
    <t>764 42-1250.R00</t>
  </si>
  <si>
    <t>oplechování říms rš.330mm</t>
  </si>
  <si>
    <t>K30</t>
  </si>
  <si>
    <t>19.14</t>
  </si>
  <si>
    <t>764 42-1280.R00</t>
  </si>
  <si>
    <t>oplechování říms rš.600mm   550 mm</t>
  </si>
  <si>
    <t>19.15</t>
  </si>
  <si>
    <t>764 43-0250.R00</t>
  </si>
  <si>
    <t>oplechování zdí rš.600mm   550 mm</t>
  </si>
  <si>
    <t>K30A</t>
  </si>
  <si>
    <t>19.16</t>
  </si>
  <si>
    <t>19.17</t>
  </si>
  <si>
    <t>553502620</t>
  </si>
  <si>
    <t>K30B</t>
  </si>
  <si>
    <t>19.18</t>
  </si>
  <si>
    <t>oplechování říms rš.900mm</t>
  </si>
  <si>
    <t>K31</t>
  </si>
  <si>
    <t>19.19</t>
  </si>
  <si>
    <t>764 41-0230.R00</t>
  </si>
  <si>
    <t>oplechování parapetů zaoblené, rš 200 mm</t>
  </si>
  <si>
    <t>K32</t>
  </si>
  <si>
    <t>19.20</t>
  </si>
  <si>
    <t>764 41-0260.R00</t>
  </si>
  <si>
    <t>oplechování parapetů, rš 400 mm</t>
  </si>
  <si>
    <t>K33</t>
  </si>
  <si>
    <t>19.21</t>
  </si>
  <si>
    <t>764 42-1230.R00</t>
  </si>
  <si>
    <t>oplechování říms rš.200mm</t>
  </si>
  <si>
    <t>K34</t>
  </si>
  <si>
    <t>19.22</t>
  </si>
  <si>
    <t>764 43-0230.R00</t>
  </si>
  <si>
    <t>oplechování zdí rš.400mm</t>
  </si>
  <si>
    <t>K41</t>
  </si>
  <si>
    <t>19.23</t>
  </si>
  <si>
    <t>764 34-6240.R00</t>
  </si>
  <si>
    <t>D+M větrací komínek sklon do 30°</t>
  </si>
  <si>
    <t>19.24</t>
  </si>
  <si>
    <t>K43</t>
  </si>
  <si>
    <t>19.25</t>
  </si>
  <si>
    <t>764 42-2220.R00</t>
  </si>
  <si>
    <t>K44</t>
  </si>
  <si>
    <t>19.26</t>
  </si>
  <si>
    <t>998764101R00</t>
  </si>
  <si>
    <t>Přesun hmot pro klempířské konstr., výšky do 6 m</t>
  </si>
  <si>
    <t>20.</t>
  </si>
  <si>
    <t>767</t>
  </si>
  <si>
    <t>Konstrukce zámečnické</t>
  </si>
  <si>
    <t>20.1</t>
  </si>
  <si>
    <t>767 99-5104.R00</t>
  </si>
  <si>
    <t>Montáž kovových atypických konstrukcí do 50 kg</t>
  </si>
  <si>
    <t>Z22</t>
  </si>
  <si>
    <t>20.2</t>
  </si>
  <si>
    <t>767R14</t>
  </si>
  <si>
    <t>Dodávka  zavěšené skleněné stříšky na táhlech   1200x800 mm</t>
  </si>
  <si>
    <t>20.3</t>
  </si>
  <si>
    <t>Montáž kovových atypických konstrukcí do 100 kg</t>
  </si>
  <si>
    <t>20.4</t>
  </si>
  <si>
    <t>767R15</t>
  </si>
  <si>
    <t>D+M zavěšené skleněné stříšky na táhlech   2200x1200 mm</t>
  </si>
  <si>
    <t>20.5</t>
  </si>
  <si>
    <t>Dem a montáž ochranných mříží vent. do 10 kg</t>
  </si>
  <si>
    <t>Z</t>
  </si>
  <si>
    <t>20.6</t>
  </si>
  <si>
    <t>763 76-1201.R00</t>
  </si>
  <si>
    <t>Montáž otvorových výplní - dvířek, poklopů</t>
  </si>
  <si>
    <t>ZE</t>
  </si>
  <si>
    <t>20.7</t>
  </si>
  <si>
    <t>767R16</t>
  </si>
  <si>
    <t>Kovová dvířka elektrorozvaděčů vč.rámu</t>
  </si>
  <si>
    <t>20.8</t>
  </si>
  <si>
    <t>42972814</t>
  </si>
  <si>
    <t>Mřížka čtyřhranná vel. 300x300</t>
  </si>
  <si>
    <t>20.9</t>
  </si>
  <si>
    <t>953 94-1331.R00</t>
  </si>
  <si>
    <t>Osazení železných rohoží s rámy o ploše nad 1 m2</t>
  </si>
  <si>
    <t>ZR</t>
  </si>
  <si>
    <t>20.10</t>
  </si>
  <si>
    <t>767R17</t>
  </si>
  <si>
    <t>Venkovní čistící rohož ,v.28mm, vč, Al rámu</t>
  </si>
  <si>
    <t>20.11</t>
  </si>
  <si>
    <t>767 83-3100.R00</t>
  </si>
  <si>
    <t>Montáž žebříků do zdiva s bočnicemi</t>
  </si>
  <si>
    <t>ZŽ</t>
  </si>
  <si>
    <t>20.12</t>
  </si>
  <si>
    <t>767R18</t>
  </si>
  <si>
    <t>Dodávka  žebřík z ocelových profilů dl.3,0m, FeZn, nátěr</t>
  </si>
  <si>
    <t>20.13</t>
  </si>
  <si>
    <t>20.14</t>
  </si>
  <si>
    <t>767R19</t>
  </si>
  <si>
    <t>Dodávka  -  vlajkový stožár, FeZn, nátěr, vč.kotvení</t>
  </si>
  <si>
    <t>20.15</t>
  </si>
  <si>
    <t>767R21</t>
  </si>
  <si>
    <t xml:space="preserve">Dodávka a osazení sítí  nebo mříží do oken tělocvičny 1900*3500 ochrana oken před míči </t>
  </si>
  <si>
    <t xml:space="preserve">Ochrana oken mříž, dělená  v každám okně v místě vodorovného  rámu okna ( ½ okna) na dvě části,  otevíravé, celkem oken 7ks, 14 ks mříží
Konstrukce z Jacklů :  30/30/3
Materiál jedné mříže  30/30/3 ………………………………40m´
Otevírání mříží pomocí pantu: 2ks na jednu mříž , zavírání mříže pomocí petlice 
Barva mříží bílá. </t>
  </si>
  <si>
    <t>20.16</t>
  </si>
  <si>
    <t>Demontáž a zpětná montáž kovových ozdobných luceren</t>
  </si>
  <si>
    <t>20.17</t>
  </si>
  <si>
    <t>Repase ozdobných luceren</t>
  </si>
  <si>
    <t>20.18</t>
  </si>
  <si>
    <t>Nátěr ozdobných luceren  1x základní nátěr, 2x vrchní  - kovářská čerň</t>
  </si>
  <si>
    <t>20.19</t>
  </si>
  <si>
    <t>998 76-7102.R00</t>
  </si>
  <si>
    <t>Přesun hmot pro zámečnické konstr., výšky do 12 m</t>
  </si>
  <si>
    <t>781</t>
  </si>
  <si>
    <t>Dlažby keramické</t>
  </si>
  <si>
    <t>21.1</t>
  </si>
  <si>
    <t>771 10-0020.RAA</t>
  </si>
  <si>
    <t xml:space="preserve">Vyrovnání podkladu samoniv.hmotou  v int.
 nivelační hmota tl. 10 mm, penetrace </t>
  </si>
  <si>
    <t>21.2</t>
  </si>
  <si>
    <t>711 21-2001.RX1</t>
  </si>
  <si>
    <t>Nátěr hydroizolační těsnící hmotou  3 kg/m2 s ošetřením napojení stěna - podlaha těsnící páska</t>
  </si>
  <si>
    <t>21.3</t>
  </si>
  <si>
    <t>771 10-1121.R00</t>
  </si>
  <si>
    <t>Provedení penetrace podkladu vč.dodávky penetračního nátěru</t>
  </si>
  <si>
    <t>21.4</t>
  </si>
  <si>
    <t>771 21-2113.R00</t>
  </si>
  <si>
    <t>Kladení dlažby keramické do TM, vel. do 400x400 mm</t>
  </si>
  <si>
    <t>21.5</t>
  </si>
  <si>
    <t>597-64203.0</t>
  </si>
  <si>
    <t>Dlažba keramická 300x300x9 mm mrazuvzdorná - dle výběru investora</t>
  </si>
  <si>
    <t>21.6</t>
  </si>
  <si>
    <t>771 13-0111.R00</t>
  </si>
  <si>
    <t>Obklad soklíků rovných do tmele výšky do 100 mm</t>
  </si>
  <si>
    <t>8,8-2,2-3,3</t>
  </si>
  <si>
    <t>21.7</t>
  </si>
  <si>
    <t>597-64241.0</t>
  </si>
  <si>
    <t>Keramický sokl 300x80x9 mm mrazuvzd. - dle výběru investora</t>
  </si>
  <si>
    <t>21.8</t>
  </si>
  <si>
    <t>771 57-9791.R00</t>
  </si>
  <si>
    <t>Příplatek za plochu podlah keram. do 5 m2 jednotl.</t>
  </si>
  <si>
    <t>21.9</t>
  </si>
  <si>
    <t xml:space="preserve">771 57-7133.R00 </t>
  </si>
  <si>
    <t>Lišta nerezová přechodová, stejná výška dlaždic</t>
  </si>
  <si>
    <t xml:space="preserve">m </t>
  </si>
  <si>
    <t>21.10</t>
  </si>
  <si>
    <t>998 78-1201.R00</t>
  </si>
  <si>
    <t>Přesun hmot pro obklady keramické, výšky do 6 m</t>
  </si>
  <si>
    <t>22.</t>
  </si>
  <si>
    <t>782</t>
  </si>
  <si>
    <t>Obklady z konglomerovaného a přírodního kamene</t>
  </si>
  <si>
    <t>22.1</t>
  </si>
  <si>
    <t>782 R</t>
  </si>
  <si>
    <t>Demontáž kamenných obkladů  a schodů</t>
  </si>
  <si>
    <t>parapety u bud.</t>
  </si>
  <si>
    <t>0,6*2</t>
  </si>
  <si>
    <t>7,2*2</t>
  </si>
  <si>
    <t>schody budova</t>
  </si>
  <si>
    <t>4*4,5*0,3+3,32*0,3</t>
  </si>
  <si>
    <t>schody zídka</t>
  </si>
  <si>
    <t>4*5*0,3</t>
  </si>
  <si>
    <t>22.2</t>
  </si>
  <si>
    <t>938902123R00</t>
  </si>
  <si>
    <t>Čištění ploch ocel. kartáči</t>
  </si>
  <si>
    <t>0,6*2+0,05*2,9</t>
  </si>
  <si>
    <t>7,2*2+44,2*0,18*2</t>
  </si>
  <si>
    <t>(16,8+0,8*12+2,2+0,5+2,5+1,2+2,5+0,5+16,8+0,8*12)*(0,3+0,3)</t>
  </si>
  <si>
    <t>4*4,5*0,3+3,32+(4*4,5*0,15+3,32*0,15)</t>
  </si>
  <si>
    <t>4*5*0,3+4*5*0,15</t>
  </si>
  <si>
    <t>22.3</t>
  </si>
  <si>
    <t>782 61-1324.R00</t>
  </si>
  <si>
    <t xml:space="preserve">Obklad parapetů a schodů kamenem měkkým tl. 4 a 5 cm  pouze montáž - obklad stávající </t>
  </si>
  <si>
    <t>22.4</t>
  </si>
  <si>
    <t>627452101R00</t>
  </si>
  <si>
    <t>Spárování maltou MCs zapuštěné rovné, zdí z kamene</t>
  </si>
  <si>
    <t>parapety budova</t>
  </si>
  <si>
    <t>2,9*2</t>
  </si>
  <si>
    <t>22.5</t>
  </si>
  <si>
    <t>783 90-2811.R00</t>
  </si>
  <si>
    <t>Chemické očištění povrchu</t>
  </si>
  <si>
    <t>22.6</t>
  </si>
  <si>
    <t>783 89-6211.R00</t>
  </si>
  <si>
    <t xml:space="preserve">Nátěr uzavírací, hladké plochy </t>
  </si>
  <si>
    <t>22.7</t>
  </si>
  <si>
    <t>631 57-2111.R00</t>
  </si>
  <si>
    <t xml:space="preserve">Doplnění násypů pískem neupraveným o ploše nad 2m2 pod dlažby, (s dodáním hmot) s udusáním a urovnáním povrchu násypu </t>
  </si>
  <si>
    <t>52,00*0,07</t>
  </si>
  <si>
    <t>22.8</t>
  </si>
  <si>
    <t>772 50-0010.RAI</t>
  </si>
  <si>
    <t>Dlažba z desek z přírodního kamene prostá pouze montáž, dlažba stávající</t>
  </si>
  <si>
    <t>917 46-1111.R00</t>
  </si>
  <si>
    <t xml:space="preserve">Osazení stoj.obrubníků, s opěrou, lože z BP 12,5 </t>
  </si>
  <si>
    <t>10,8*2</t>
  </si>
  <si>
    <t>583-80351</t>
  </si>
  <si>
    <t>Obrubník kamenný přímý OP5 20x20 cm</t>
  </si>
  <si>
    <t>10,8*2*1,08</t>
  </si>
  <si>
    <t>22.9</t>
  </si>
  <si>
    <t>998782102</t>
  </si>
  <si>
    <t>Přesun hmot pro obklady kamenné, výšky do 12 m</t>
  </si>
  <si>
    <t>23.</t>
  </si>
  <si>
    <t>783</t>
  </si>
  <si>
    <t>Nátěry</t>
  </si>
  <si>
    <t>23.1</t>
  </si>
  <si>
    <t>783103821R00</t>
  </si>
  <si>
    <t>Odstranění nátěrů z ocel. konstrukcí opálením</t>
  </si>
  <si>
    <t>1,15*12+5,9*0,15*12+0,97*3+5,15*0,15</t>
  </si>
  <si>
    <t>23.2</t>
  </si>
  <si>
    <t>783904811R00</t>
  </si>
  <si>
    <t>Odrezivění kovových konstrukcí</t>
  </si>
  <si>
    <t>23.3</t>
  </si>
  <si>
    <t>783242002R00</t>
  </si>
  <si>
    <t>Nátěr polystyrénový kovových konstr. 1+ 2x email</t>
  </si>
  <si>
    <t>23.4</t>
  </si>
  <si>
    <t>Krycí lak  - finální pochozí vrstva  lodžií a balkonů</t>
  </si>
  <si>
    <t>(78,11+78,11)*1,1</t>
  </si>
  <si>
    <t>24.</t>
  </si>
  <si>
    <t>784</t>
  </si>
  <si>
    <t>Malby</t>
  </si>
  <si>
    <t>24.1</t>
  </si>
  <si>
    <t>784402801R00</t>
  </si>
  <si>
    <t>Odstranění malby oškrábáním v místnosti H do 3,8 m</t>
  </si>
  <si>
    <t>24.2</t>
  </si>
  <si>
    <t>784191201R00</t>
  </si>
  <si>
    <t xml:space="preserve">Penetrace podkladu hloubková </t>
  </si>
  <si>
    <t>24.3</t>
  </si>
  <si>
    <t>784195212R00</t>
  </si>
  <si>
    <t>Malba tekutá Primalex Plus, bílá, 2 x</t>
  </si>
  <si>
    <t>26.</t>
  </si>
  <si>
    <t>M21</t>
  </si>
  <si>
    <t>Elektromontáže</t>
  </si>
  <si>
    <t>25.1</t>
  </si>
  <si>
    <t>M21R01</t>
  </si>
  <si>
    <t>Demontáž, úprava kabeláže a zpětná montáž fasádních svítidel a prvků</t>
  </si>
  <si>
    <t>25.2</t>
  </si>
  <si>
    <t>M21R02</t>
  </si>
  <si>
    <t>Demontáž, úprava a zpětná montáž antén</t>
  </si>
  <si>
    <t>kontrolní součet</t>
  </si>
  <si>
    <t>Objekt  B 1</t>
  </si>
  <si>
    <t>17,2*0,6*1+14,4*2,5*2+19,3*0,6*1</t>
  </si>
  <si>
    <t>(17,2+14,4)*0,2*1+19,3*0,2*1</t>
  </si>
  <si>
    <t>93,9+10,18-9,4*0,5*0,14-5*0,1*0,1-17,2*0,5*0,14-20,2*0,24-21,5</t>
  </si>
  <si>
    <t>(17,2)*0,8+14,4*2,5-5*1*0,6+19,3*0,6</t>
  </si>
  <si>
    <t>((17,2)*0,8+14,4*2,5-5*1*0,6+19,3*0,6)*0,25</t>
  </si>
  <si>
    <t>9,3*0,5</t>
  </si>
  <si>
    <t>27,2-5</t>
  </si>
  <si>
    <t>(27,2-5)*1,02</t>
  </si>
  <si>
    <t>1,2+13,1</t>
  </si>
  <si>
    <t>130,26+29,83+20,26</t>
  </si>
  <si>
    <t>(130,26+29,83+20,26)*0,3</t>
  </si>
  <si>
    <t>335+58,34</t>
  </si>
  <si>
    <t>(17,2)*0,8+14,4*0,8+19,3*0,8</t>
  </si>
  <si>
    <t>(17,2)*0,8+14,4*2,5-5*1*0,6+19,3*0,5</t>
  </si>
  <si>
    <t>120,69+29,83</t>
  </si>
  <si>
    <t>(17,2+14,4+19,3)*1,1</t>
  </si>
  <si>
    <t>335-35,63</t>
  </si>
  <si>
    <t>S7</t>
  </si>
  <si>
    <t>78+146,5</t>
  </si>
  <si>
    <t>O/38</t>
  </si>
  <si>
    <t>Plastové okno s poutcem, dvoukřídlové, spodní křídlo sklopné, horní křídlo otvíravé</t>
  </si>
  <si>
    <t>1350*1800</t>
  </si>
  <si>
    <t>dřevo</t>
  </si>
  <si>
    <t>O/40</t>
  </si>
  <si>
    <t>Plastové okno jednokřídlové  OS</t>
  </si>
  <si>
    <t>1320*1800</t>
  </si>
  <si>
    <t>O/41</t>
  </si>
  <si>
    <t>1320*1500</t>
  </si>
  <si>
    <t>O/42</t>
  </si>
  <si>
    <t>1330*1400</t>
  </si>
  <si>
    <t>Plastové okno jednokřídlové  sklopné</t>
  </si>
  <si>
    <t>900*600</t>
  </si>
  <si>
    <t>Osazení parapetních desek z laminátu š.nad 20cm</t>
  </si>
  <si>
    <t>(1,35*7+1,32*7+1,32*1+1,33*4+0,9*5)</t>
  </si>
  <si>
    <t>(1,35*7+1,32*7+1,32*1+1,33*4+0,9*5)*1,1</t>
  </si>
  <si>
    <t>611-40759.3R</t>
  </si>
  <si>
    <t>611-40751</t>
  </si>
  <si>
    <t>(1,44+2,15)*2+(0,8+1,97)*2*3</t>
  </si>
  <si>
    <t>O/39</t>
  </si>
  <si>
    <t>1440*2150</t>
  </si>
  <si>
    <t>O/43</t>
  </si>
  <si>
    <t xml:space="preserve">Vstupní Al dveře jednokřídlé s průvětrníkem, bezpečnostní kování </t>
  </si>
  <si>
    <t>800*1970</t>
  </si>
  <si>
    <t>34,65+34,44+4,32+16,52+10,5+5,74+14,52</t>
  </si>
  <si>
    <t>9,45+9,24+1,32+5,32+4,5</t>
  </si>
  <si>
    <t>Napojení svodu  a angl.dvorků na dešťovou kanalizaci</t>
  </si>
  <si>
    <t>(17,2)*0,7+14,4*0,7+19,3*0,7</t>
  </si>
  <si>
    <t>35,63+56,41</t>
  </si>
  <si>
    <t>(3,35*1*1*2+2*1,0*1,0)*0,1+(3,35+2)*2*1*0,1+(2+2)*1*0,1</t>
  </si>
  <si>
    <t>113 10-6231.R00</t>
  </si>
  <si>
    <t>Rozebrání dlažeb ze zámkové dlažby v kamenivu</t>
  </si>
  <si>
    <t>29,8</t>
  </si>
  <si>
    <t>460 03-0102.R00</t>
  </si>
  <si>
    <t>Vytrhání obrubníků, lože MC, stojatých</t>
  </si>
  <si>
    <t>13,3+2</t>
  </si>
  <si>
    <t>Bourání dlaždic keramických tl. 1 cm, nad 1 m2</t>
  </si>
  <si>
    <t>rozšířený parapet</t>
  </si>
  <si>
    <t>0,8*14,67+1,34*0,3*7</t>
  </si>
  <si>
    <t xml:space="preserve">venkovní </t>
  </si>
  <si>
    <t>14,9+5,6</t>
  </si>
  <si>
    <t>Bourání mazanin škvárobet.tl. 10 cm, nad 4 m2</t>
  </si>
  <si>
    <t>(78,11+146,5)*0,10</t>
  </si>
  <si>
    <t>(78,11+146,5)*1,1</t>
  </si>
  <si>
    <t>Demontáž ocelového schodiště , prodloužení kotev, zpětná montáž</t>
  </si>
  <si>
    <t>764 35-1820.R00</t>
  </si>
  <si>
    <t>Demontáž žlabů 4hran., rovných, rš 400 mm, do 30°</t>
  </si>
  <si>
    <t>(17,2)*0,88+14,4*2,5-5*1*0,6+19,3*0,88</t>
  </si>
  <si>
    <t>(17,2)*1,3+14,4*2,5+19,3*1,3</t>
  </si>
  <si>
    <t>78+146,5+11,5+25,6</t>
  </si>
  <si>
    <t>713 14-1111.R00</t>
  </si>
  <si>
    <t>(78+11,5+146,5+25,6)</t>
  </si>
  <si>
    <t>16*500</t>
  </si>
  <si>
    <t>oplechování říms rš.250mm</t>
  </si>
  <si>
    <t>K4</t>
  </si>
  <si>
    <t>764 35-1205.R00</t>
  </si>
  <si>
    <t>D+M žlab podokapní hranatý rš.400mm</t>
  </si>
  <si>
    <t>K10</t>
  </si>
  <si>
    <r>
      <t>D+M Lemování zdí plochá střecha rš.500mm   450</t>
    </r>
    <r>
      <rPr>
        <sz val="10"/>
        <rFont val="Arial"/>
        <family val="2"/>
      </rPr>
      <t xml:space="preserve"> mm</t>
    </r>
  </si>
  <si>
    <t>764 45-1204.R00</t>
  </si>
  <si>
    <t>D+M svod hranatý rš.650mm</t>
  </si>
  <si>
    <t>K24</t>
  </si>
  <si>
    <t>328 151111.R00</t>
  </si>
  <si>
    <t>Montáž sklepního světlíku z plastu</t>
  </si>
  <si>
    <t>767R20</t>
  </si>
  <si>
    <t>Sklepní světlík vč.mříže a nástavce</t>
  </si>
  <si>
    <t>(0,8*14,67+1,34*0,3*7)*1,02</t>
  </si>
  <si>
    <t>(14,9+5,6)*1,02</t>
  </si>
  <si>
    <t>25.</t>
  </si>
  <si>
    <t>Objekt  B 2</t>
  </si>
  <si>
    <t>(17,72*0,6*1)*2</t>
  </si>
  <si>
    <t>(17,72*0,2*1)*2</t>
  </si>
  <si>
    <t>(17,72*0,8*1)*2-17,72*0,5*0,14-17,72*2*0,5*0,14-17,2</t>
  </si>
  <si>
    <t>(17,72)*0,8*2</t>
  </si>
  <si>
    <t>(17,72)*0,8*2*0,25</t>
  </si>
  <si>
    <t>17,72*2*0,5-2,1*0,5</t>
  </si>
  <si>
    <t>(4,6)*1,02</t>
  </si>
  <si>
    <t>8,7+2,2</t>
  </si>
  <si>
    <t>74,25+20,25+5,74</t>
  </si>
  <si>
    <t>(74,25+20,25+5,74)*0,3</t>
  </si>
  <si>
    <t>141+28,35</t>
  </si>
  <si>
    <t>(17,72)*0,5*2</t>
  </si>
  <si>
    <t>(17,72)*0,6*2</t>
  </si>
  <si>
    <t>(17,72)*0,7*2-1,47*0,5</t>
  </si>
  <si>
    <t>(17,72)*2*1,1-1,47</t>
  </si>
  <si>
    <t>141-24,07</t>
  </si>
  <si>
    <t>112,9</t>
  </si>
  <si>
    <t>O/38B</t>
  </si>
  <si>
    <t>Plastové okno s poutcem, dvoukřídlové, spodní křídlo sklopné, horní křídlo otvíravé Uw=1,2 W/m2K</t>
  </si>
  <si>
    <t>(1,35*15)</t>
  </si>
  <si>
    <t>(1,35*15)*1,1</t>
  </si>
  <si>
    <t>(1,44+2,15)*2</t>
  </si>
  <si>
    <t>74,25+5,74</t>
  </si>
  <si>
    <t>20,25</t>
  </si>
  <si>
    <t>Napojení svodu  na dešťovou kanalizaci</t>
  </si>
  <si>
    <t>(17,72)*0,7*2-1,4*0,7</t>
  </si>
  <si>
    <t>sokl+odkop</t>
  </si>
  <si>
    <t>23,1+17,72</t>
  </si>
  <si>
    <t>4,6</t>
  </si>
  <si>
    <t>0,5*14,2+0,36*12,3+1,34*0,3*15</t>
  </si>
  <si>
    <t>1,35*1,8*15</t>
  </si>
  <si>
    <t>(112,9)*0,10</t>
  </si>
  <si>
    <t>(112,9+5,4)*1,10</t>
  </si>
  <si>
    <t>1,76</t>
  </si>
  <si>
    <t>(17,72)*0,88*2</t>
  </si>
  <si>
    <t>(17,72)*2*1,3</t>
  </si>
  <si>
    <t>112,9+5,4</t>
  </si>
  <si>
    <t>7*500</t>
  </si>
  <si>
    <t>764 33-1230.R00</t>
  </si>
  <si>
    <t>D+M Lemování zdí plochá střecha rš.330mm</t>
  </si>
  <si>
    <t>K14</t>
  </si>
  <si>
    <t>21.</t>
  </si>
  <si>
    <t>(0,5*14,2+0,36*12,3+1,34*0,3*15)*1,02</t>
  </si>
  <si>
    <t>Objekt  C 1</t>
  </si>
  <si>
    <t>(30,59)*1,8*2+(33,15+14,5)*0,6*1,0</t>
  </si>
  <si>
    <t>(30,59)*0,2*0,6+(33,15+14,5)*0,6*0,20</t>
  </si>
  <si>
    <t>138,71+9,39-63,74*0,14*0,5-14,5*0,14*0,5-13*1*1*0,5-38,5</t>
  </si>
  <si>
    <t>(30,59)*0,8+(33,15+14,5)*0,6</t>
  </si>
  <si>
    <t>((30,59)*0,8+(33,15+14,5)*0,6)*0,25</t>
  </si>
  <si>
    <t>274 31-3611.R00</t>
  </si>
  <si>
    <t>Beton základových pasů prostý C 16/20</t>
  </si>
  <si>
    <t>opěrná zeď</t>
  </si>
  <si>
    <t>0,8*2*1,2</t>
  </si>
  <si>
    <t>311 11-2140.R00</t>
  </si>
  <si>
    <t>Stěna z tvárnic ztraceného bednění, tl. 40 cm</t>
  </si>
  <si>
    <t>2*3</t>
  </si>
  <si>
    <t>416 02-6124R00</t>
  </si>
  <si>
    <t>Podhled SDK,ocel.dvouúrov.kříž.rošt, 1x RFI 12,5 mm</t>
  </si>
  <si>
    <t xml:space="preserve">podhled </t>
  </si>
  <si>
    <t>45,4+56,6</t>
  </si>
  <si>
    <t xml:space="preserve">Podklad z kam.těženého tříd. 32-63 </t>
  </si>
  <si>
    <t>33*0,5+27,8*0,5</t>
  </si>
  <si>
    <t>596 10-0030.RAD</t>
  </si>
  <si>
    <t>Chodník z dlažby betonové, podklad štěrkopísek</t>
  </si>
  <si>
    <t>1,2*2*4+1,5*4+76,4</t>
  </si>
  <si>
    <t>117,5-6,4</t>
  </si>
  <si>
    <t>117,5*1,02</t>
  </si>
  <si>
    <t>(564,58)*0,3</t>
  </si>
  <si>
    <t>(30,59+33,15+14,5-6,4)*1,2</t>
  </si>
  <si>
    <t>S20, S25</t>
  </si>
  <si>
    <t>1048,46-86,21</t>
  </si>
  <si>
    <t>S1</t>
  </si>
  <si>
    <t>(2,86+3,83)</t>
  </si>
  <si>
    <t>SO šambrány</t>
  </si>
  <si>
    <t>622 31-1131.R00</t>
  </si>
  <si>
    <t>Zatepl.systém, EPS fas. + grafit 50 mm</t>
  </si>
  <si>
    <t>balkony</t>
  </si>
  <si>
    <t>S2</t>
  </si>
  <si>
    <t>(4,06+2,34)</t>
  </si>
  <si>
    <t>622 48-1211.RT2</t>
  </si>
  <si>
    <t>Montáž výztužné sítě do stěrkového tmelu - plochy bez zateplení</t>
  </si>
  <si>
    <t>S26</t>
  </si>
  <si>
    <t>94,5*2,6</t>
  </si>
  <si>
    <t>(30,59+33,15+14,5-6,4)</t>
  </si>
  <si>
    <t>S8</t>
  </si>
  <si>
    <t>430,95</t>
  </si>
  <si>
    <t>(2,86+3,83)*0,08</t>
  </si>
  <si>
    <t>(4,06+2,34)*0,08</t>
  </si>
  <si>
    <t>(2,86+3,83)*0,00465</t>
  </si>
  <si>
    <t>(4,06+2,34)*0,00465</t>
  </si>
  <si>
    <t>766 62-9310.R00</t>
  </si>
  <si>
    <t>Montáž plastových stěn prosklených</t>
  </si>
  <si>
    <t>2,1*2,4*2+2,1*2,4*2</t>
  </si>
  <si>
    <t>O/101</t>
  </si>
  <si>
    <t>600*450</t>
  </si>
  <si>
    <t>O/102</t>
  </si>
  <si>
    <t>O/107</t>
  </si>
  <si>
    <t>900*1500</t>
  </si>
  <si>
    <t>O/111</t>
  </si>
  <si>
    <t>900*1200</t>
  </si>
  <si>
    <t>O/112</t>
  </si>
  <si>
    <t>Plastové okno dvoukřídlové  OS</t>
  </si>
  <si>
    <t>2400*1200</t>
  </si>
  <si>
    <t>O/113</t>
  </si>
  <si>
    <t>2400*1500</t>
  </si>
  <si>
    <t>O/114</t>
  </si>
  <si>
    <t>Plastové okno tříkřídlové  OS</t>
  </si>
  <si>
    <t>2100*1500</t>
  </si>
  <si>
    <t>O/115</t>
  </si>
  <si>
    <t>Plastové okno šestikřídlové  OS  bez žaluzií</t>
  </si>
  <si>
    <t>3000*1850</t>
  </si>
  <si>
    <t>O/116</t>
  </si>
  <si>
    <t>Plastové okno balkonové šestikřídlové  fix, 1x OS, zvýšený práh  bez žaluzií</t>
  </si>
  <si>
    <t>2100*2400</t>
  </si>
  <si>
    <t>O/117</t>
  </si>
  <si>
    <t>Plastové okno balkonové tříkřídlové  OS, zvýšený práh,  bez žaluzií</t>
  </si>
  <si>
    <t>O/118</t>
  </si>
  <si>
    <t>Plastové okno tříkřídlové  sklopné  bez žaluzií</t>
  </si>
  <si>
    <t>2100*400</t>
  </si>
  <si>
    <t>O/119</t>
  </si>
  <si>
    <t>Plastové okno jednokřídlové  OS  bez žaluzií</t>
  </si>
  <si>
    <t>(0,6*13+0,6*18+0,9*18+0,9*14+2,4*2+2,4*29+2,1*2+2,1*1+0,9*2)</t>
  </si>
  <si>
    <t>(0,6*13+0,6*18+0,9*18+0,9*14+2,4*2+2,4*29+2,1*2+2,1*1+0,9*2)*1,1</t>
  </si>
  <si>
    <t>(1,6+2,1)*2*1+(0,8+1,97)*2*1+(0,9+1,97)*2*1</t>
  </si>
  <si>
    <t>O/131</t>
  </si>
  <si>
    <t>Vstupní Al dveře dvoukřídlé, prosklené, bezpečnostní kování</t>
  </si>
  <si>
    <t>O/132</t>
  </si>
  <si>
    <t xml:space="preserve">Vstupní Al dveře jednokřídlé, prosklené,bezpečnostní kování </t>
  </si>
  <si>
    <t>O/133</t>
  </si>
  <si>
    <t xml:space="preserve">Vstupní Al dveře jednokřídlé, prosklené, bezpečnostní kování </t>
  </si>
  <si>
    <t>900*1970</t>
  </si>
  <si>
    <t>767 64-6510.R00</t>
  </si>
  <si>
    <t>Montáž dveří protipožárních jednokřídlových</t>
  </si>
  <si>
    <t>PO2</t>
  </si>
  <si>
    <t>požární dveře, EI 30</t>
  </si>
  <si>
    <t>700*1500</t>
  </si>
  <si>
    <t>19,5+27,0+70,20+46,2+9,6+156,6+10,2+13,4+13,8+13,8+2,9+4,2+5,8+4,74+4,84</t>
  </si>
  <si>
    <t>7,8+10,8+16,2+12,6+4,8+69,6+4,2+6,0+4,2+4,2+2,1+1,8</t>
  </si>
  <si>
    <t>767 65-7310.R00</t>
  </si>
  <si>
    <t>Montáž vrat zvedacích, do ocel. konstr., do 6 m2</t>
  </si>
  <si>
    <t>O/130</t>
  </si>
  <si>
    <t>Garážová  vrata výklopná s větracími otvory</t>
  </si>
  <si>
    <t>2400*2250</t>
  </si>
  <si>
    <t>odkop.zdivo</t>
  </si>
  <si>
    <t>(30,59)*1,8+(33,15+14,5)*0,6-13*1*1</t>
  </si>
  <si>
    <t>(11,3+2+0,9*10+13+2+0,9*12)*0,1*1,4+(11,3+13)*1*0,1</t>
  </si>
  <si>
    <t>965 20-0013.RA0</t>
  </si>
  <si>
    <t>Bourání mazanin betonových s potěrem nebo dlažbou</t>
  </si>
  <si>
    <t>(2,86+3,83)*0,095</t>
  </si>
  <si>
    <t>(4,06+2,34)*0,095</t>
  </si>
  <si>
    <t>2,1*0,3*2+3,5*0,7*2</t>
  </si>
  <si>
    <t>18+14+4+58+6+12+12+6+3+2</t>
  </si>
  <si>
    <t>24,3+15,12+0,84+1,08</t>
  </si>
  <si>
    <t>5,76+104,4+6,3</t>
  </si>
  <si>
    <t>968 06-2247.R00</t>
  </si>
  <si>
    <t>Vybourání dřevěných rámů oken jednoduch. nad. 4 m2</t>
  </si>
  <si>
    <t>11,1+10,08+10,08</t>
  </si>
  <si>
    <t>0,8*1,97+0,9*1,97+0,7*1,5</t>
  </si>
  <si>
    <t>1,6*2,1</t>
  </si>
  <si>
    <t>968 06-1136.R00</t>
  </si>
  <si>
    <t>Vyvěšení dřevěných křídel vrat plochy do 4 m2</t>
  </si>
  <si>
    <t>968 06-2559.R00</t>
  </si>
  <si>
    <t>Vybourání dřevěných rámů vrat pl. nad 5 m2</t>
  </si>
  <si>
    <t>2,4*2,25</t>
  </si>
  <si>
    <t>460 03-0081.RT2</t>
  </si>
  <si>
    <t>Řezání spáry v asfaltu nebo betonu</t>
  </si>
  <si>
    <t>113 10-7142.R00</t>
  </si>
  <si>
    <t>Odstranění podkladu pl.do 200 m2, živice tl. 10 cm</t>
  </si>
  <si>
    <t>976 07-1111.R00</t>
  </si>
  <si>
    <t>Vybourání kovových zábradlí a madel</t>
  </si>
  <si>
    <t>475,45+47</t>
  </si>
  <si>
    <t>711 11-1001.RZ1</t>
  </si>
  <si>
    <t>Izolace proti vlhkosti vodor. nátěr ALP za studena 1x vč.dodávky asfaltového laku</t>
  </si>
  <si>
    <t>(2,36+3,33)*1,1</t>
  </si>
  <si>
    <t>(3,56+1,84)*1,1</t>
  </si>
  <si>
    <t>711 14-1559.R00</t>
  </si>
  <si>
    <t>Izolace proti vlhk. vodorovná pásy přitavením</t>
  </si>
  <si>
    <t xml:space="preserve">Pás modifikovaný asfalt </t>
  </si>
  <si>
    <t>S8 půda</t>
  </si>
  <si>
    <t>Povlaková krytina střech do 30°, AIP na sucho  - určeno k mechanickému kotvení se samolepícím přesahem</t>
  </si>
  <si>
    <t xml:space="preserve">S8 střecha </t>
  </si>
  <si>
    <t>713 11-1125.R00</t>
  </si>
  <si>
    <t>Izolace tepelné stropů rovných spodem, lepením</t>
  </si>
  <si>
    <t>garáže</t>
  </si>
  <si>
    <t>(45,4+56,6)*1,02</t>
  </si>
  <si>
    <t>(45,4+56,6)*1,1</t>
  </si>
  <si>
    <t>půda</t>
  </si>
  <si>
    <t>(430,95*2)*1,02</t>
  </si>
  <si>
    <t>tl. 50 mm</t>
  </si>
  <si>
    <t xml:space="preserve"> 283-75706 </t>
  </si>
  <si>
    <t xml:space="preserve">Deska izolační stabilizov. EPS 200S 1000 x 500 mm </t>
  </si>
  <si>
    <t>765 90-1121.R00</t>
  </si>
  <si>
    <t>Fólie podstřešní paropropustná Jutafol D 110</t>
  </si>
  <si>
    <t>430,95*1,1</t>
  </si>
  <si>
    <t>(2,86+3,83)*1,1</t>
  </si>
  <si>
    <t>(4,06+2,34)*1,1</t>
  </si>
  <si>
    <r>
      <t xml:space="preserve">hlavice termostatická </t>
    </r>
    <r>
      <rPr>
        <sz val="9"/>
        <color indexed="12"/>
        <rFont val="Arial"/>
        <family val="2"/>
      </rPr>
      <t>s  termostatickým ventilem</t>
    </r>
  </si>
  <si>
    <t>51*500</t>
  </si>
  <si>
    <t>475,45</t>
  </si>
  <si>
    <t>764 41-0270.R00</t>
  </si>
  <si>
    <t>oplechování parapetů, rš 500 mm</t>
  </si>
  <si>
    <t>K2</t>
  </si>
  <si>
    <t>K5</t>
  </si>
  <si>
    <t>764 42-1260.R00</t>
  </si>
  <si>
    <t>oplechování říms rš.400mm</t>
  </si>
  <si>
    <t>K6</t>
  </si>
  <si>
    <t>764 43-0240.R00</t>
  </si>
  <si>
    <r>
      <t>oplechování zdí rš.500mm   410</t>
    </r>
    <r>
      <rPr>
        <sz val="10"/>
        <rFont val="Arial"/>
        <family val="2"/>
      </rPr>
      <t xml:space="preserve"> mm</t>
    </r>
  </si>
  <si>
    <t>K7</t>
  </si>
  <si>
    <t>K8</t>
  </si>
  <si>
    <t>oplechování zdí rš.600mm oplech.ukončení střechy u atiky</t>
  </si>
  <si>
    <t>K9</t>
  </si>
  <si>
    <t>765135013</t>
  </si>
  <si>
    <t>montáž střešních výlezů plochy do 1m2</t>
  </si>
  <si>
    <t>K13</t>
  </si>
  <si>
    <t>766671301</t>
  </si>
  <si>
    <t>výlez na střechu vč. lemování</t>
  </si>
  <si>
    <r>
      <t xml:space="preserve">D+M Lemování zdí plochá střecha rš.500mm   </t>
    </r>
    <r>
      <rPr>
        <sz val="10"/>
        <rFont val="Arial"/>
        <family val="2"/>
      </rPr>
      <t>450 mm</t>
    </r>
  </si>
  <si>
    <t>597 10-1030.RA0</t>
  </si>
  <si>
    <t>Žlab odvodňovací polymerbeton, zatížení C250, D400  D+M</t>
  </si>
  <si>
    <t>597 10-3010.RA0</t>
  </si>
  <si>
    <t>Vpusť k žlabu polymerbetonová A 15 - C 250 kN    D+M</t>
  </si>
  <si>
    <t>Nové zámečnické prvky budou opatřeny 1x základní nátěr, 2x vrchní nátěr</t>
  </si>
  <si>
    <t>767 16-2130.R00</t>
  </si>
  <si>
    <t>Montáž zábradlí rovného z profilů do zdiva do 45kg</t>
  </si>
  <si>
    <t>767R1</t>
  </si>
  <si>
    <t>Zábradlí ocelové z profilů, včetně kotev, FeZzn, výška 1100mm  replika</t>
  </si>
  <si>
    <t>Z1</t>
  </si>
  <si>
    <t>767R3</t>
  </si>
  <si>
    <t>Z3</t>
  </si>
  <si>
    <t>767R5</t>
  </si>
  <si>
    <t>Z5</t>
  </si>
  <si>
    <t>767R6</t>
  </si>
  <si>
    <t>Z6</t>
  </si>
  <si>
    <t>767R8</t>
  </si>
  <si>
    <t>Z12</t>
  </si>
  <si>
    <t>767R7</t>
  </si>
  <si>
    <t>Truhlík na květiny ocelový z profilů, včetně kotev, FeZzn, výška 300mm</t>
  </si>
  <si>
    <t>Z7</t>
  </si>
  <si>
    <t>Dodávka nového vyrovnávacího schodiště s podestou z pororoštu</t>
  </si>
  <si>
    <t>Z15</t>
  </si>
  <si>
    <t>20.20</t>
  </si>
  <si>
    <t>(2,1*0,3*2+3,5*0,7*2)*1,02</t>
  </si>
  <si>
    <t>Objekt  C 2</t>
  </si>
  <si>
    <t>(35,4+43,8)*1,8*2+(1,3+4,5)*0,6*1,0</t>
  </si>
  <si>
    <t>(35,4+43,8)*0,2*2+(1,3+4,5)*0,2,*1,0</t>
  </si>
  <si>
    <t>288,6+32,84-79,2*0,14*0,5-5,8*0,14*0,5-21*1*1*0,5-48,2</t>
  </si>
  <si>
    <t>(35,4+43,8)*0,8+(1,3+4,5)*0,6-21*1*1</t>
  </si>
  <si>
    <t>((35,4+43,8)*0,8+(1,3+4,5)*0,6-21*1*1)*0,25</t>
  </si>
  <si>
    <t>35,8*0,5+44,5*0,5+6,5*0,5</t>
  </si>
  <si>
    <t>18,4</t>
  </si>
  <si>
    <t>20,5</t>
  </si>
  <si>
    <t>20,5*1,02</t>
  </si>
  <si>
    <t>(889,24)*0,3</t>
  </si>
  <si>
    <t>(35,4+43,8+1,3+4,5-1,4)*0,7</t>
  </si>
  <si>
    <t>1736,4-58,52</t>
  </si>
  <si>
    <t>127,1*1,2</t>
  </si>
  <si>
    <t>(35,4+43,8+1,3+4,5-1,4)</t>
  </si>
  <si>
    <t>628,6</t>
  </si>
  <si>
    <t>631 31-5611.R00</t>
  </si>
  <si>
    <t>Mazanina betonová tl. 12 - 24 cm C 16/20  (B 20)</t>
  </si>
  <si>
    <t>15,2*0,15</t>
  </si>
  <si>
    <t>8.4</t>
  </si>
  <si>
    <t>2,1*2,4*2+2,1*2,1*1</t>
  </si>
  <si>
    <t>O/101A</t>
  </si>
  <si>
    <t>400/400 luxfer 1200/650</t>
  </si>
  <si>
    <t>O/102A</t>
  </si>
  <si>
    <t>850*450</t>
  </si>
  <si>
    <t>O/110</t>
  </si>
  <si>
    <t>1350*1500</t>
  </si>
  <si>
    <t>O/110A</t>
  </si>
  <si>
    <t>1350*600</t>
  </si>
  <si>
    <t>Plastové okno šestikřídlové  OS bez žaluzie</t>
  </si>
  <si>
    <t>Plastové okno balkonové šestikřídlové  fix, 1x OS, zvýšený práh, bez žaluzie</t>
  </si>
  <si>
    <t>Plastové okno tříkřídlové  sklopné</t>
  </si>
  <si>
    <t>O/120</t>
  </si>
  <si>
    <t>Plastové okno balkonové šestikřídlové  horní křídla otvíravá, dolní křídla sklopná, bez žaluzie</t>
  </si>
  <si>
    <t>2100*2100</t>
  </si>
  <si>
    <t>O/122</t>
  </si>
  <si>
    <t>Plastové okno dvoukřídlové  OS, bez žaluzie</t>
  </si>
  <si>
    <t>2400*900</t>
  </si>
  <si>
    <t>O/123</t>
  </si>
  <si>
    <t>Plastové okno jednokřídlové  OS, bez žaluzie</t>
  </si>
  <si>
    <t>1200*1200</t>
  </si>
  <si>
    <t>(0,6*12+0,6*2+0,6*10+0,85*4+0,9*19+1,35*5+1,35*1+0,9*43+2,4*53+3,0*3+2,1*1+0,9*1+2,4*1+1,2*4)</t>
  </si>
  <si>
    <t>(0,6*12+0,6*2+0,6*10+0,85*4+0,9*19+1,35*5+1,35*1+0,9*43+2,4*53+3,0*3+2,1*1+0,9*1+2,4*1+1,2*4)*1,1</t>
  </si>
  <si>
    <t>(2,4+2,4)*2*1+(0,9+1,97)*2*1+(2,72+2,19)*2*1</t>
  </si>
  <si>
    <t>O/121</t>
  </si>
  <si>
    <t>Vstupní Al portál šestikřídlový, dveře jednokřídlové, prosklené, boční díly fix, nadsvětlík fix, bezpečnostní kování, bez žaluzie</t>
  </si>
  <si>
    <t>2400*2400</t>
  </si>
  <si>
    <t>dřevo-vybourat parapet</t>
  </si>
  <si>
    <t>O/134</t>
  </si>
  <si>
    <t>Vstupní Al portál čtyřikřídlový, dveře dvoukřídlové 1300/2000, prosklené, boční díly fix, bezpečnostní kování</t>
  </si>
  <si>
    <t>2720*2190</t>
  </si>
  <si>
    <t>PO</t>
  </si>
  <si>
    <t>800*1500</t>
  </si>
  <si>
    <t>18+3+15+6,8+74,1+21,75+2,55+141,9+286,2+20,1+13,8+2,9+2,1+6,3+4,2+14,4+6,3+4,84+7,1+3,7</t>
  </si>
  <si>
    <t>7,2+1,2+6+3,2+17,1+6,75+1,35+38,7+127,2+9+4,2+2,1+0,9+2,1+2,4+4,8</t>
  </si>
  <si>
    <t>2,4*0,95*0,45</t>
  </si>
  <si>
    <t>(9,3+2+0,9*6+9,4+2+0,9*6+24,5+2+0,9*12)*0,1*1,4+(9,3+9,4+24,5)*1*0,1</t>
  </si>
  <si>
    <t>2*2,5*0,1*2+2*2,5*0,1</t>
  </si>
  <si>
    <t>1,03*0,1*0,6</t>
  </si>
  <si>
    <t>2,4*0,3+3*0,4*2+5,2</t>
  </si>
  <si>
    <t>12+2+10+4+19+5+1+43+53+53+18+12+3+1+6+2+4</t>
  </si>
  <si>
    <t>0,54+25,65+10,13+0,81+46,44+0,84+0,54</t>
  </si>
  <si>
    <t>190,8+2,16</t>
  </si>
  <si>
    <t>16,65+10,08+4,41</t>
  </si>
  <si>
    <t>1,77+1,05</t>
  </si>
  <si>
    <t>4,41+5,96</t>
  </si>
  <si>
    <t>3,24+2,7+1,44+5,76</t>
  </si>
  <si>
    <t>709,3+64</t>
  </si>
  <si>
    <t>(709,3+64)*1,1</t>
  </si>
  <si>
    <t>628,6+64</t>
  </si>
  <si>
    <t>(628,6+64)*2*1,02</t>
  </si>
  <si>
    <t>(628,6+64)*1,1</t>
  </si>
  <si>
    <t>16.1</t>
  </si>
  <si>
    <t>723</t>
  </si>
  <si>
    <t>Přeložení plynového odvětrávacího potrubí plynu</t>
  </si>
  <si>
    <t>84*500</t>
  </si>
  <si>
    <t>709,3</t>
  </si>
  <si>
    <t>751510016</t>
  </si>
  <si>
    <t>vzduchotechnické potrubí pozink čtyřhranné průřezu do 0,28m2 vývod větrání vedle komínu  450x300 mm, v.800 mm</t>
  </si>
  <si>
    <t>K20</t>
  </si>
  <si>
    <t>767R2</t>
  </si>
  <si>
    <t>Zábradlí ocelové z profilů, včetně kotev, FeZzn, výška 1100mm replika</t>
  </si>
  <si>
    <t>Z2</t>
  </si>
  <si>
    <t>767R4</t>
  </si>
  <si>
    <t>Z4</t>
  </si>
  <si>
    <t>6*2,58</t>
  </si>
  <si>
    <t>(2,4*0,3+3*0,4*2+5,2)*1,02</t>
  </si>
  <si>
    <t>Objekt  D 1</t>
  </si>
  <si>
    <t>(30,59)*0,6*1,0+(33,15+14,5)*0,6*1,0</t>
  </si>
  <si>
    <t>(30,59)*0,2*1,0+(33,15+14,5)*0,2*1,0</t>
  </si>
  <si>
    <t>46,94+15,65-63,74*0,14*0,5-14,5*0,14*0,5-43,4</t>
  </si>
  <si>
    <t>(30,59)*0,6+(33,15+14,5)*0,6</t>
  </si>
  <si>
    <t>((30,59)*0,6+(33,15+14,5)*0,6)*0,25</t>
  </si>
  <si>
    <t>434 35-1141.R00</t>
  </si>
  <si>
    <t>Bednění stupňů přímočarých - zřízení</t>
  </si>
  <si>
    <t>434 35-1142.R00</t>
  </si>
  <si>
    <t>Bednění stupňů přímočarých - odstranění</t>
  </si>
  <si>
    <t>33*0,5+27,8*0,5+14,5*0,5</t>
  </si>
  <si>
    <t xml:space="preserve">564 73-2111.R00 </t>
  </si>
  <si>
    <t>565 13-1111.RT3</t>
  </si>
  <si>
    <t>Podklad z obal kamen. ACP 16+, š. do 3 m, tl. 5 cm</t>
  </si>
  <si>
    <t>577 13-1311.RT3</t>
  </si>
  <si>
    <t>Beton asfaltový ACO 8 CH, š. do 3 m, tl. 4 cm</t>
  </si>
  <si>
    <t>(463,4)*0,3</t>
  </si>
  <si>
    <t>(30,59+33,15+14,5-1,4)*0,5</t>
  </si>
  <si>
    <t>(30,59+33,15+14,5-1,6)</t>
  </si>
  <si>
    <t>Plastové okno jednokřídlové  OS bez žaluzií</t>
  </si>
  <si>
    <t>Plastové okno dvoukřídlové  OS bez žaluzií</t>
  </si>
  <si>
    <t>Plastové okno tříkřídlové  OS  bez žaluzií</t>
  </si>
  <si>
    <t>(0,9*18+2,4*39+2,1*1+3,0*3+2,1*1)</t>
  </si>
  <si>
    <t>607-75362</t>
  </si>
  <si>
    <t>Parapet interiér  š.250mm  bílá</t>
  </si>
  <si>
    <t>(0,9*18+2,4*39+2,1*1)*1,1</t>
  </si>
  <si>
    <t>(2,1*1)*1,1</t>
  </si>
  <si>
    <t>Parapet interiér  š.700mm  bílá</t>
  </si>
  <si>
    <t>(3,0*3)*1,1</t>
  </si>
  <si>
    <t>(2,1+2,5)*2*1</t>
  </si>
  <si>
    <t>O/120A</t>
  </si>
  <si>
    <t>2100*2500</t>
  </si>
  <si>
    <t>59,4+210,6+5,1+20,1+13,8+13,8+2,9+6,3</t>
  </si>
  <si>
    <t>16,2+93,6+2,1+9+4,2+4,2+2,1</t>
  </si>
  <si>
    <t>2,1*0,9*0,45</t>
  </si>
  <si>
    <t>2,1*0,3*1+3,5*0,7*2</t>
  </si>
  <si>
    <t>18+39*2+3+18+12+6+3</t>
  </si>
  <si>
    <t>19,44+0,84</t>
  </si>
  <si>
    <t>140,4+3,15</t>
  </si>
  <si>
    <t>16,65+10,08+10,08</t>
  </si>
  <si>
    <r>
      <t xml:space="preserve">Poplatek za skládku suti - asfaltové pásy </t>
    </r>
    <r>
      <rPr>
        <sz val="9"/>
        <color indexed="12"/>
        <rFont val="Arial"/>
        <family val="2"/>
      </rPr>
      <t>(živice)</t>
    </r>
  </si>
  <si>
    <r>
      <t xml:space="preserve">hlavice termostatická </t>
    </r>
    <r>
      <rPr>
        <sz val="9"/>
        <color indexed="12"/>
        <rFont val="Arial"/>
        <family val="2"/>
      </rPr>
      <t>s  termostatickým ventilem - upřesnění dotazů</t>
    </r>
  </si>
  <si>
    <t>47*500</t>
  </si>
  <si>
    <r>
      <t xml:space="preserve">oplechování zdí rš.500mm   </t>
    </r>
    <r>
      <rPr>
        <sz val="10"/>
        <rFont val="Arial"/>
        <family val="2"/>
      </rPr>
      <t>410 mm</t>
    </r>
  </si>
  <si>
    <t>Zábradlí ocelové z profilů, včetně kotev, FeZzn, výška 1100mm   replika</t>
  </si>
  <si>
    <t>3,4+2,1*0,15*2+1,6*0,25</t>
  </si>
  <si>
    <t>(3,4+2,1*0,15*2+1,6*0,25)*1,02</t>
  </si>
  <si>
    <t>Objekt  D 2</t>
  </si>
  <si>
    <t>(35,4+43,8)*0,6*1+(1,3+4,5)*0,6*1,0</t>
  </si>
  <si>
    <t>(35,4+43,8)*0,2*1+(1,3+4,5)*0,2*1,0</t>
  </si>
  <si>
    <t>51+17-85*0,6*0,14-49,8</t>
  </si>
  <si>
    <t>(35,4+43,8)*0,6+(1,3+4,5)*0,6</t>
  </si>
  <si>
    <t>((35,4+43,8)*0,6+(1,3+4,5)*0,6)*0,25</t>
  </si>
  <si>
    <t>(823,24)*0,3</t>
  </si>
  <si>
    <t>(35,4+43,8)*0,5+(1,3+4,5)*0,5</t>
  </si>
  <si>
    <t>1714,2-42,5</t>
  </si>
  <si>
    <t>(35,4+43,8)+(1,3+4,5)</t>
  </si>
  <si>
    <t>O/105</t>
  </si>
  <si>
    <t>Plastové okno dvoukřídlové  horní křídlo otvíravé, spodní křídlo sklopné</t>
  </si>
  <si>
    <t>plast</t>
  </si>
  <si>
    <t>dřevo
ker</t>
  </si>
  <si>
    <t>O/121A</t>
  </si>
  <si>
    <t>Plastové okno čtyřkřídlové   horní křídla otvíravá, dolní křídla sklopná,  bez žaluzie</t>
  </si>
  <si>
    <t>2400*1800</t>
  </si>
  <si>
    <t>(0,6*5+1,35*1+0,9*18+1,35*7+0,9*42+2,4*53+2,1*2+2,1*12,4*1+2,4*1)</t>
  </si>
  <si>
    <t>(0,6*5+1,35*1+0,9*18+1,35*7+0,9*42+2,4*53+2,1*2+2,1*12,4*1+2,4*1)*1,1</t>
  </si>
  <si>
    <t>(2,72+2,19)*2*1+(0,8+1,97)*2*1</t>
  </si>
  <si>
    <t>7,5+4,95+70,2+30,45+138,6+286,2+20,1+13,8+2,9+2,1+6,3+6,0+4,2+4,74+7,1</t>
  </si>
  <si>
    <t>3+1,35+16,2+9,45+37,8+127,2+9+4,2+2,1+0,9+2,1+2,4+2,4</t>
  </si>
  <si>
    <t>Napojení svodu   na dešťovou kanalizaci</t>
  </si>
  <si>
    <t>1,8*0,95*0,45</t>
  </si>
  <si>
    <t>odkop.zdivo+sokl</t>
  </si>
  <si>
    <t>(35,4+43,8)*1,0+(1,3+4,5)*1,0</t>
  </si>
  <si>
    <t>2+18+7+42+106+18+12+3+1+6+4+2</t>
  </si>
  <si>
    <t>24,3+45,36+0,84+0,54</t>
  </si>
  <si>
    <t>2,43+14,18+190,8+2,16</t>
  </si>
  <si>
    <t>16,65+10,08+4,41+4,32</t>
  </si>
  <si>
    <t>0,8*1,97</t>
  </si>
  <si>
    <t>2,72*2,19</t>
  </si>
  <si>
    <t>1,35</t>
  </si>
  <si>
    <t>83*500</t>
  </si>
  <si>
    <t>vzduchotechnické potrubí pozink čtyřhranné průřezu 410x930 mm  dl.1450 mm  2 ks</t>
  </si>
  <si>
    <t>K12</t>
  </si>
  <si>
    <t>25</t>
  </si>
  <si>
    <t>(190,02)*0,3</t>
  </si>
  <si>
    <t>596,5</t>
  </si>
  <si>
    <t>O/103</t>
  </si>
  <si>
    <t>570*1100</t>
  </si>
  <si>
    <t>O/104</t>
  </si>
  <si>
    <t>O/106</t>
  </si>
  <si>
    <t>900*1800</t>
  </si>
  <si>
    <t>O/108</t>
  </si>
  <si>
    <t>(0,6*7+0,6*2+0,57*4+1,35*4+1,35*6+0,9*2+0,9*2+2,1*6)</t>
  </si>
  <si>
    <t>(0,6*7+0,6*2+0,57*4+1,35*4+1,35*6+0,9*2+0,9*2+2,1*6)*1,1</t>
  </si>
  <si>
    <t>(1,6+2,15)*2*4+(0,9+2,04)*2*2</t>
  </si>
  <si>
    <t>O/136</t>
  </si>
  <si>
    <t>Vstupní Al dveře dvoukřídlové, prosklené, bezpečnostní kování</t>
  </si>
  <si>
    <t>1600*2150</t>
  </si>
  <si>
    <t>O/137</t>
  </si>
  <si>
    <t>Vstupní Al dveře jednokřídlé, prosklené, bezpečnostní kování</t>
  </si>
  <si>
    <t>900*2040</t>
  </si>
  <si>
    <t>10,5+3,0+11,08+17,4+29,7+9+7,8+30,6+23,6+9,96</t>
  </si>
  <si>
    <t>4,2+1,2+2,28+5,4+8,1+1,8+1,8+12,6</t>
  </si>
  <si>
    <t>R002</t>
  </si>
  <si>
    <t>Střešní vpusť</t>
  </si>
  <si>
    <t>12.2a</t>
  </si>
  <si>
    <t>Rozebrání dlažeb z kamenných desek</t>
  </si>
  <si>
    <t>127,6</t>
  </si>
  <si>
    <t>7+2+4+8+12+4+2+18</t>
  </si>
  <si>
    <t>2,51+8,1+3,24+2,7</t>
  </si>
  <si>
    <t>14,58+18,9</t>
  </si>
  <si>
    <t>3,67</t>
  </si>
  <si>
    <t>13,76</t>
  </si>
  <si>
    <t>1,89+0,54</t>
  </si>
  <si>
    <t>596,5+56</t>
  </si>
  <si>
    <t>25*500</t>
  </si>
  <si>
    <t>D+M Lemování zdí plochá střecha rš.500mm</t>
  </si>
  <si>
    <t>K15</t>
  </si>
  <si>
    <t>oplechování zdí rš.500mm</t>
  </si>
  <si>
    <t>K17</t>
  </si>
  <si>
    <r>
      <t xml:space="preserve">oplechování zdí rš.400mm  </t>
    </r>
    <r>
      <rPr>
        <sz val="10"/>
        <rFont val="Arial"/>
        <family val="2"/>
      </rPr>
      <t xml:space="preserve"> </t>
    </r>
    <r>
      <rPr>
        <sz val="9"/>
        <rFont val="Arial"/>
        <family val="2"/>
      </rPr>
      <t>350 mm</t>
    </r>
  </si>
  <si>
    <t>K18</t>
  </si>
  <si>
    <t>oplechování říms rš.330mm   300 mm</t>
  </si>
  <si>
    <t>K19</t>
  </si>
  <si>
    <t>20.1a</t>
  </si>
  <si>
    <t>767R9</t>
  </si>
  <si>
    <t>Úprava stávajícího zábradlí, repase poškozených dílů</t>
  </si>
  <si>
    <t>Z8</t>
  </si>
  <si>
    <t>767R10</t>
  </si>
  <si>
    <t>Z9</t>
  </si>
  <si>
    <t>767R11</t>
  </si>
  <si>
    <t>Z10</t>
  </si>
  <si>
    <t>767R12</t>
  </si>
  <si>
    <t>Úprava stávajících mříží anglických dvorků, repase poškozených dílů</t>
  </si>
  <si>
    <t>767 16-5110.R00</t>
  </si>
  <si>
    <t>Montáž madel z trubek zábr. rovného - šroubováním</t>
  </si>
  <si>
    <t>Z11</t>
  </si>
  <si>
    <t>767R13</t>
  </si>
  <si>
    <t>Úprava stávajícího madla, nové kotvení</t>
  </si>
  <si>
    <t>(3,98+14,1+58,2)*1,0</t>
  </si>
  <si>
    <t>deska na soklu</t>
  </si>
  <si>
    <t>2,3+2,8+1,38+14,8+1,38+2,36+2,68</t>
  </si>
  <si>
    <t>627 45-3210.R00</t>
  </si>
  <si>
    <t>Oprava spárování dlažeb z kamene plochy nad 4 m2</t>
  </si>
  <si>
    <t>21.11</t>
  </si>
  <si>
    <t>schody</t>
  </si>
  <si>
    <t>3,8*2,9*2*2+1,18*(1,4+0,95)*2</t>
  </si>
  <si>
    <t>21.12</t>
  </si>
  <si>
    <t>21.13</t>
  </si>
  <si>
    <t>21.14</t>
  </si>
  <si>
    <t>Doplnění násypů pískem neupraveným o ploše nad 2m2</t>
  </si>
  <si>
    <t>n2</t>
  </si>
  <si>
    <t>127,6*0,075</t>
  </si>
  <si>
    <t xml:space="preserve">Hromosvod </t>
  </si>
  <si>
    <t>21022-0020</t>
  </si>
  <si>
    <t>Páska FeZn 30x4 mm (0,95kg/m) - volně ložená ve výkopu</t>
  </si>
  <si>
    <t>21022-0022</t>
  </si>
  <si>
    <t>Drát FeZn průměr 10/13 mm PVC izolace (0,62kg/m)</t>
  </si>
  <si>
    <t>21022-0372</t>
  </si>
  <si>
    <t>OT - ochranná trubka l = 1700 mm</t>
  </si>
  <si>
    <t>24.4</t>
  </si>
  <si>
    <t>MAT</t>
  </si>
  <si>
    <t>Držák ochranné trubky do zdiva, l ~350 mm</t>
  </si>
  <si>
    <t>24.5</t>
  </si>
  <si>
    <t>21022-0302</t>
  </si>
  <si>
    <t xml:space="preserve">SZ zkušební </t>
  </si>
  <si>
    <t>24.6</t>
  </si>
  <si>
    <t>SR  svorka spojovací páska-páska</t>
  </si>
  <si>
    <t>24.7</t>
  </si>
  <si>
    <t>SR  svorka spojovací páska-drát</t>
  </si>
  <si>
    <t>24.8</t>
  </si>
  <si>
    <t>21022-0101</t>
  </si>
  <si>
    <t>Drát AlMgSi  o průměru 8 mm (0,135kg/m), polotvrdý - uložený na podpěrách</t>
  </si>
  <si>
    <t>24.9</t>
  </si>
  <si>
    <t>21022-0221</t>
  </si>
  <si>
    <t xml:space="preserve">JR 3,0 AlMgSi , průměr 16 -18 mm, l = 3 000 mm </t>
  </si>
  <si>
    <t>24.10</t>
  </si>
  <si>
    <t>21022-0231</t>
  </si>
  <si>
    <t>JR 4,0 AlMgSi , průměr 16-18 mm, l = 4 000 mm</t>
  </si>
  <si>
    <t>24.11</t>
  </si>
  <si>
    <t>Betonový podstavec pro tyč průměru 16-18 mm, váha 17-19 kg</t>
  </si>
  <si>
    <t>24.12</t>
  </si>
  <si>
    <t>PVC podložka pod betonový podstavec</t>
  </si>
  <si>
    <t>24.13</t>
  </si>
  <si>
    <t>Vyrovnávací konstrukce pod podstavec</t>
  </si>
  <si>
    <t>24.14</t>
  </si>
  <si>
    <t>Ocelový držák jímací tyče do krokve</t>
  </si>
  <si>
    <t>24.15</t>
  </si>
  <si>
    <t>21022-0301</t>
  </si>
  <si>
    <t xml:space="preserve">SU univerzální </t>
  </si>
  <si>
    <t>24.16</t>
  </si>
  <si>
    <t>21022-0303</t>
  </si>
  <si>
    <t>SO okapová</t>
  </si>
  <si>
    <t>24.17</t>
  </si>
  <si>
    <t xml:space="preserve">SP  připojovací </t>
  </si>
  <si>
    <t>24.18</t>
  </si>
  <si>
    <t>SK  křížová</t>
  </si>
  <si>
    <t>24.19</t>
  </si>
  <si>
    <t>SJ  svorka k jímací tyči</t>
  </si>
  <si>
    <t>24.20</t>
  </si>
  <si>
    <t>PV - podpěra vedení do zdiva na hmoždinku - l ~ 350 mm</t>
  </si>
  <si>
    <t>24.21</t>
  </si>
  <si>
    <t>PV - podpěra vedení do dřevěné konstrukce (krokve) - šroubovací</t>
  </si>
  <si>
    <t>24.22</t>
  </si>
  <si>
    <t>PV  - popěra vedení na ploché střechy</t>
  </si>
  <si>
    <t>24.23</t>
  </si>
  <si>
    <t>PV  - popěra vedení na oplechování - uložení vodiče v podélném i příčném směru</t>
  </si>
  <si>
    <t>24.24</t>
  </si>
  <si>
    <t>Těsnící podložka pro podpěru vedení do zdiva nebo dřeva</t>
  </si>
  <si>
    <t>24.25</t>
  </si>
  <si>
    <t>21022-0391</t>
  </si>
  <si>
    <t>Izolační tyč pro jímací tyč  l = 930 mm</t>
  </si>
  <si>
    <t>24.26</t>
  </si>
  <si>
    <t>Držák oddáleného hromosvodu na stěnu</t>
  </si>
  <si>
    <t>24.27</t>
  </si>
  <si>
    <t>21022-0311</t>
  </si>
  <si>
    <t>Držák oddáleného hromosvodu na trubku vč. nerez pásku</t>
  </si>
  <si>
    <t>24.28</t>
  </si>
  <si>
    <t>Držák oddáleného hromosvodu na trubku do průměru 60 mm</t>
  </si>
  <si>
    <t>24.29</t>
  </si>
  <si>
    <t>21022-0401</t>
  </si>
  <si>
    <t>"Za bouřky dodržujte odstup 3 metry ! Jste v ohrožení života !"</t>
  </si>
  <si>
    <t>24.30</t>
  </si>
  <si>
    <t>"Za bouřky opusťte střechu ! Jste v ohrožení života !"</t>
  </si>
  <si>
    <t>24.31</t>
  </si>
  <si>
    <t>Štítek k označení svodů</t>
  </si>
  <si>
    <t>24.32</t>
  </si>
  <si>
    <t>Podružný materiál</t>
  </si>
  <si>
    <t>24.33</t>
  </si>
  <si>
    <t>21028-0003</t>
  </si>
  <si>
    <t>Zkoušky a prohlídky rozvodů a zařízení  a vyhotovení revizní zprávy</t>
  </si>
  <si>
    <t>24.34</t>
  </si>
  <si>
    <t>Projekt skutečného provedení hromosvodu</t>
  </si>
  <si>
    <t>24.35</t>
  </si>
  <si>
    <t>Demontáž stávajícího hromosvodu</t>
  </si>
  <si>
    <t>24.36</t>
  </si>
  <si>
    <t>46020-0063</t>
  </si>
  <si>
    <t>Rýha pro zemnič šíře do 300 mm, hloubka 800 mm</t>
  </si>
  <si>
    <t>24.37</t>
  </si>
  <si>
    <t>Revize hromosvodu</t>
  </si>
  <si>
    <t>24.38</t>
  </si>
  <si>
    <t xml:space="preserve">Stanovisko technické inspekce ČR </t>
  </si>
  <si>
    <t xml:space="preserve"> Doplněk výkazu výměr   REVIZE  č.1  20.1.2015  </t>
  </si>
  <si>
    <t>Datum zpracování: 12.2014</t>
  </si>
  <si>
    <t>Objekt  C 1  celkem</t>
  </si>
  <si>
    <t>Bourání</t>
  </si>
  <si>
    <t>113 10-8309.R00</t>
  </si>
  <si>
    <t>Odstranění podkladu pl.do 50 m2, živice tl. 9 cm</t>
  </si>
  <si>
    <t>30,54*1,2</t>
  </si>
  <si>
    <t>113 10-7525.R00</t>
  </si>
  <si>
    <t>Odstranění podkladu pl. 50 m2,kam.drcené tl.26 cm</t>
  </si>
  <si>
    <t>113 10-7314.R00</t>
  </si>
  <si>
    <t>Odstranění podkladu pl. 50 m2,kam.těžené tl.14 cm</t>
  </si>
  <si>
    <t>979 99-0104.R00</t>
  </si>
  <si>
    <t>Poplatek za skládku suti -  beton , kamenivo</t>
  </si>
  <si>
    <t>979 99-0113.R00</t>
  </si>
  <si>
    <t>Poplatek za skládku suti - obalovaný asfalt</t>
  </si>
  <si>
    <t>919731121R</t>
  </si>
  <si>
    <t xml:space="preserve">Zarovnání styčné plochy živičné tl. do 5 cm se zalitím </t>
  </si>
  <si>
    <t>577 11-2114.R00</t>
  </si>
  <si>
    <t>Asfaltový beton  modifikovaný  ACO 11+  tl.40 mm
ČSN 73 6121</t>
  </si>
  <si>
    <t>30,54*0,7</t>
  </si>
  <si>
    <t>573 23-1111.R00</t>
  </si>
  <si>
    <t>Spojovací postřik z emulze PS-E  0,3 kg/m2
ČSN 73 6129</t>
  </si>
  <si>
    <t>577 11-4114.R00</t>
  </si>
  <si>
    <t>Asfaltový beton    ACL 16+   tl.50 mm
ČSN 73 6121</t>
  </si>
  <si>
    <t>565 13-1111.R00</t>
  </si>
  <si>
    <t>Asfaltový beton    ACP 16+   tl.50 mm
ČSN 73 6121</t>
  </si>
  <si>
    <t>Spojovací postřik z emulze PS-E  0,2 kg/m2
ČSN 73 6129</t>
  </si>
  <si>
    <t>573 11-1112.R00</t>
  </si>
  <si>
    <t>Infiltrační postřik  PI-E  1,0 kg/m2
ČSN 73 6129</t>
  </si>
  <si>
    <t>564 94-2112.R00</t>
  </si>
  <si>
    <t>Podklad z mechanicky zpevněného kameniva tl. 13 cm</t>
  </si>
  <si>
    <t>564 86-1113.R00</t>
  </si>
  <si>
    <t>Štěrkodrť  ŚDA    tl.220 mm
ČSN 73 6126-1</t>
  </si>
  <si>
    <t>998 22-5111.R00</t>
  </si>
  <si>
    <t>Přesun hmot, pozemní komunikace, kryt živičný</t>
  </si>
  <si>
    <t>Objekt  C 2  celkem</t>
  </si>
  <si>
    <t>35,24*1,2</t>
  </si>
  <si>
    <t>35,24*0,7</t>
  </si>
  <si>
    <t>Objekt  B 1  celkem</t>
  </si>
  <si>
    <t>14*1,2</t>
  </si>
  <si>
    <t>14*0,7</t>
  </si>
  <si>
    <t>Doplněk pro všechny objekty A-E</t>
  </si>
  <si>
    <t>Pomocné konstrukce oplechování atiky</t>
  </si>
  <si>
    <t>762 34-3101.R01</t>
  </si>
  <si>
    <t>Pomocná  konstrukce  podkladní  pro uchycení oplechování - trámky 160/240 mm</t>
  </si>
  <si>
    <t>762 34-3101.R02</t>
  </si>
  <si>
    <t>Pomocná  konstrukce  podkladní  pro uchycení oplechování  - latě  30/30 mm</t>
  </si>
  <si>
    <t>762 34-3101.R03</t>
  </si>
  <si>
    <t>Pomocná  konstrukce  podkladní pro uchycení oplechování  - latě  60/90 mm</t>
  </si>
  <si>
    <t>762 51-2235.R03</t>
  </si>
  <si>
    <t>Pomocná  konstrukce  podkladní  pro uchycení oplechování  - OSB desky tl.30 mm</t>
  </si>
  <si>
    <t>762 52-1104.RT3</t>
  </si>
  <si>
    <t>Pomocná  konstrukce  podkladní  pro uchycení oplechování  - prkna tl.24 mm</t>
  </si>
  <si>
    <t>998 76-2203.R00</t>
  </si>
  <si>
    <t>Přesun hmot pro tesařské konstrukce, výšky do 24 m</t>
  </si>
  <si>
    <t>Poznámka:</t>
  </si>
  <si>
    <t xml:space="preserve">Upřesnění typ hlavice : termostatická hlavice s vestavěným čidlem v provedení pro veřejné prostory (zajištění proti odcizení) + termostatické ventily s plynulým přesným nastavením, těleso ventilu z bronzu, v korozivzdorném a bezpečném provedení, 8 stupňů nastavení, DN10 - DN 20, kv= 0.049- 0.67 m3/hod, kvs = 0.049 - 0.86 m3/hod  </t>
  </si>
  <si>
    <t xml:space="preserve">kontrolní součet  </t>
  </si>
  <si>
    <t xml:space="preserve"> Doplněk výkazu výměr  REVIZE  č.2   30.3.2016</t>
  </si>
  <si>
    <t>Objekty   celkem</t>
  </si>
  <si>
    <t>Ostatní doplňky stavby</t>
  </si>
  <si>
    <t>999 R01</t>
  </si>
  <si>
    <t xml:space="preserve">Dodávka  a montáž -  hnízdní dutina pro rorýse velikost 200/150, výška 150mm s výletovým otvorem 70/40mm </t>
  </si>
  <si>
    <t>999 R02</t>
  </si>
  <si>
    <t>Dodávka  a montáž -  budka pro netopýry ( 200/475, hloubka 125mm, výletový otvor 20/150mm</t>
  </si>
  <si>
    <t>REKUPERACE  Stavba</t>
  </si>
  <si>
    <t>Svislé a vodorovné konstrukce</t>
  </si>
  <si>
    <t>317 23-4410.RT2</t>
  </si>
  <si>
    <t xml:space="preserve">Vyzdívka mezi nosníky cihlami pálenými na MC
 s použitím suché maltové směsi </t>
  </si>
  <si>
    <t>1.NP     1.2</t>
  </si>
  <si>
    <t>1,15*0,1*0,6</t>
  </si>
  <si>
    <t>2.NP     2.1</t>
  </si>
  <si>
    <t>1,25*0,1*0,6</t>
  </si>
  <si>
    <t>2.NP     2.9</t>
  </si>
  <si>
    <t>1,1*0,1*0,45</t>
  </si>
  <si>
    <t>2.NP    2.4</t>
  </si>
  <si>
    <t>1,05*0,6*0,1</t>
  </si>
  <si>
    <t>2.NP    chodba</t>
  </si>
  <si>
    <t>(0,95*0,1*0,6+0,95*0,1*0,45)*2</t>
  </si>
  <si>
    <t>2.NP    WC</t>
  </si>
  <si>
    <t>0,3*0,1*0,45</t>
  </si>
  <si>
    <t>2.NP    2.5</t>
  </si>
  <si>
    <t>0,9*0,1*0,6</t>
  </si>
  <si>
    <t>2.NP    VZT</t>
  </si>
  <si>
    <t>0,95*0,6*0,1+0,9*0,1*0,45*2</t>
  </si>
  <si>
    <t>2.NP    kabinet 3</t>
  </si>
  <si>
    <t>0,325*0,1*0,6</t>
  </si>
  <si>
    <t>2.NP  2.8 chodba</t>
  </si>
  <si>
    <t>1,3*0,1*0,6+1,2*0,1*0,45</t>
  </si>
  <si>
    <t>3.NP    chodba</t>
  </si>
  <si>
    <t>1,25*0,45*0,1+1,2*0,1*0,6+1,2*0,1*0,5</t>
  </si>
  <si>
    <t>3.NP    WC</t>
  </si>
  <si>
    <t>1,25*0,45*0,1*4</t>
  </si>
  <si>
    <t>3.NP    chodba 2</t>
  </si>
  <si>
    <t>3.NP    chodba 3</t>
  </si>
  <si>
    <t>1,2*0,1*0,6*2+1,0*0,1*0,45+1,3*0,1*0,45</t>
  </si>
  <si>
    <t>1,2*0,1*0,45*3</t>
  </si>
  <si>
    <t>4.NP    chodba</t>
  </si>
  <si>
    <t>1,8*0,1*0,6*2+1,0*0,1*0,6+1,1*0,1*0,6</t>
  </si>
  <si>
    <t>5.NP    půda</t>
  </si>
  <si>
    <t>0,6*0,1*0,45*4</t>
  </si>
  <si>
    <t>317 94-4311.R00</t>
  </si>
  <si>
    <t xml:space="preserve"> Válcované nosníky do č.12 osazené do otvorů </t>
  </si>
  <si>
    <t>1.NP     1.4</t>
  </si>
  <si>
    <t>4*0,8*8,34*3</t>
  </si>
  <si>
    <t>1,2*4*8,34</t>
  </si>
  <si>
    <t>1.NP    stáčení</t>
  </si>
  <si>
    <t>4*0,8*8,34</t>
  </si>
  <si>
    <t>1,25*4*8,34</t>
  </si>
  <si>
    <t>1,1*4*8,34</t>
  </si>
  <si>
    <t>2.NP    kabinet</t>
  </si>
  <si>
    <t>(4*0,8)*8,34</t>
  </si>
  <si>
    <t>(1*1,15)*4,1*2</t>
  </si>
  <si>
    <t>2.NP    kabinet 2</t>
  </si>
  <si>
    <t>(4*0,8)*2*8,34+(4*1,2)*8,34</t>
  </si>
  <si>
    <t>2*1,05*15,04</t>
  </si>
  <si>
    <t>4*1,25*8,34*2</t>
  </si>
  <si>
    <t>4*1,2*8,34</t>
  </si>
  <si>
    <t>4*1,2*8,34+4*1,2*8,34*2</t>
  </si>
  <si>
    <t>4*0,65*8,34</t>
  </si>
  <si>
    <t>4*1,25*8,34+4*1,2*8,34</t>
  </si>
  <si>
    <t>2.NP    2.6</t>
  </si>
  <si>
    <t>2*0,6*15,04</t>
  </si>
  <si>
    <t>2.NP    2.7</t>
  </si>
  <si>
    <t>1,2*4,1*2</t>
  </si>
  <si>
    <t>(4*1,25+4*1,2)*8,34+1,2*4,1*2</t>
  </si>
  <si>
    <t>1,2*4*4*8,34+1,2*2*4,1</t>
  </si>
  <si>
    <t>3,2*2*8,34+4*1,15*8,34</t>
  </si>
  <si>
    <t>1,2*4*8,34+0,8*4*8,34+1,15*4*8,34+1,1*4*8,34+3,2*2</t>
  </si>
  <si>
    <t>1,2*4*8,34*3</t>
  </si>
  <si>
    <t>4.NP    4.2</t>
  </si>
  <si>
    <t>1*2*4,1</t>
  </si>
  <si>
    <t>4.NP    4.6</t>
  </si>
  <si>
    <t>1,8*4*2*10,6+15,04*2*0,6+1,1*4*10,6</t>
  </si>
  <si>
    <t>0,6*2*15,04*4</t>
  </si>
  <si>
    <t>133-80515</t>
  </si>
  <si>
    <t>Tyč průřezu IPE 100, střední, jakost oceli S 235</t>
  </si>
  <si>
    <t>(4*0,8)*2*8,34</t>
  </si>
  <si>
    <t>(4*1,2)*8,34</t>
  </si>
  <si>
    <t>(4*1,25+4*1,2)*8,34</t>
  </si>
  <si>
    <t>1,2*4*4*8,34</t>
  </si>
  <si>
    <t>1,2*4*8,34+0,8*4*8,34+1,15*4*8,34+1,1*4*8,34+3,2*2*2</t>
  </si>
  <si>
    <t>1,2*4*8,34*3+3,03</t>
  </si>
  <si>
    <t>Prořez</t>
  </si>
  <si>
    <t>1343,56*0,05</t>
  </si>
  <si>
    <t>133-80420</t>
  </si>
  <si>
    <t>Tyč průřezu IPE 120, střední, jakost oceli S 235</t>
  </si>
  <si>
    <t>1,8*4*2*10,6+1,1*4*10,6</t>
  </si>
  <si>
    <t>199,28*0,05</t>
  </si>
  <si>
    <t>133-31838</t>
  </si>
  <si>
    <t>Úhelník rovnoramenný L jakost S 235 100x100x10 mm</t>
  </si>
  <si>
    <r>
      <t>1</t>
    </r>
    <r>
      <rPr>
        <i/>
        <sz val="10"/>
        <color indexed="12"/>
        <rFont val="Arial"/>
        <family val="2"/>
      </rPr>
      <t>5,04*2*0,6</t>
    </r>
  </si>
  <si>
    <t>139,87*0,05</t>
  </si>
  <si>
    <t>133-31720</t>
  </si>
  <si>
    <t>Úhelník rovnoramenný L jakost S 235  50x50x5 mm</t>
  </si>
  <si>
    <t>1,2*2*4,1</t>
  </si>
  <si>
    <t>55,35*0,05</t>
  </si>
  <si>
    <t>340 23-6211.R00</t>
  </si>
  <si>
    <t>Zazdívka otvorů pl.0,09 m2 cihlami, tl.zdi do 10cm</t>
  </si>
  <si>
    <t>310 23-6261.RT1</t>
  </si>
  <si>
    <t>Zazdívka otvorů pl. 0,09 m2 cihlami, tl. zdi 60 cm s použitím suché maltové směsi</t>
  </si>
  <si>
    <t>1+2</t>
  </si>
  <si>
    <t>1.9</t>
  </si>
  <si>
    <t>413 23-2211.RT2</t>
  </si>
  <si>
    <t xml:space="preserve">Zazdívka zhlaví válcovaných nosníků výšky do 15cm  s použitím suché maltové směsi </t>
  </si>
  <si>
    <t>2*2</t>
  </si>
  <si>
    <t>1.NP     1.1</t>
  </si>
  <si>
    <t>2*2*2</t>
  </si>
  <si>
    <t>4*2</t>
  </si>
  <si>
    <t>1.NP     stáčení</t>
  </si>
  <si>
    <t>2*2+1*2</t>
  </si>
  <si>
    <t>2*2+2*4</t>
  </si>
  <si>
    <t>4*2+4*2*2</t>
  </si>
  <si>
    <t>4*2*2</t>
  </si>
  <si>
    <t>4*2+4*2+2</t>
  </si>
  <si>
    <t>4*2*3+1*2</t>
  </si>
  <si>
    <t>4+4*2</t>
  </si>
  <si>
    <t>4*2*4+4</t>
  </si>
  <si>
    <t>4*2*3</t>
  </si>
  <si>
    <t>1*2</t>
  </si>
  <si>
    <t>2*2+4*2*3</t>
  </si>
  <si>
    <t>1.10</t>
  </si>
  <si>
    <t>Z 01</t>
  </si>
  <si>
    <t>Dodávka a montáž revizních dvířek 600x600 mm do SDK podhledu</t>
  </si>
  <si>
    <t>3,00</t>
  </si>
  <si>
    <t>3*2</t>
  </si>
  <si>
    <t>4.NP    4.8</t>
  </si>
  <si>
    <t>1.11</t>
  </si>
  <si>
    <t>Z 02</t>
  </si>
  <si>
    <t>Dodávka a montáž revizních dvířek 300x300 mm do SDK podhledu</t>
  </si>
  <si>
    <t>4.NP    4.6, 4.7</t>
  </si>
  <si>
    <t>1.12</t>
  </si>
  <si>
    <t>767 99-51R02</t>
  </si>
  <si>
    <t>KRYCÍ LIST ROZPOČTU</t>
  </si>
  <si>
    <t>Název stavby</t>
  </si>
  <si>
    <t>Zateplení obálky budov areálu SZeŠ Čáslav</t>
  </si>
  <si>
    <t>JKSO</t>
  </si>
  <si>
    <t>Název objektu</t>
  </si>
  <si>
    <t>EČO</t>
  </si>
  <si>
    <t xml:space="preserve">   </t>
  </si>
  <si>
    <t>Místo</t>
  </si>
  <si>
    <t>Sadová 1234/1, 286 01 Čáslav</t>
  </si>
  <si>
    <t>IČ</t>
  </si>
  <si>
    <t>DIČ</t>
  </si>
  <si>
    <t>Objednatel</t>
  </si>
  <si>
    <t xml:space="preserve">SZeŠ Čáslav, Sadová 1234/1, 286 01 Čáslav (IČ 49797999)   </t>
  </si>
  <si>
    <t>Projektant</t>
  </si>
  <si>
    <t>M-PROject CZ s.r.o., Zelený Pruh 52, Praha 4</t>
  </si>
  <si>
    <t>Zhotovitel</t>
  </si>
  <si>
    <t>Zpracoval</t>
  </si>
  <si>
    <t>Rozpočet číslo</t>
  </si>
  <si>
    <t>Dne</t>
  </si>
  <si>
    <t>09.2014</t>
  </si>
  <si>
    <t>REVIZE  A 16.1.2015</t>
  </si>
  <si>
    <t>REVIZE  B 20.1.2015</t>
  </si>
  <si>
    <t>REVIZE č.2 28.3.2016</t>
  </si>
  <si>
    <t>Rekuperace 28.3.2016</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</si>
  <si>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</si>
  <si>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</si>
  <si>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</si>
  <si>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</si>
  <si>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</si>
  <si>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</si>
  <si>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</si>
  <si>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</si>
  <si>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</si>
  <si>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</si>
  <si>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</si>
  <si>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</si>
  <si>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</si>
  <si>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</si>
  <si>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Náklady na umístění stavby</t>
  </si>
  <si>
    <t>1</t>
  </si>
  <si>
    <t>ZRN</t>
  </si>
  <si>
    <t>Objekt  A</t>
  </si>
  <si>
    <t>8</t>
  </si>
  <si>
    <t>Práce přesčas</t>
  </si>
  <si>
    <t>13</t>
  </si>
  <si>
    <t xml:space="preserve">Zařízení staveniště   </t>
  </si>
  <si>
    <t>2</t>
  </si>
  <si>
    <t>Objekt B 1</t>
  </si>
  <si>
    <t>9</t>
  </si>
  <si>
    <t>Bez pevné podl.</t>
  </si>
  <si>
    <t>14</t>
  </si>
  <si>
    <t xml:space="preserve">Mimostav. doprava   </t>
  </si>
  <si>
    <t>3</t>
  </si>
  <si>
    <t>Objekt B 2</t>
  </si>
  <si>
    <t>4</t>
  </si>
  <si>
    <t>Objekt C 1</t>
  </si>
  <si>
    <t>5</t>
  </si>
  <si>
    <t>Objekt C 2</t>
  </si>
  <si>
    <t>6</t>
  </si>
  <si>
    <t>Objekt D 1</t>
  </si>
  <si>
    <t>7</t>
  </si>
  <si>
    <t>Objekt D 2</t>
  </si>
  <si>
    <t>Objekt E</t>
  </si>
  <si>
    <t>rev.A</t>
  </si>
  <si>
    <t>Hromosvod</t>
  </si>
  <si>
    <t>rev.1</t>
  </si>
  <si>
    <t>10</t>
  </si>
  <si>
    <t>Kulturní památka</t>
  </si>
  <si>
    <t>rev.2</t>
  </si>
  <si>
    <t>11</t>
  </si>
  <si>
    <t>15</t>
  </si>
  <si>
    <t xml:space="preserve">Územní vlivy   </t>
  </si>
  <si>
    <t>16</t>
  </si>
  <si>
    <t xml:space="preserve">Provozní vlivy   </t>
  </si>
  <si>
    <t>17</t>
  </si>
  <si>
    <t xml:space="preserve">Ostatní   </t>
  </si>
  <si>
    <t>18</t>
  </si>
  <si>
    <t>NUS z rozpočtu</t>
  </si>
  <si>
    <t>ZRN (ř. 1-6)</t>
  </si>
  <si>
    <t>12</t>
  </si>
  <si>
    <t>DN (ř. 8-11)</t>
  </si>
  <si>
    <t>19</t>
  </si>
  <si>
    <t>NUS (ř. 13-18)</t>
  </si>
  <si>
    <t>20</t>
  </si>
  <si>
    <t>HZS</t>
  </si>
  <si>
    <t>21</t>
  </si>
  <si>
    <t>Kompl. činnost</t>
  </si>
  <si>
    <t>22</t>
  </si>
  <si>
    <t>Ostatní náklady</t>
  </si>
  <si>
    <t>Projektant, Zhotovitel, Objednatel</t>
  </si>
  <si>
    <t>D</t>
  </si>
  <si>
    <t>Celkem bez DPH</t>
  </si>
  <si>
    <t>DPH</t>
  </si>
  <si>
    <t>%</t>
  </si>
  <si>
    <t>Základ daně</t>
  </si>
  <si>
    <t>DPH celkem</t>
  </si>
  <si>
    <t xml:space="preserve"> snížená</t>
  </si>
  <si>
    <t xml:space="preserve"> základní</t>
  </si>
  <si>
    <t>Cena s DPH</t>
  </si>
  <si>
    <t>E</t>
  </si>
  <si>
    <t>Přípočty a odpočty</t>
  </si>
  <si>
    <t>Dodá zadavatel</t>
  </si>
  <si>
    <t>Klouzavá doložka</t>
  </si>
  <si>
    <t>Zvýhodnění</t>
  </si>
  <si>
    <t>Poznámka</t>
  </si>
  <si>
    <t>rušené položky</t>
  </si>
  <si>
    <t>červené přeškrtnuté písmo</t>
  </si>
  <si>
    <t>nové nebo opravené</t>
  </si>
  <si>
    <t>modré písmo, žlutě podbarvené</t>
  </si>
  <si>
    <t>modré písmo, modře podbarvené</t>
  </si>
  <si>
    <t>rev.B</t>
  </si>
  <si>
    <t>Stavební rozpočet</t>
  </si>
  <si>
    <t>Zateplení obálky budov areálu SZeŠ-Čáslav</t>
  </si>
  <si>
    <t>Doba výstavby:</t>
  </si>
  <si>
    <t>Objednatel:</t>
  </si>
  <si>
    <t>SZŠ Čáslav, Sadová 1234 (IČ 49797999)</t>
  </si>
  <si>
    <t>Střední zemědělská škola, Čáslav</t>
  </si>
  <si>
    <t>Začátek výstavby:</t>
  </si>
  <si>
    <t>Projektant:</t>
  </si>
  <si>
    <t>Konec výstavby:</t>
  </si>
  <si>
    <t>Zhotovitel:</t>
  </si>
  <si>
    <t>Zpracoval:</t>
  </si>
  <si>
    <t xml:space="preserve"> </t>
  </si>
  <si>
    <t>Náklady (Kč)</t>
  </si>
  <si>
    <t>Hmotnost (t)</t>
  </si>
  <si>
    <t>Kód</t>
  </si>
  <si>
    <t>Zkrácený popis</t>
  </si>
  <si>
    <t>M,j,</t>
  </si>
  <si>
    <t>Množství</t>
  </si>
  <si>
    <t>Jednot,</t>
  </si>
  <si>
    <t>Celkem</t>
  </si>
  <si>
    <t>ZRN celkem</t>
  </si>
  <si>
    <t>1.</t>
  </si>
  <si>
    <t>Hloubené vykopávky</t>
  </si>
  <si>
    <t>1.1</t>
  </si>
  <si>
    <t>132 20-1111.R00</t>
  </si>
  <si>
    <t>Hloubení rýh šířky do 60 cm v hor.3 do 100 m3</t>
  </si>
  <si>
    <t>m3</t>
  </si>
  <si>
    <t>(28,1+10,2+12,5+45,3+12,5+10,2+23,1+5,7+4,3+4,6+9,4+31,0+9,5+4,7+4,2)*1*0,6</t>
  </si>
  <si>
    <t>1.2</t>
  </si>
  <si>
    <t>139 60-1102.R00</t>
  </si>
  <si>
    <t>Ruční výkop jam, rýh a šachet v hornině tř. 3</t>
  </si>
  <si>
    <t>(28,1+10,2+12,5+45,3+12,5+10,2+23,1+5,7+4,3+4,6+9,4+31,0+9,5+4,7+4,2)*1*0,2</t>
  </si>
  <si>
    <t>1.3</t>
  </si>
  <si>
    <t xml:space="preserve">112 20-3214.R00 </t>
  </si>
  <si>
    <t>Vyjmutí vzrostlých rostlin před stavební úpravou s uskladněním</t>
  </si>
  <si>
    <t>kus</t>
  </si>
  <si>
    <t>1.4</t>
  </si>
  <si>
    <t>R</t>
  </si>
  <si>
    <t>Znovuvysazení vzrostlých rostlin s balem</t>
  </si>
  <si>
    <t>1.5</t>
  </si>
  <si>
    <t>174 10-1102.R00</t>
  </si>
  <si>
    <t>Zásyp ruční se zhutněním</t>
  </si>
  <si>
    <t>1.6</t>
  </si>
  <si>
    <t>162 70-1105.R00</t>
  </si>
  <si>
    <t>Vodorovné přemístění výkopku z hor.1-4 do 10000 m</t>
  </si>
  <si>
    <t>1.7</t>
  </si>
  <si>
    <t>199 00-0002.R00</t>
  </si>
  <si>
    <t>Poplatek za skládku horniny 1- 4</t>
  </si>
  <si>
    <t>1.8</t>
  </si>
  <si>
    <t>212 57-1112.R00</t>
  </si>
  <si>
    <t>Výplň odvodňov. trativodů štěrkopískem netříděným</t>
  </si>
  <si>
    <t>2.1</t>
  </si>
  <si>
    <t>451 57-3111.R00</t>
  </si>
  <si>
    <t>Lože pod potrubí ze štěrkopísku do 63 mm</t>
  </si>
  <si>
    <t>2.5</t>
  </si>
  <si>
    <t>175 10-0020.RAC</t>
  </si>
  <si>
    <t>Obsyp potrubí štěrkopískem dovoz štěrop. 10 km</t>
  </si>
  <si>
    <t>2.6</t>
  </si>
  <si>
    <t>174 10-1101.R00</t>
  </si>
  <si>
    <t>Zásyp jam sypaninou se zhutněním</t>
  </si>
  <si>
    <t>2.</t>
  </si>
  <si>
    <t>31</t>
  </si>
  <si>
    <t>Zdi podpěrné a volné</t>
  </si>
  <si>
    <t>319 20-1311.R00</t>
  </si>
  <si>
    <t>Vyrovnání nerovného povrchu zdiva tl do 30 mm maltou</t>
  </si>
  <si>
    <t>m2</t>
  </si>
  <si>
    <t>odkop. zdivo</t>
  </si>
  <si>
    <t>(250,1-11,9-6)*0,8</t>
  </si>
  <si>
    <t>zídka</t>
  </si>
  <si>
    <t>44,2*1,2*2</t>
  </si>
  <si>
    <t>2.2</t>
  </si>
  <si>
    <t>319 20-2321.R00</t>
  </si>
  <si>
    <t>Vyrovnání povrchu zdiva přizděním do tl. 8 cm  - vyrovnání nerovného zdiva po odkopání a otlučení</t>
  </si>
  <si>
    <t>(250,1-11,9-6)*0,8*0,25</t>
  </si>
  <si>
    <t>44,2*1,2*2*0,25</t>
  </si>
  <si>
    <t>2.3</t>
  </si>
  <si>
    <t>349 23-1811.R00</t>
  </si>
  <si>
    <t>Přizdívka ostění s ozubem , kapsy do 15 cm</t>
  </si>
  <si>
    <t>1570,95*0,45+20,81*0,45</t>
  </si>
  <si>
    <t>310 10-0011.RA0</t>
  </si>
  <si>
    <t>Zazdívka otvorů ve zdivu, bez úpravy povrchu</t>
  </si>
  <si>
    <t>2.4</t>
  </si>
  <si>
    <t>311 23-1114.R00</t>
  </si>
  <si>
    <t>Zdivo nosné cihelné z CP 29 P15 na MVC 2,5</t>
  </si>
  <si>
    <t>schodiště</t>
  </si>
  <si>
    <t>0,6*0,3*(0,287+1,113+0,29+0,29+2,061+0,29)</t>
  </si>
  <si>
    <t>atika</t>
  </si>
  <si>
    <t>131,3*0,15*0,15</t>
  </si>
  <si>
    <t>417 35-1115.R00</t>
  </si>
  <si>
    <t>Bednění ztužujících pásů a věnců - zřízení</t>
  </si>
  <si>
    <t>0,075*2*(0,287+1,113+0,29+0,29+2,061+0,29)</t>
  </si>
  <si>
    <t>417 35-1116.R00</t>
  </si>
  <si>
    <t>Bednění ztužujících pásů a věnců - odstranění</t>
  </si>
  <si>
    <t>2.7</t>
  </si>
  <si>
    <t>417 32-1414.R00</t>
  </si>
  <si>
    <t>Ztužující pásy a věnce z betonu železového C 25/30</t>
  </si>
  <si>
    <t>0,075*0,3*(0,287+1,113+0,29+0,29+2,061+0,29)</t>
  </si>
  <si>
    <t>2.8</t>
  </si>
  <si>
    <t>417 36-1821.R00</t>
  </si>
  <si>
    <t>Výztuž ztužujících pásů a věnců z oceli 10505</t>
  </si>
  <si>
    <t>t</t>
  </si>
  <si>
    <t>0,075*0,3*(0,287+1,113+0,29+0,29+2,061+0,29)*9,5</t>
  </si>
  <si>
    <t>2.9</t>
  </si>
  <si>
    <t>314 23-2541.R00</t>
  </si>
  <si>
    <t>Zdivo komín. těles z cihel šamot. 30 cm na MC 10</t>
  </si>
  <si>
    <t>střecha</t>
  </si>
  <si>
    <t>1,385*0,45*1,2+1,0*0,45*1,2+1,50*0,45*1,2*2+1,5*0,45*2,8*2</t>
  </si>
  <si>
    <t>2.10</t>
  </si>
  <si>
    <t xml:space="preserve">Beton komínových hlav </t>
  </si>
  <si>
    <t>(1,385*0,45+1,0*0,45+1,50*0,45*4-0,15*0,15*5*4-0,15*0,15*6)*0,12</t>
  </si>
  <si>
    <t>2.11</t>
  </si>
  <si>
    <t>Výztuž  komínových hlav z oceli 10505</t>
  </si>
  <si>
    <t>0,38*0,08</t>
  </si>
  <si>
    <t>2.12</t>
  </si>
  <si>
    <t>Bednění komínových hlav - zřízení</t>
  </si>
  <si>
    <t>(1,385+0,45+1,0+0,45+1,50+0,45*4+(0,15+0,15)*5*4+(0,15+0,15)*6)*0,12*2</t>
  </si>
  <si>
    <t>2.13</t>
  </si>
  <si>
    <t>Bednění komínových hlav - odstranění</t>
  </si>
  <si>
    <t>3.</t>
  </si>
  <si>
    <t>41</t>
  </si>
  <si>
    <t>Stropy a stropní konstrukce (pro pozemní stavby)</t>
  </si>
  <si>
    <t>3.1</t>
  </si>
  <si>
    <t>416 02-6128.R00</t>
  </si>
  <si>
    <t>Podhled SDK,ocel.dvouúrov.kříž.rošt, 1x RFI 15 mm</t>
  </si>
  <si>
    <t>S12</t>
  </si>
  <si>
    <t>91,9*1,15</t>
  </si>
  <si>
    <t>4.</t>
  </si>
  <si>
    <t>43</t>
  </si>
  <si>
    <t>Schodiště</t>
  </si>
  <si>
    <t>4.1</t>
  </si>
  <si>
    <t>564 73-2111.R00</t>
  </si>
  <si>
    <t>Podklad z kam.drceného 32-63 s výplň.kamen. 10 cm</t>
  </si>
  <si>
    <t>2,35*1,7</t>
  </si>
  <si>
    <t>4.2</t>
  </si>
  <si>
    <t>430 32-1414.R00</t>
  </si>
  <si>
    <t>Schodišťové konstrukce, železobeton C 25/30 (B 30)</t>
  </si>
  <si>
    <t>2,35*1,7*0,15</t>
  </si>
  <si>
    <t>4.3</t>
  </si>
  <si>
    <t>430 36-1821.R00</t>
  </si>
  <si>
    <t>Výztuž schodišťových konstrukcí z ocelí 10505</t>
  </si>
  <si>
    <t>4.4</t>
  </si>
  <si>
    <t>434 12-1425.R00</t>
  </si>
  <si>
    <t>Osazení želbet. stupňů na desku, broušených</t>
  </si>
  <si>
    <t>m</t>
  </si>
  <si>
    <t>2,35*6</t>
  </si>
  <si>
    <t>4.5</t>
  </si>
  <si>
    <t>593723040</t>
  </si>
  <si>
    <t>Stupeň schod. vym. 255/300/140</t>
  </si>
  <si>
    <t>ks</t>
  </si>
  <si>
    <t>4.6</t>
  </si>
  <si>
    <t>345 23-2122.R00</t>
  </si>
  <si>
    <t>Stříška na plot ze zákrytových desek, šířka 40 cm</t>
  </si>
  <si>
    <t>(0,287+1,113+0,29+0,29+2,061+0,29)</t>
  </si>
  <si>
    <t>4.7</t>
  </si>
  <si>
    <t>632 90-2211.R00</t>
  </si>
  <si>
    <t>Příprava zatvrdlého povrchu s přísadou PVAC</t>
  </si>
  <si>
    <t>5,75+2,4*0,14</t>
  </si>
  <si>
    <t>4.8</t>
  </si>
  <si>
    <t>632 47-9126.R00</t>
  </si>
  <si>
    <t>Reprofi.potěr,vyrovnání betonových stupňů .tl.do30mm</t>
  </si>
  <si>
    <t>4.9</t>
  </si>
  <si>
    <t>627 45-6210.R00</t>
  </si>
  <si>
    <t>Oprava spárování betonových stupňů</t>
  </si>
  <si>
    <t>5.</t>
  </si>
  <si>
    <t>Komunikace</t>
  </si>
  <si>
    <t>5.1</t>
  </si>
  <si>
    <t>289 97-0111.R00</t>
  </si>
  <si>
    <t>Vrstva geotextilie  300g/m2</t>
  </si>
  <si>
    <t>5.2</t>
  </si>
  <si>
    <t>5.3</t>
  </si>
  <si>
    <t>596 81-1111.RV4</t>
  </si>
  <si>
    <t>Kladení dlažby z dlaždic betonových  lože z kameniva, vč.dlažby betonové vymývané 50/50/6 cm</t>
  </si>
  <si>
    <t>okapový chodník</t>
  </si>
  <si>
    <t>(3,85+4,03+3,3+6,2+23,7+2+1,6+9,2+1,5+1,5+9,2+1,6+28,6+3,5+4,9+9,6+3,2+12,6+10,8+11,74+8,5)*0,5</t>
  </si>
  <si>
    <t>5.4</t>
  </si>
  <si>
    <t>564 86-1111.R00</t>
  </si>
  <si>
    <t>Podklad ze štěrkodrti po zhutnění tloušťky 20 cm</t>
  </si>
  <si>
    <t>564 85-1111.R00</t>
  </si>
  <si>
    <t>Podklad ze štěrkodrti po zhutnění tloušťky 15 cm</t>
  </si>
  <si>
    <t>6*5,5+481,6</t>
  </si>
  <si>
    <t>2,4*1,3</t>
  </si>
  <si>
    <t>5.5</t>
  </si>
  <si>
    <t>5.6</t>
  </si>
  <si>
    <t>59245020</t>
  </si>
  <si>
    <t>Dlažba zámková  20x16,5x6 cm přírodní</t>
  </si>
  <si>
    <t>6*5,5*1,02+481,6*1,02</t>
  </si>
  <si>
    <t>2,4*1,3*1,02</t>
  </si>
  <si>
    <t>5.7</t>
  </si>
  <si>
    <t>916 56-1111.RT4</t>
  </si>
  <si>
    <t>Osazení záhon.obrubníků do lože z B 12,5 s opěrou vč.dodávky obrubníku</t>
  </si>
  <si>
    <t>6+5,5+186</t>
  </si>
  <si>
    <t>6.</t>
  </si>
  <si>
    <t>61</t>
  </si>
  <si>
    <t>Úpravy povrchů vnitřní</t>
  </si>
  <si>
    <t>6.1</t>
  </si>
  <si>
    <t>622 31-1134.RV1</t>
  </si>
  <si>
    <t xml:space="preserve">Zateplovací systém, EPS F tl.140 mm </t>
  </si>
  <si>
    <t>nadpraží</t>
  </si>
  <si>
    <t>345,45*0,45+4,5*0,45</t>
  </si>
  <si>
    <t>6.2</t>
  </si>
  <si>
    <t>612 48-1113.R00</t>
  </si>
  <si>
    <t>Potažení vnitř. stěn sklotex. pletivem s vypnutím</t>
  </si>
  <si>
    <t>(2027,9)*0,45+345,45*0,15+20,81*0,45</t>
  </si>
  <si>
    <t>6.3</t>
  </si>
  <si>
    <t>612 47-1413.R00</t>
  </si>
  <si>
    <t>Úprava vnitřních stěn aktivovaným štukem s přísad.</t>
  </si>
  <si>
    <t>6.4</t>
  </si>
  <si>
    <t>612 40-9991.R00</t>
  </si>
  <si>
    <t>Začištění omítek kolem oken,dveří apod.</t>
  </si>
  <si>
    <t>2027,9+345,45+20,81</t>
  </si>
  <si>
    <t>7.</t>
  </si>
  <si>
    <t>62</t>
  </si>
  <si>
    <t>Úprava povrchů vnější</t>
  </si>
  <si>
    <t>7.1</t>
  </si>
  <si>
    <t>620 99-1121.R00</t>
  </si>
  <si>
    <t>Zakrývání výplní vnějších otvorů z lešení</t>
  </si>
  <si>
    <t>870,54+10,22</t>
  </si>
  <si>
    <t>7.2</t>
  </si>
  <si>
    <t>622 90-4112.R00</t>
  </si>
  <si>
    <t>Očištění zdiva  - tlakovou vodou</t>
  </si>
  <si>
    <t>4369,5+185,65</t>
  </si>
  <si>
    <t>7.3</t>
  </si>
  <si>
    <t>622 42-3421.R00</t>
  </si>
  <si>
    <t>Oprava vnějších omítek štukových, čl. III, do 40 %</t>
  </si>
  <si>
    <t>7.4</t>
  </si>
  <si>
    <t>622 45-1132.R00</t>
  </si>
  <si>
    <t>Omítka vnější stěn, MC, hladká, složitost 3</t>
  </si>
  <si>
    <t>(16,8+0,8*12+2,2+0,5+2,5+1,2+2,5+0,5+16,8+0,8*12)*0,8</t>
  </si>
  <si>
    <t>angl.dvorky</t>
  </si>
  <si>
    <t>3,2*4,7*2</t>
  </si>
  <si>
    <t>sloupy</t>
  </si>
  <si>
    <t>7.5</t>
  </si>
  <si>
    <t>622 47-1511.R00</t>
  </si>
  <si>
    <t>Omítka stěn vnější z MS silikonová slož. II. ručně</t>
  </si>
  <si>
    <t>7.6</t>
  </si>
  <si>
    <t>602 01-1121.R00</t>
  </si>
  <si>
    <t>197,4*0,8</t>
  </si>
  <si>
    <t>sokl</t>
  </si>
  <si>
    <t>vlhké zdivo</t>
  </si>
  <si>
    <t>7.7</t>
  </si>
  <si>
    <t>622 31-1514.R00</t>
  </si>
  <si>
    <t>Izolace suterénu XPS tl. 140 mm, bez PÚ</t>
  </si>
  <si>
    <t>S23</t>
  </si>
  <si>
    <t>7.8</t>
  </si>
  <si>
    <t>622 31-15246.RV1</t>
  </si>
  <si>
    <t>Zateplovací systém, sokl, XPS tl. 140 mm, zakončený stěrkou s výztužnou tkaninou</t>
  </si>
  <si>
    <t>S22</t>
  </si>
  <si>
    <t>197,4*0,7</t>
  </si>
  <si>
    <t>7.9</t>
  </si>
  <si>
    <t>622 31-1516.R00</t>
  </si>
  <si>
    <t>Izolace suterénu XPS tl. 180 mm, bez PÚ</t>
  </si>
  <si>
    <t>30,4*0,7</t>
  </si>
  <si>
    <t>7.10</t>
  </si>
  <si>
    <t>622 31-1526.RV1</t>
  </si>
  <si>
    <t>Zateplovací systém, sokl, XPS tl. 180 mm, zakončený stěrkou s výztužnou tkaninou</t>
  </si>
  <si>
    <t>7.11</t>
  </si>
  <si>
    <t>622 43-2112.R00</t>
  </si>
  <si>
    <t>Omítka stěn dekorativ. marmolit střednězrnná</t>
  </si>
  <si>
    <t>138,18+21,28</t>
  </si>
  <si>
    <t>7.12</t>
  </si>
  <si>
    <t>622 31-1834.RV1</t>
  </si>
  <si>
    <t>Zatepl.syst., fasáda, miner.desky PV 140 mm</t>
  </si>
  <si>
    <t>S20A</t>
  </si>
  <si>
    <t>podhled vstupu</t>
  </si>
  <si>
    <t>nespalný pás SV</t>
  </si>
  <si>
    <t>16,85*0,5+26,6*0,5+19,7*0,7+6,7*0,7+16,6*0,5+11,3*0,5+3,5*0,5+7,5*0,5+(7,2*0,7)*2</t>
  </si>
  <si>
    <t>nespalný pás JV</t>
  </si>
  <si>
    <t>65,4*0,5+65,4*0,5+17,0*0,5*2+4*0,5*2+21,0*0,7*2</t>
  </si>
  <si>
    <t>nespalný pás SZ</t>
  </si>
  <si>
    <t>65,4*0,5+65,4*0,5+65,4*0,5+50,8*0,7</t>
  </si>
  <si>
    <t>nespalný pás JZ</t>
  </si>
  <si>
    <t>26,6*0,5+19,7*0,7+6,7*0,7+16,9*0,5*2+11,3*0,5+3,8*0,5+22,4*0,5+(7,2*0,7)*2</t>
  </si>
  <si>
    <t>7.13</t>
  </si>
  <si>
    <t>622 31-1736.RV1</t>
  </si>
  <si>
    <t>Zatepl.syst., fasáda, miner.desky KV 180 mm</t>
  </si>
  <si>
    <t>S21</t>
  </si>
  <si>
    <t>30,4*13,5</t>
  </si>
  <si>
    <t>7.14</t>
  </si>
  <si>
    <t>622 31-1434.RV1</t>
  </si>
  <si>
    <t>Zatepl.systém, fasáda, EPS + grafit 140 mm</t>
  </si>
  <si>
    <t>S20</t>
  </si>
  <si>
    <t>4369,5-113,9-410,4-4,3-69,74-115,8-133,66-77,51-341,04-157,56</t>
  </si>
  <si>
    <t>7.15</t>
  </si>
  <si>
    <t>622 40-1934.R00</t>
  </si>
  <si>
    <t>Příplatek za pracnost</t>
  </si>
  <si>
    <t>SO A</t>
  </si>
  <si>
    <t>bosáž</t>
  </si>
  <si>
    <t>224,3*2,0</t>
  </si>
  <si>
    <t>šambrány</t>
  </si>
  <si>
    <t>7.16</t>
  </si>
  <si>
    <t>622 31-1431.RV1</t>
  </si>
  <si>
    <t>Zatepl.systém, fasáda, EPS + grafit 80 mm</t>
  </si>
  <si>
    <t>S25</t>
  </si>
  <si>
    <t>81,2*2*2,1</t>
  </si>
  <si>
    <t>7.17</t>
  </si>
  <si>
    <t>622 31-1231.RT7</t>
  </si>
  <si>
    <t>Zatepl.systém, EPS fas. + grafit 80 mm</t>
  </si>
  <si>
    <t>S24</t>
  </si>
  <si>
    <t>131,3*1,3</t>
  </si>
  <si>
    <t>7.18</t>
  </si>
  <si>
    <t>622 31-1831.RV1</t>
  </si>
  <si>
    <t>Zatepl.syst., fasáda, miner.desky PV 80 mm</t>
  </si>
  <si>
    <t>131,3*1,2</t>
  </si>
  <si>
    <t>7.19</t>
  </si>
  <si>
    <t>283-50209</t>
  </si>
  <si>
    <t>Profil dilatační průběžný typ E l=2,5 m</t>
  </si>
  <si>
    <t>7.20</t>
  </si>
  <si>
    <t>622 42-1492.R00</t>
  </si>
  <si>
    <t>Doplňky zatepl, systémů, okenní lišta s tkaninou - APU</t>
  </si>
  <si>
    <t>7.21</t>
  </si>
  <si>
    <t>622 31-1024.R00</t>
  </si>
  <si>
    <t>Soklová lišta plast KZS tl. 140 mm</t>
  </si>
  <si>
    <t>7.22</t>
  </si>
  <si>
    <t>622 42-1491.R00</t>
  </si>
  <si>
    <t>Doplňky zatepl, systémů, rohová lišta s okapničkou</t>
  </si>
  <si>
    <t>7.23</t>
  </si>
  <si>
    <t>622 25-2002.R00</t>
  </si>
  <si>
    <t>Montáž ostatních lišt zateplení lišta rohová perforovaná</t>
  </si>
  <si>
    <t>7.24</t>
  </si>
  <si>
    <t>602 01-6195.R00</t>
  </si>
  <si>
    <t>Penetrace hloubková stěn Silikat</t>
  </si>
  <si>
    <t>7.25</t>
  </si>
  <si>
    <t>622 47-1521.R00</t>
  </si>
  <si>
    <t xml:space="preserve">Omítka stěn,silikonová, rýhov,2,0 mm,sl,2 </t>
  </si>
  <si>
    <t>7.26</t>
  </si>
  <si>
    <t>622 40-1939.R00</t>
  </si>
  <si>
    <t>Příplatek za provedení styku 2 odstínů omítek</t>
  </si>
  <si>
    <t>227,8*8</t>
  </si>
  <si>
    <t>8.</t>
  </si>
  <si>
    <t>63</t>
  </si>
  <si>
    <t>Podlahy a podlahové konstrukce</t>
  </si>
  <si>
    <t>8.1</t>
  </si>
  <si>
    <t>632 45-0020.RA0</t>
  </si>
  <si>
    <t>S3</t>
  </si>
  <si>
    <t>58,2+58,2+167,6+579,48</t>
  </si>
  <si>
    <t>S4</t>
  </si>
  <si>
    <t>78,11+78,11</t>
  </si>
  <si>
    <t>S5</t>
  </si>
  <si>
    <t>149,61+50,22+49,22+148,61</t>
  </si>
  <si>
    <t>S6</t>
  </si>
  <si>
    <t>165,37+165,37</t>
  </si>
  <si>
    <t>S13</t>
  </si>
  <si>
    <t>15,2</t>
  </si>
  <si>
    <t>8.2</t>
  </si>
  <si>
    <t>631 31-2611.R00</t>
  </si>
  <si>
    <t>Mazanina betonová tl. 5 - 8 cm C 16/20  (B 20) ve spádu</t>
  </si>
  <si>
    <t>(78,11+78,11)*0,06</t>
  </si>
  <si>
    <t>15,2*0,06</t>
  </si>
  <si>
    <t>8.3</t>
  </si>
  <si>
    <t>631 36-1921.R00</t>
  </si>
  <si>
    <t>Výztuž mazanin svařovanou sítí z drátů tažených 100/100/6mm</t>
  </si>
  <si>
    <t>(78,11+78,11)*0,00465</t>
  </si>
  <si>
    <t>15,2*0,00465</t>
  </si>
  <si>
    <t>9.</t>
  </si>
  <si>
    <t>641</t>
  </si>
  <si>
    <t>Okna a balkonové dveře</t>
  </si>
  <si>
    <t>9.1</t>
  </si>
  <si>
    <t>766 62-9301.R00</t>
  </si>
  <si>
    <t>Montáž oken plastových plochy do 1,50 m2</t>
  </si>
  <si>
    <t>9.2</t>
  </si>
  <si>
    <t>766 62-9302.R00</t>
  </si>
  <si>
    <t>Montáž oken plastových plochy do 2,70 m2</t>
  </si>
  <si>
    <t>9.3</t>
  </si>
  <si>
    <t>766 62-9303.R00</t>
  </si>
  <si>
    <t>Montáž oken plastových plochy do 4,50 m2</t>
  </si>
  <si>
    <t>Dodávka oken plastových s mikroventilací, okna opatřit okapnicí rámovou i křídlovou,  dvojité celoobvodové těsnění + přídavné těsnění pod zasklívací lištou, prostupu tepla oken: min. hodnota  Uw=1,2 W/m2K, dvojsklo 4/16/4mm</t>
  </si>
  <si>
    <t>šířka</t>
  </si>
  <si>
    <t>délka</t>
  </si>
  <si>
    <t>celkem m2</t>
  </si>
  <si>
    <t>špalety</t>
  </si>
  <si>
    <t>parapet</t>
  </si>
  <si>
    <t>9.4</t>
  </si>
  <si>
    <t>O/1</t>
  </si>
  <si>
    <t>Plastové okno s poutcem, dvoukřídlové, spodní křídlo OS, horní křídlo otvíravé, bez žaluzií</t>
  </si>
  <si>
    <t>600*1500</t>
  </si>
  <si>
    <t>dřevo Š</t>
  </si>
  <si>
    <t>9.5</t>
  </si>
  <si>
    <t>O/2</t>
  </si>
  <si>
    <t>Plastové okno se 2 sloupky, čtyřkřídlové   otvíravé</t>
  </si>
  <si>
    <t>2050*1300</t>
  </si>
  <si>
    <t>dřevo Z</t>
  </si>
  <si>
    <t>Ž 1</t>
  </si>
  <si>
    <t>9.6</t>
  </si>
  <si>
    <t>O/2A</t>
  </si>
  <si>
    <t>Plastové okno  se 2 sloupky, čtyřkřídlové  OS 3x bez žaluzií</t>
  </si>
  <si>
    <t>Ž 2</t>
  </si>
  <si>
    <t>9.7</t>
  </si>
  <si>
    <t>O/2B</t>
  </si>
  <si>
    <t xml:space="preserve">Plastové dveře dvoukřídlé, bezpečnostní kování </t>
  </si>
  <si>
    <t>2350*2500</t>
  </si>
  <si>
    <t xml:space="preserve">dřevo </t>
  </si>
  <si>
    <t>9.8</t>
  </si>
  <si>
    <t>O/3</t>
  </si>
  <si>
    <t>Plastové okno s poutcem a 2 sloupky, šestikřídlové,  křídla otvíravá, bez žaluzií</t>
  </si>
  <si>
    <t>1800*3250</t>
  </si>
  <si>
    <t>9.9</t>
  </si>
  <si>
    <t>O/3A</t>
  </si>
  <si>
    <t>Plastové okno s poutcem a 2 sloupky, šestikřídlové,  spodní křídlo OS, horní křídlo otvíravé, bez žaluzií</t>
  </si>
  <si>
    <t>9.10</t>
  </si>
  <si>
    <t>O/4</t>
  </si>
  <si>
    <t>Plastové okno s poutcem , čtyřkřídlové,  křídla otvíravá a jedno OS</t>
  </si>
  <si>
    <t>1350*2100</t>
  </si>
  <si>
    <t>9.11</t>
  </si>
  <si>
    <t>O/5</t>
  </si>
  <si>
    <t>Plastové okno s poutcem , čtyřkřídlové,  křídla otvíravá a jedno OS, bez žaluzií</t>
  </si>
  <si>
    <t xml:space="preserve"> sítě 2</t>
  </si>
  <si>
    <t>9.12</t>
  </si>
  <si>
    <t>O/6</t>
  </si>
  <si>
    <t>Plastové okno s poutcem , čtyřkřídlové,  křídla otvíravá,  3x bez žaluzií</t>
  </si>
  <si>
    <t>1200*2100</t>
  </si>
  <si>
    <t>9.13</t>
  </si>
  <si>
    <t>O/6A</t>
  </si>
  <si>
    <t>Plastové okno s poutcem , čtyřkřídlové,  křídla otvíravá a jedno OS, 2x bez žaluzií</t>
  </si>
  <si>
    <t>Ž 3, sítě 2</t>
  </si>
  <si>
    <t>9.14</t>
  </si>
  <si>
    <t>O/7</t>
  </si>
  <si>
    <t>Plastové okno s poutcem a 2 sloupky, šestikřídlové,  křídlo otvíravá, 1x bez žaluzií</t>
  </si>
  <si>
    <t>1600*2100</t>
  </si>
  <si>
    <t>9.15</t>
  </si>
  <si>
    <t>O/8</t>
  </si>
  <si>
    <t>Plastové okno s poutcem , čtyřkřídlové,  křídla otvíravá, bez žaluzií</t>
  </si>
  <si>
    <t>1300*1650</t>
  </si>
  <si>
    <t>9.16</t>
  </si>
  <si>
    <t>O/9</t>
  </si>
  <si>
    <t>Plastové okno jednokřídlové  OS, bez žaluzií</t>
  </si>
  <si>
    <t>1200*700</t>
  </si>
  <si>
    <t>ocel</t>
  </si>
  <si>
    <t>bez parapetu</t>
  </si>
  <si>
    <t>9.17</t>
  </si>
  <si>
    <t>O/10</t>
  </si>
  <si>
    <t>Plastové okno tříkřídlové se 2 sloupky, otvíravé, bez žaluzií</t>
  </si>
  <si>
    <t>1600*850</t>
  </si>
  <si>
    <t>9.18</t>
  </si>
  <si>
    <t>O/11</t>
  </si>
  <si>
    <t>1600*2050</t>
  </si>
  <si>
    <t>9.19</t>
  </si>
  <si>
    <t>O/12</t>
  </si>
  <si>
    <t>Plastové okno čtyřkřídlové  spodní křídlo OS, horní křídlo otvíravé,  bez žaluzií</t>
  </si>
  <si>
    <t>1200*2050</t>
  </si>
  <si>
    <t>9.20</t>
  </si>
  <si>
    <t>O/16</t>
  </si>
  <si>
    <t>Plastové okno s poutcem a 2 sloupky, šestikřídlové,  křídla otvíravá, 2x bez žaluzií</t>
  </si>
  <si>
    <t>1600*2900</t>
  </si>
  <si>
    <t>Ž 8</t>
  </si>
  <si>
    <t>9.21</t>
  </si>
  <si>
    <t>O/16A</t>
  </si>
  <si>
    <t>Plastové okno s poutcem a 2 sloupky, šestikřídlové,  2x spodní křídlo OS, horní křídlo otvíravé, 2x bez žaluzií</t>
  </si>
  <si>
    <t>Ž 14</t>
  </si>
  <si>
    <t>9.22</t>
  </si>
  <si>
    <t>O/17</t>
  </si>
  <si>
    <t>600*2200</t>
  </si>
  <si>
    <t>9.23</t>
  </si>
  <si>
    <t>O/18</t>
  </si>
  <si>
    <t>Plastové okno s poutcem , čtyřkřídlové,  křídla otvíravá, 3x bez žaluzií</t>
  </si>
  <si>
    <t>1200*2900</t>
  </si>
  <si>
    <t>Ž 4</t>
  </si>
  <si>
    <t>9.24</t>
  </si>
  <si>
    <t>O/18A</t>
  </si>
  <si>
    <t>Plastové okno s poutcem , čtyřkřídlové,  křídla otvíravá a 1x spodní OS,  3x bez žaluzií</t>
  </si>
  <si>
    <t>9.25</t>
  </si>
  <si>
    <t>O/19</t>
  </si>
  <si>
    <t>Plastové okno s poutcem, dvoukřídlové  O,OS, bez žaluzií</t>
  </si>
  <si>
    <t>1200*1450</t>
  </si>
  <si>
    <t>9.26</t>
  </si>
  <si>
    <t>O/20</t>
  </si>
  <si>
    <t>1800*2900</t>
  </si>
  <si>
    <t>9.27</t>
  </si>
  <si>
    <t>O/20A</t>
  </si>
  <si>
    <t>Plastové okno s poutcem a 2 sloupky, šestikřídlové,  spodní křídlo 2x OS, horní křídlo otvíravé, bez žaluzií</t>
  </si>
  <si>
    <t>9.28</t>
  </si>
  <si>
    <t>O/21</t>
  </si>
  <si>
    <t>Plastové okno s poutcem , čtyřkřídlové,  křídla otvíravá</t>
  </si>
  <si>
    <t>1300*1850</t>
  </si>
  <si>
    <t>9.29</t>
  </si>
  <si>
    <t>O/21A</t>
  </si>
  <si>
    <t>Plastové okno s poutcem , čtyřkřídlové,  křídla otvíravá, 1x spodní OS</t>
  </si>
  <si>
    <t>Ž 6</t>
  </si>
  <si>
    <t>9.30</t>
  </si>
  <si>
    <t>O/22</t>
  </si>
  <si>
    <t>Plastové okno  s poutcem, dvoukřídlové  O,OS</t>
  </si>
  <si>
    <t>800*2100</t>
  </si>
  <si>
    <t>9.31</t>
  </si>
  <si>
    <t>O/23</t>
  </si>
  <si>
    <t>Plastové okno se 2 sloupky, tříkřídlové,  křídla O, OS</t>
  </si>
  <si>
    <t>1600*1600</t>
  </si>
  <si>
    <t>9.32</t>
  </si>
  <si>
    <t>O/24</t>
  </si>
  <si>
    <t>Plastové okno s poutcem a 2 sloupky, šestikřídlové,  křídla otvíravá, 1X bez žaluzií</t>
  </si>
  <si>
    <t>1600*2750</t>
  </si>
  <si>
    <t>Ž 10</t>
  </si>
  <si>
    <t>9.33</t>
  </si>
  <si>
    <t>O/24A</t>
  </si>
  <si>
    <t>Plastové okno s poutcem a 2 sloupky, šestikřídlové,  2x spodní křídlo OS, horní křídlo otvíravé, 1x bez žaluzií</t>
  </si>
  <si>
    <t>Ž 16</t>
  </si>
  <si>
    <t>9.34</t>
  </si>
  <si>
    <t>O/25</t>
  </si>
  <si>
    <t>600*2050</t>
  </si>
  <si>
    <t>9.35</t>
  </si>
  <si>
    <t>O/26</t>
  </si>
  <si>
    <t>Plastové okno s poutcem a 2 sloupky, šestikřídlové,  křídla otvíravá,  bez žaluzií</t>
  </si>
  <si>
    <t>1800*2750</t>
  </si>
  <si>
    <t>9.36</t>
  </si>
  <si>
    <t>O/26A</t>
  </si>
  <si>
    <t>Plastové okno s poutcem a 2 sloupky, šestikřídlové,  2x spodní křídlo OS, horní křídlo otvíravé, bez žaluzií</t>
  </si>
  <si>
    <t>9.37</t>
  </si>
  <si>
    <t>O/27</t>
  </si>
  <si>
    <t>1200*2750</t>
  </si>
  <si>
    <t>Ž 13</t>
  </si>
  <si>
    <t>9.38</t>
  </si>
  <si>
    <t>O/27A</t>
  </si>
  <si>
    <t>Plastové okno s poutcem , čtyřkřídlové,  křídla otvíravá, 1x OS</t>
  </si>
  <si>
    <t>9.39</t>
  </si>
  <si>
    <t>O/28</t>
  </si>
  <si>
    <t>Plastové okno s poutcem a 2 sloupky, šestikřídlové,  křídla otvíravá</t>
  </si>
  <si>
    <t>1800*2500</t>
  </si>
  <si>
    <t>9.40</t>
  </si>
  <si>
    <t>O/28A</t>
  </si>
  <si>
    <t>Plastové okno s poutcem a 2 sloupky, šestikřídlové, spodní křídlo OS, horní křídlo otvíravé</t>
  </si>
  <si>
    <t>9.41</t>
  </si>
  <si>
    <t>O/29</t>
  </si>
  <si>
    <t>Plastové okno s poutcem a 2 sloupky, šestikřídlové, křídla otvíravá, integrované dveře</t>
  </si>
  <si>
    <t>1800*3650</t>
  </si>
  <si>
    <t>9.42</t>
  </si>
  <si>
    <t>O/30</t>
  </si>
  <si>
    <t>1200*2000</t>
  </si>
  <si>
    <t>9.43</t>
  </si>
  <si>
    <t>O/30A</t>
  </si>
  <si>
    <t>9.44</t>
  </si>
  <si>
    <t>O/31</t>
  </si>
  <si>
    <t>1600*2000</t>
  </si>
  <si>
    <t>Ž 7</t>
  </si>
  <si>
    <t>9.45</t>
  </si>
  <si>
    <t>O/31A</t>
  </si>
  <si>
    <t>Plastové okno s poutcem a 2 sloupky, šestikřídlové, 2x spodní křídlo OS, horní křídlo otvíravé</t>
  </si>
  <si>
    <t>Ž 11</t>
  </si>
  <si>
    <t>9.46</t>
  </si>
  <si>
    <t>O/32</t>
  </si>
  <si>
    <t>Plastové okno  s poutcem, dvoukřídlové  otvíravé, bez žaluzií</t>
  </si>
  <si>
    <t>9.47</t>
  </si>
  <si>
    <t>O/32A</t>
  </si>
  <si>
    <t>9.48</t>
  </si>
  <si>
    <t>O/33</t>
  </si>
  <si>
    <t>1800*2000</t>
  </si>
  <si>
    <t>9.49</t>
  </si>
  <si>
    <t>O/33A</t>
  </si>
  <si>
    <t>Plastové okno s poutcem a 2 sloupky, šestikřídlové, 2x spodní křídlo OS, horní křídlo otvíravé, bez žaluzií</t>
  </si>
  <si>
    <t>9.50</t>
  </si>
  <si>
    <t>O/34</t>
  </si>
  <si>
    <t>Plastové okno kruhové  se sloupkem, dvoukřídlové  otvíravé, bez žaluzií</t>
  </si>
  <si>
    <t>pr.1000</t>
  </si>
  <si>
    <t>9.51</t>
  </si>
  <si>
    <t>O/35</t>
  </si>
  <si>
    <t>Plastové okno s poutcem a 2 sloupky, šestikřídlové, křídla otvíravá, integrované dveře, bez žaluzií</t>
  </si>
  <si>
    <t>9.52</t>
  </si>
  <si>
    <t>O/36</t>
  </si>
  <si>
    <t>Plastové okno jednokřídlové  otvíravé, bez žaluzií</t>
  </si>
  <si>
    <t>600*550</t>
  </si>
  <si>
    <t>9.53</t>
  </si>
  <si>
    <t>O/36A</t>
  </si>
  <si>
    <t>9.54</t>
  </si>
  <si>
    <t>O/37</t>
  </si>
  <si>
    <t>Plastové okno dvoukřídlové  otvíravé, bez žaluzií</t>
  </si>
  <si>
    <t>1200*550</t>
  </si>
  <si>
    <t>9.55</t>
  </si>
  <si>
    <t>O/37A</t>
  </si>
  <si>
    <t>Plastové okno dvoukřídlové  O, OS, bez žaluzií</t>
  </si>
  <si>
    <t>9.56</t>
  </si>
  <si>
    <t>648 99-1113.R00</t>
  </si>
  <si>
    <t>Osazení parapetních desek z plast. hmot š.nad 20cm</t>
  </si>
  <si>
    <t>(1,3*8+1,3*6+0,8*2)</t>
  </si>
  <si>
    <t>(1,2*13+1,2*11+1,2*8+1,2*10)</t>
  </si>
  <si>
    <t>(0,6*4+2,05*5+1,35*2+1,2*4+1,2*5+1,6*3+1,6*10+1,6*16+0,6*12+1,2*7+1,2*7+1,2*4+1,8*4+1,8*2+1,6*1+1,6*11+1,6*17+0,6*12+1,8*4+1,8*2+1,6*9+1,6*11+0,6*2+0,6*8+1,8*4+1,8*2+0,6*8+0,6*2+1,2*4+1,2*4)</t>
  </si>
  <si>
    <t>(2,05*1+1,8*4+1,8*3+1,35*2+1,3*3+1,2*1+1,8*6+1,8*1+1,6*2+1,0*2)</t>
  </si>
  <si>
    <t>(1,6*1+1,6*12+1,2*2)</t>
  </si>
  <si>
    <t>9.57</t>
  </si>
  <si>
    <t>Parapety (MDF deska s povrchem z vysokotlakého laminátu)</t>
  </si>
  <si>
    <t>9.58</t>
  </si>
  <si>
    <t>60775365</t>
  </si>
  <si>
    <t>Parapet interiér PVC š.390mm  bílá</t>
  </si>
  <si>
    <t>(1,3*8+1,3*6+0,8*2)*1,1</t>
  </si>
  <si>
    <t>9.59</t>
  </si>
  <si>
    <t>60775362</t>
  </si>
  <si>
    <t>Parapet interiér PVC š.400mm  bílá</t>
  </si>
  <si>
    <t>(1,2*13+1,2*11+1,2*8+1,2*10)*1,1</t>
  </si>
  <si>
    <t>9.60</t>
  </si>
  <si>
    <t>607-75365</t>
  </si>
  <si>
    <t>Parapet interiér  š.420mm  bílá</t>
  </si>
  <si>
    <t>(0,6*4+2,05*5+1,35*2+1,2*4+1,2*5+1,6*3+1,6*10+1,6*16+0,6*12+1,2*7+1,2*7+1,2*4+1,8*4+1,8*2+1,6*1+1,6*11+1,6*17+0,6*12+1,8*4+1,8*2+1,6*9+1,6*11+0,6*2+0,6*8+1,8*4+1,8*2+0,6*8+0,6*2+1,2*4+1,2*4)*1,1</t>
  </si>
  <si>
    <t>9.61</t>
  </si>
  <si>
    <t>607-75367</t>
  </si>
  <si>
    <t>Parapet interiér  š.520mm  bílá</t>
  </si>
  <si>
    <t>(2,05*1+1,8*4+1,8*3+1,35*2+1,3*3+1,2*1+1,8*6+1,8*1+1,6*2+1,0*2)*1,1</t>
  </si>
  <si>
    <t>9.62</t>
  </si>
  <si>
    <t>60775367</t>
  </si>
  <si>
    <t>Parapet interiér PVC  š.700mm   bílá</t>
  </si>
  <si>
    <t>(1,6*1+1,6*12+1,2*2+)*1,1</t>
  </si>
  <si>
    <t>9.62a</t>
  </si>
  <si>
    <t>766 60-1216.RT1</t>
  </si>
  <si>
    <t xml:space="preserve">Těsnění oken.spáry, ostění, PT folie + PP páska  folie š. 50 mm; páska tl. 8 mm, š. 20 mm </t>
  </si>
  <si>
    <t>14,4+4,65+23,25+7,35+33,2+24,9+11,1+11,1+21,6+27+17,4+13,8+4,6+3,3+68,4+10,6+74,0+118,4+60,0+49,0+49,0+16,4+29,6+15,2+40,0+30,0+10,0+4,8+78,1+120,7+56,4+29,2+14,6+87,1+73,7+40,8+6,8+14,6+41,6+52,0+50,4+61,6+7,2+28,8+23,2+11,6+12+11,2+13,6+3,4+9,2+9,2+5,25+7,46+8,1+14,96</t>
  </si>
  <si>
    <t>9.62b</t>
  </si>
  <si>
    <t>766 60-1229.RT3</t>
  </si>
  <si>
    <t>Těsnění oken.spáry,parapet,PT folie+PP folie+páska  
 PT folie š.100 mm; PP folie š.100 mm+páska tl.6 mm</t>
  </si>
  <si>
    <t>2,4+2,05+10,25+2,35+7,2+5,4+2,7+2,7+4,8+6,0+4,8+3,9+1,3+1,6+19,2+2,4+16,0+25,6+7,2+8,4+8,4+4,8+6,4+3,6+10,4+7,8+1,6+1,6+17,6+27,2+7,2+7,2+3,6+15,6+13,2+10,8+1,8+3,6+9,6+12+14,4+17,6+1,2+4,8+7,2+3,6+4+3,2+4,8+1,2+4,8+4,8+2,3+3,76</t>
  </si>
  <si>
    <t>9.79</t>
  </si>
  <si>
    <t>Vnitřní hliníkové žaluzie osazeny na každém křídle okna 6 křídel*16 ks</t>
  </si>
  <si>
    <t>Dodávka a montáž</t>
  </si>
  <si>
    <t>9.89</t>
  </si>
  <si>
    <t xml:space="preserve">Síť proti hmyzu </t>
  </si>
  <si>
    <t>1350*1350</t>
  </si>
  <si>
    <t>9.90</t>
  </si>
  <si>
    <t>1200*1350</t>
  </si>
  <si>
    <t>9.91</t>
  </si>
  <si>
    <t>766 71-1021.R00</t>
  </si>
  <si>
    <t>Montáž  Al vstupních dveří s vypěněním</t>
  </si>
  <si>
    <t>(1,25+2,0)*2*1+(1,46+3,0)*2*1+(1,15+1,45)*2*2</t>
  </si>
  <si>
    <t>Dodávka vstupních dveří hliníkových  dvojité celoobvodové těsnění + přídavné těsnění pod zasklívací lištou, prostupu tepla dveří: min. hodnota  Uw=1,2 W/m2K, dvojsklo 4/16/4mm</t>
  </si>
  <si>
    <t>9.92</t>
  </si>
  <si>
    <t>O/14</t>
  </si>
  <si>
    <t xml:space="preserve">Vstupní Al dveře dvoukřídlé, bezpečnostní kování </t>
  </si>
  <si>
    <t>1250*2000</t>
  </si>
  <si>
    <t>9.93</t>
  </si>
  <si>
    <t>O/15</t>
  </si>
  <si>
    <t>Vstupní Al dveře dvoukřídlé, bezpečnostní kování, nadsvětlík</t>
  </si>
  <si>
    <t>1460*3000</t>
  </si>
  <si>
    <t>9.94</t>
  </si>
  <si>
    <t>O/44</t>
  </si>
  <si>
    <t>Plastové dveře jednokřídlové, otevíravé, bez žaluzií</t>
  </si>
  <si>
    <t>1150*1450</t>
  </si>
  <si>
    <t>9.94a</t>
  </si>
  <si>
    <t xml:space="preserve">
D/1 R001</t>
  </si>
  <si>
    <t>Hlavní dřevěné dveře z jihovýchodu  po dobu stavby nutno chránit proti poškození, následně dveře repasovat</t>
  </si>
  <si>
    <t>9.95</t>
  </si>
  <si>
    <t>766 62-4045.R00</t>
  </si>
  <si>
    <t>Montáž střešních oken rozměr 94/140 cm</t>
  </si>
  <si>
    <t>9.96</t>
  </si>
  <si>
    <t>O/13</t>
  </si>
  <si>
    <t>Střešní okno bezúdržbové - dřevo+polyuretan, jednokřídlové, kyvné,  bez žaluzií</t>
  </si>
  <si>
    <t>940*1400</t>
  </si>
  <si>
    <t>10.</t>
  </si>
  <si>
    <t>08</t>
  </si>
  <si>
    <t>Trubní vedení</t>
  </si>
  <si>
    <t>10.1</t>
  </si>
  <si>
    <t>721 24-2110.R00</t>
  </si>
  <si>
    <t>Lapač střešních splavenin PP HL600 DN 100, kloub</t>
  </si>
  <si>
    <t>10.2</t>
  </si>
  <si>
    <t>R001</t>
  </si>
  <si>
    <t>Napojení svodu na dešťovou kanalizaci</t>
  </si>
  <si>
    <t>soubor</t>
  </si>
  <si>
    <t>10.3</t>
  </si>
  <si>
    <t xml:space="preserve">721 24-2117.R00 </t>
  </si>
  <si>
    <t>Lapač střešních splavenin PP HL600 DN 150, kloub, zápachová klapka, koš na listí</t>
  </si>
  <si>
    <t>10.4</t>
  </si>
  <si>
    <t>871 36-5221R</t>
  </si>
  <si>
    <t>Kanalizační potrubí z HDPE tuhost třídy SN8 DN250 včetně tvarovek</t>
  </si>
  <si>
    <t>11.</t>
  </si>
  <si>
    <t>09</t>
  </si>
  <si>
    <t>Ostatní konstrukce a práce</t>
  </si>
  <si>
    <t>11.1</t>
  </si>
  <si>
    <t>941 94-1041.R00</t>
  </si>
  <si>
    <t>Montáž lešení leh,řad,s podlahami,š,1,2 m, H 10 m</t>
  </si>
  <si>
    <t>11.2</t>
  </si>
  <si>
    <t>941 94-1291.R00</t>
  </si>
  <si>
    <t>Příplatek za každý měsíc použití lešení k pol,1041</t>
  </si>
  <si>
    <t>11.3</t>
  </si>
  <si>
    <t>941 94-1841.R00</t>
  </si>
  <si>
    <t>Demontáž lešení leh,řad,s podlahami,š,1,2 m,H 10 m</t>
  </si>
  <si>
    <t>11.4</t>
  </si>
  <si>
    <t>944 94-4011.R00</t>
  </si>
  <si>
    <t>Montáž ochranné sítě z umělých vláken</t>
  </si>
  <si>
    <t>11.5</t>
  </si>
  <si>
    <t>944 94-4031.R00</t>
  </si>
  <si>
    <t>Příplatek za každý měsíc použití sítí k pol. 4011</t>
  </si>
  <si>
    <t>11.6</t>
  </si>
  <si>
    <t>944 94-4081.R00</t>
  </si>
  <si>
    <t>Demontáž ochranné sítě z umělých vláken</t>
  </si>
  <si>
    <t>11.7</t>
  </si>
  <si>
    <t>941 95-5003.R00</t>
  </si>
  <si>
    <t>Lešení lehké pomocné, výška podlahy do 2,5 m</t>
  </si>
  <si>
    <t>11.8</t>
  </si>
  <si>
    <t>952 90-1111.R00</t>
  </si>
  <si>
    <t>Vyčištění budov o výšce podlaží do 4 m</t>
  </si>
  <si>
    <t>11.9</t>
  </si>
  <si>
    <t>998 01-1002.R00</t>
  </si>
  <si>
    <t>Přesun hmot pro budovy zděné výšky do 12 m</t>
  </si>
  <si>
    <t>12.</t>
  </si>
  <si>
    <t>96</t>
  </si>
  <si>
    <t>Bourání konstrukcí</t>
  </si>
  <si>
    <t>12.1</t>
  </si>
  <si>
    <t>978 01-3191.R00</t>
  </si>
  <si>
    <t xml:space="preserve">Otlučení omítek vnitřních stěn v rozsahu do 100 % </t>
  </si>
  <si>
    <t>12.2</t>
  </si>
  <si>
    <t>978 01-5291.R00</t>
  </si>
  <si>
    <t>Otlučení omítek vnějších MVC v složit.1-4 do 100 %</t>
  </si>
  <si>
    <t>zídky budova</t>
  </si>
  <si>
    <t>2,9*0,7*2</t>
  </si>
  <si>
    <t>12.3</t>
  </si>
  <si>
    <t>978 02-3251.R00</t>
  </si>
  <si>
    <t>Vysekání a úprava spár betonového schodiště</t>
  </si>
  <si>
    <t>2,4*8</t>
  </si>
  <si>
    <t>12.4</t>
  </si>
  <si>
    <t>978 02-3411.R00</t>
  </si>
  <si>
    <t>Vysekání a úprava spár zdiva cihelného mimo komín. - vnější</t>
  </si>
  <si>
    <t>12.5</t>
  </si>
  <si>
    <t>978 01-5251.R00</t>
  </si>
  <si>
    <t>Otlučení omítek vnějších MVC v složit.1-4 do 40 %</t>
  </si>
  <si>
    <t>12.6</t>
  </si>
  <si>
    <t>962 03-2231.R00</t>
  </si>
  <si>
    <t>Bourání zdiva z cihel pálených na MVC</t>
  </si>
  <si>
    <t>(1,7+2,9)*0,3*(13*0,2+0,5)</t>
  </si>
  <si>
    <t>12.7</t>
  </si>
  <si>
    <t>962 10-0022.RA0</t>
  </si>
  <si>
    <t>Bourání nadzákladového zdiva z železobetonu</t>
  </si>
  <si>
    <t>(12,5+45,3+12,5+4,3+10,2)*0,5*0,2+3,95*0,9*0,56+1,92*1,37*0,6</t>
  </si>
  <si>
    <t>12.8</t>
  </si>
  <si>
    <t>113 10-6122.R00</t>
  </si>
  <si>
    <t>Rozebrání dlažeb z kamenných desek - hlavní vstup</t>
  </si>
  <si>
    <t>52,00</t>
  </si>
  <si>
    <t>12.9</t>
  </si>
  <si>
    <t>113 10-5111.R00</t>
  </si>
  <si>
    <t>Rozebrání dlažeb z lomového kamene na sucho</t>
  </si>
  <si>
    <t>2,54*1,28</t>
  </si>
  <si>
    <t>12.10</t>
  </si>
  <si>
    <t>963 04-2819.R00</t>
  </si>
  <si>
    <t>Bourání schodišťových stupňů betonových</t>
  </si>
  <si>
    <t>2,54*5</t>
  </si>
  <si>
    <t>12.11</t>
  </si>
  <si>
    <t>966 05-5121.R00</t>
  </si>
  <si>
    <t>Bourání říms železobetonových vyložení nad 50 cm</t>
  </si>
  <si>
    <t>12.12</t>
  </si>
  <si>
    <t>Demontáž všech informačních prvků a cedulí, stříšek, žebříku, antén</t>
  </si>
  <si>
    <t>12.13</t>
  </si>
  <si>
    <t>968 06-1112.R00</t>
  </si>
  <si>
    <t>Vyvěšení dřevěných okenních křídel pl. do 1,5 m2</t>
  </si>
  <si>
    <t>8+4+20+2+24+18+8+8+16+20+18+12+1+3+72+8+60+96+24+28+28+8+24+12+32+24+4+3+66+102+24+24+12+52+44+36+6+12+32+40+54+66+4+16+24+12+8+12+8+2+8+8+4</t>
  </si>
  <si>
    <t>12.14</t>
  </si>
  <si>
    <t>968 06-2245.R00</t>
  </si>
  <si>
    <t>Vybourání dřevěných rámů oken jednoduch. pl. 2 m2</t>
  </si>
  <si>
    <t>2,64+0,66+2,64+2,64+5,26</t>
  </si>
  <si>
    <t>12.15</t>
  </si>
  <si>
    <t>968 06-2246.R00</t>
  </si>
  <si>
    <t>Vybourání dřevěných rámů oken jednoduch. pl. 4 m2</t>
  </si>
  <si>
    <t>6,4+2,67+13,33</t>
  </si>
  <si>
    <t>12.16</t>
  </si>
  <si>
    <t>968 06-2355.R00</t>
  </si>
  <si>
    <t>Vybourání dřevěných rámů oken dvojitých (špaletových)  pl. 2 m2</t>
  </si>
  <si>
    <t>1,36+15,84+6,96+3,36+14,76+1,8+7,2+4,0</t>
  </si>
  <si>
    <t>12.17</t>
  </si>
  <si>
    <t>968 06-2356.R00</t>
  </si>
  <si>
    <t>Vybourání dřevěných rámů oken dvojitých  (špaletových)  pl. 4 m2</t>
  </si>
  <si>
    <t>5,67+5,67+10,08+12,6+10,08+6,44+2,15+39,36+4,92+24,36+24,36+19,24+14,43+2,56+42,90+36,30+19,20+24,00+28,80+35,20+14,40+7,20</t>
  </si>
  <si>
    <t>12.18</t>
  </si>
  <si>
    <t>968 06-2357.R00</t>
  </si>
  <si>
    <t>Vybourání dřevěných rámů oken dvojitých  (špaletových)  nad 4 m2</t>
  </si>
  <si>
    <t>5,88+23,4+17,55+46,4+74,24+18,56+10,44+48,4+74,80+19,80+9,9+27,0+4,50+9,90</t>
  </si>
  <si>
    <t>12.19</t>
  </si>
  <si>
    <t>968 06-1125.R00</t>
  </si>
  <si>
    <t>Vyvěšení dřevěných dveřních křídel pl. do 2 m2</t>
  </si>
  <si>
    <t>12.20</t>
  </si>
  <si>
    <t>968 06-2455.R00</t>
  </si>
  <si>
    <t>Vybourání dřevěných dveřních zárubní pl. do 2 m2</t>
  </si>
  <si>
    <t>12.21</t>
  </si>
  <si>
    <t>968 06-2456.R00</t>
  </si>
  <si>
    <t>Vybourání dřevěných dveřních zárubní pl. nad 2 m2</t>
  </si>
  <si>
    <t>2,5+4,38</t>
  </si>
  <si>
    <t>12.22</t>
  </si>
  <si>
    <t>767 63-1800.R00</t>
  </si>
  <si>
    <t>Demontáž kovových oken pro beztmelé zasklení,vč.zasklení</t>
  </si>
  <si>
    <t>3,51+4,86</t>
  </si>
  <si>
    <t>12.23</t>
  </si>
  <si>
    <t>968 07-2455.R00</t>
  </si>
  <si>
    <t>Vybourání kovových dveřních zárubní pl. do 2 m2</t>
  </si>
  <si>
    <t>12.24</t>
  </si>
  <si>
    <t>965 04-1341.R00</t>
  </si>
  <si>
    <t>Bourání mazanin škvárobet.  nad 4 m2</t>
  </si>
  <si>
    <t>2.NP</t>
  </si>
  <si>
    <t>91,9*0,15</t>
  </si>
  <si>
    <t>3.NP</t>
  </si>
  <si>
    <t>(58,2+58,2)*0,15</t>
  </si>
  <si>
    <t>4.NP</t>
  </si>
  <si>
    <t>(167,6+78,11+78,11)*0,15</t>
  </si>
  <si>
    <t>(165,37+165,37)*0,08</t>
  </si>
  <si>
    <t>12.25</t>
  </si>
  <si>
    <t>962 03-2641.R00</t>
  </si>
  <si>
    <t>Bourání zdiva komínového z cihel na MC</t>
  </si>
  <si>
    <t>12.26</t>
  </si>
  <si>
    <t>712 30-0833.R00</t>
  </si>
  <si>
    <t>Odstranění živičné krytiny střech do 10° 3vrstvé</t>
  </si>
  <si>
    <t>58,2+58,2</t>
  </si>
  <si>
    <t>167,6+78,11+78,11</t>
  </si>
  <si>
    <t>12.27</t>
  </si>
  <si>
    <t>965 10-0031.RA0</t>
  </si>
  <si>
    <t>Bourání dlažeb z půdních dlaždic</t>
  </si>
  <si>
    <t>12.28</t>
  </si>
  <si>
    <t>965 08-1713.RT1</t>
  </si>
  <si>
    <t>Bourání dlaždic keramických tl. 1 cm, nad 1 m2   ručně, dlaždice keramické</t>
  </si>
  <si>
    <t>zádveří</t>
  </si>
  <si>
    <t>3,9</t>
  </si>
  <si>
    <t>2.NP balkon</t>
  </si>
  <si>
    <t>12.29</t>
  </si>
  <si>
    <t>96R01</t>
  </si>
  <si>
    <t>Vybourání kovových dvířek elektrorozvaděčů</t>
  </si>
  <si>
    <t>12.30</t>
  </si>
  <si>
    <t>767 99-6801.R00</t>
  </si>
  <si>
    <t>Demontáž atypických ocelových konstr. do 50 kg</t>
  </si>
  <si>
    <t>kg</t>
  </si>
  <si>
    <t>12.31</t>
  </si>
  <si>
    <t>764 41-0850.R00</t>
  </si>
  <si>
    <t>Demontáž oplechování parapetů,rš od 100 do 330 mm</t>
  </si>
  <si>
    <t>12.32</t>
  </si>
  <si>
    <t>764 42-1850.R00</t>
  </si>
  <si>
    <t>Demontáž oplechování říms,rš od 250 do 330 mm</t>
  </si>
  <si>
    <t>12.33</t>
  </si>
  <si>
    <t>764 42-2810.R00</t>
  </si>
  <si>
    <t>Demontáž oplechování říms,rš od 600 do 800 mm</t>
  </si>
  <si>
    <t>12.34</t>
  </si>
  <si>
    <t>764 43-0840.R00</t>
  </si>
  <si>
    <t>Demontáž oplechování zdí,rš od 330 do 500 mm</t>
  </si>
  <si>
    <t>12.35</t>
  </si>
  <si>
    <t>764 35-3845.R00</t>
  </si>
  <si>
    <t>Demontáž žlabů nadříms. v lůžku, rš 500 mm, do 30°</t>
  </si>
  <si>
    <t>12.36</t>
  </si>
  <si>
    <t>764 33-2890.R00</t>
  </si>
  <si>
    <t>Demontáž lemování zdí z dílů, rš 1000 mm, do 30°</t>
  </si>
  <si>
    <t>12.37</t>
  </si>
  <si>
    <t>764 33-4850.R00</t>
  </si>
  <si>
    <t>Demontáž lemování zdí plochých střech,rš 500 mm</t>
  </si>
  <si>
    <t>12.38</t>
  </si>
  <si>
    <t>764 45-4802.R00</t>
  </si>
  <si>
    <t>Demontáž odpadních trub kruhových,D 120 mm</t>
  </si>
  <si>
    <t>mb</t>
  </si>
  <si>
    <t>12.39</t>
  </si>
  <si>
    <t>721 24-2805.R00</t>
  </si>
  <si>
    <t>Demontáž lapače střešních splavenin DN 150</t>
  </si>
  <si>
    <t>12.40</t>
  </si>
  <si>
    <t>764 31-1821.R00</t>
  </si>
  <si>
    <t>Demontáž krytiny, tabule 2 x 1 m, do 25 m2, do 30°</t>
  </si>
  <si>
    <t>7,1</t>
  </si>
  <si>
    <t>91,9+19,83</t>
  </si>
  <si>
    <t>12.41</t>
  </si>
  <si>
    <t>764 34-5841.R00</t>
  </si>
  <si>
    <t>Demontáž ventilačních nástavců D do 200 mm, do 30°</t>
  </si>
  <si>
    <t>K42</t>
  </si>
  <si>
    <t>12.42</t>
  </si>
  <si>
    <t>979 01-1111.R00</t>
  </si>
  <si>
    <t>Svislá doprava suti a vybour. hmot za 2.NP a 1.PP</t>
  </si>
  <si>
    <t>12.43</t>
  </si>
  <si>
    <t>979 01-1121.R00</t>
  </si>
  <si>
    <t>Příplatek za každé další podlaží</t>
  </si>
  <si>
    <t>12.44</t>
  </si>
  <si>
    <t>979 08-2111.R00</t>
  </si>
  <si>
    <t>Vnitrostaveništní doprava suti do 10 m</t>
  </si>
  <si>
    <t>12.45</t>
  </si>
  <si>
    <t>979 08-3117.R00</t>
  </si>
  <si>
    <t>Vodorovné přemístění suti na skládku do 6000 m</t>
  </si>
  <si>
    <t>12.46</t>
  </si>
  <si>
    <t>979 08-3191.R00</t>
  </si>
  <si>
    <t>Příplatek za dalších započatých 1000 m nad 6000 m</t>
  </si>
  <si>
    <t>12.47</t>
  </si>
  <si>
    <t>979 99-0101.R00</t>
  </si>
  <si>
    <t>Poplatek za skládku suti - směs betonu a cihel</t>
  </si>
  <si>
    <t>12.48</t>
  </si>
  <si>
    <t>979 99-0121.R00</t>
  </si>
  <si>
    <t>Poplatek za skládku suti - asfaltové pásy</t>
  </si>
  <si>
    <t>13.</t>
  </si>
  <si>
    <t>711</t>
  </si>
  <si>
    <t>Izolace proti vodě</t>
  </si>
  <si>
    <t>13.1</t>
  </si>
  <si>
    <t>711 11-2001.RZ1</t>
  </si>
  <si>
    <t xml:space="preserve">Izolace proti vlhkosti svis. nátěr ALP, za studena 1x nátěr - včetně dodávky asfaltového laku     </t>
  </si>
  <si>
    <t>(250,1-11,9-6)*1,3</t>
  </si>
  <si>
    <t>13.2</t>
  </si>
  <si>
    <t>711 14-2559.R00</t>
  </si>
  <si>
    <t>Izolace proti vlhkosti svislá pásy přitavením</t>
  </si>
  <si>
    <t>13.3</t>
  </si>
  <si>
    <t>62833161</t>
  </si>
  <si>
    <t xml:space="preserve">Pás asfaltovaný těžký </t>
  </si>
  <si>
    <t>13.4</t>
  </si>
  <si>
    <t>711 43-2101.R00</t>
  </si>
  <si>
    <t>Provedení izolace proti  vodě svislé na sucho nopovou folií</t>
  </si>
  <si>
    <t>13.5</t>
  </si>
  <si>
    <t>283-24276.A</t>
  </si>
  <si>
    <t>Dodávka - nopová folie na soklu objektu kotvená do ukončovací lišty</t>
  </si>
  <si>
    <t>13.6</t>
  </si>
  <si>
    <t>711 43-0001</t>
  </si>
  <si>
    <t>Dodávka a montáž  -   ukončovací lišty  a spojovací prvky nopové folie</t>
  </si>
  <si>
    <t>13.7</t>
  </si>
  <si>
    <t>711 21-2002.RT3</t>
  </si>
  <si>
    <t>Stěrka hydroizolační těsnicí hmotou, pružná hydroizolace</t>
  </si>
  <si>
    <t>78,11+78,11+18,6+18,6</t>
  </si>
  <si>
    <t>13.8</t>
  </si>
  <si>
    <t>Stěrka hydroizolační těsnicí hmotou, pružná hydroizolace s dekorativním vsypem</t>
  </si>
  <si>
    <t>13.9</t>
  </si>
  <si>
    <t>711 21-2601.RT2</t>
  </si>
  <si>
    <t>Těsnicí pás do spoje podlaha - stěna</t>
  </si>
  <si>
    <t>13.10</t>
  </si>
  <si>
    <t>622 48-1211.R00</t>
  </si>
  <si>
    <t>Montáž výztužné sítě do stěrkového tmelu</t>
  </si>
  <si>
    <t>13.11</t>
  </si>
  <si>
    <t>63127298</t>
  </si>
  <si>
    <t xml:space="preserve">Síťovina armovací </t>
  </si>
  <si>
    <t>(78,11+78,11+18,6+18,6)*1,1</t>
  </si>
  <si>
    <t>15,2*1,1</t>
  </si>
  <si>
    <t>13.12</t>
  </si>
  <si>
    <t>998 71-1102R00</t>
  </si>
  <si>
    <t>Přesun hmot pro izolace proti vodě, výšky do 12 m</t>
  </si>
  <si>
    <t>14.</t>
  </si>
  <si>
    <t>712</t>
  </si>
  <si>
    <t>Izolace střech</t>
  </si>
  <si>
    <t>14.1</t>
  </si>
  <si>
    <t>712 31-1101.RZ1</t>
  </si>
  <si>
    <t>Povlaková krytina střech do 10°, za studena ALP
 1 x nátěr - včetně dodávky ALP</t>
  </si>
  <si>
    <t xml:space="preserve">S3 </t>
  </si>
  <si>
    <t>58,2+16,5+58,2+16,5+167,6+11,07+579,48+96,5</t>
  </si>
  <si>
    <t>149,61+50,22+49,22+148,61+68,5</t>
  </si>
  <si>
    <t>14.2</t>
  </si>
  <si>
    <t>712 43-1101.RT1</t>
  </si>
  <si>
    <t>Povlaková krytina střech do 30°, AIP na sucho  - určeno k mechanickému kotvení</t>
  </si>
  <si>
    <t>14.3</t>
  </si>
  <si>
    <t xml:space="preserve"> 628-52261 </t>
  </si>
  <si>
    <t xml:space="preserve">Pás modifikovaný asfalt special </t>
  </si>
  <si>
    <t>(58,2+16,5+58,2+16,5+167,6+11,07+579,48+96,5)*1,15</t>
  </si>
  <si>
    <t>(149,61+50,22+49,22+148,61+68,5)*1,15</t>
  </si>
  <si>
    <t>91,9*1,1+19,83*1,15</t>
  </si>
  <si>
    <t>14.4</t>
  </si>
  <si>
    <t>712 39-1176.R00</t>
  </si>
  <si>
    <t>Připevnění izolace kotvicími terči</t>
  </si>
  <si>
    <t>14.5</t>
  </si>
  <si>
    <t>712 34-1559.R00</t>
  </si>
  <si>
    <t>Povlaková krytina střech do 10°, NAIP přitavením  -  vrchní asfaltový pás</t>
  </si>
  <si>
    <t>14.6</t>
  </si>
  <si>
    <t>62852267</t>
  </si>
  <si>
    <t>Pás modifikovaný asfalt dekor</t>
  </si>
  <si>
    <t>14.7</t>
  </si>
  <si>
    <t>Povlaková krytina střech do 10°, NAIP přitavením  -  parozábrana</t>
  </si>
  <si>
    <t>14.8</t>
  </si>
  <si>
    <t>62852265</t>
  </si>
  <si>
    <t>Pás modifikovaný asfalt</t>
  </si>
  <si>
    <t>(78,11+78,11+18,6+18,6)*1,15</t>
  </si>
  <si>
    <t>(165,37+165,37)*1,15</t>
  </si>
  <si>
    <t>15,2*1,15</t>
  </si>
  <si>
    <t>14.9</t>
  </si>
  <si>
    <t>998 71-2102.R00</t>
  </si>
  <si>
    <t>Přesun hmot pro povlakové krytiny, výšky do 12 m</t>
  </si>
  <si>
    <t>15.</t>
  </si>
  <si>
    <t>713</t>
  </si>
  <si>
    <t>Izolace tepelné</t>
  </si>
  <si>
    <t>15.1</t>
  </si>
  <si>
    <t>713 14-1121.RT1</t>
  </si>
  <si>
    <t>Izolace tepelná střech kladená na sucho 2vrstvá</t>
  </si>
  <si>
    <t>15.2</t>
  </si>
  <si>
    <t xml:space="preserve">713 11-1111.RT2 </t>
  </si>
  <si>
    <t xml:space="preserve"> Izolace tepelné stropů vrchem kladené volně 
 2 vrstvy - materiál ve specifikaci </t>
  </si>
  <si>
    <t>K23</t>
  </si>
  <si>
    <t>15.3</t>
  </si>
  <si>
    <t>63151378.A</t>
  </si>
  <si>
    <t>Deska z minerální plsti  tl. 180 mm</t>
  </si>
  <si>
    <t>7,1*1,02</t>
  </si>
  <si>
    <t>15.4</t>
  </si>
  <si>
    <t>63151374.A</t>
  </si>
  <si>
    <t>Deska z minerální plsti  tl. 100 mm</t>
  </si>
  <si>
    <t>(165,37+165,37)*1,02</t>
  </si>
  <si>
    <t>15.5</t>
  </si>
  <si>
    <t>63151373.A</t>
  </si>
  <si>
    <t>Deska z minerální plsti  tl. 80 mm</t>
  </si>
  <si>
    <t>15.6</t>
  </si>
  <si>
    <t>28375768.A</t>
  </si>
  <si>
    <t>Deska polystyrén samozhášivý EPS 150 S  ve 2 vrstvách (+spádové klíny)</t>
  </si>
  <si>
    <t>(58,2+16,5+58,2+16,5+167,6+11,07+579,48+96,5)*1,1*0,26</t>
  </si>
  <si>
    <t>tl.260 mm</t>
  </si>
  <si>
    <t>(78,11+78,11+18,6+18,6)*1,1*0,26</t>
  </si>
  <si>
    <t>(149,61+50,22+49,22+148,61+68,5)*1,1*0,08</t>
  </si>
  <si>
    <t>tl.80 mm</t>
  </si>
  <si>
    <t>15,2*0,1*1,1</t>
  </si>
  <si>
    <t>tl.100 mm</t>
  </si>
  <si>
    <t>15.7</t>
  </si>
  <si>
    <t>(58,2+16,5+58,2+16,5+167,6+11,07+579,48+96,5)*4</t>
  </si>
  <si>
    <t>(78,11+78,11+18,6+18,6)*4</t>
  </si>
  <si>
    <t>(149,61+50,22+49,22+148,61+68,5)*4</t>
  </si>
  <si>
    <t>91,9*4</t>
  </si>
  <si>
    <t>15,2*4</t>
  </si>
  <si>
    <t>15.8</t>
  </si>
  <si>
    <t>713 19-1100.RT9</t>
  </si>
  <si>
    <t>Položení izolační fólie včetně dodávky fólie PE</t>
  </si>
  <si>
    <t>91,9*1,2</t>
  </si>
  <si>
    <t>15.9</t>
  </si>
  <si>
    <t>713 11-1130.R00</t>
  </si>
  <si>
    <t>Izolace tepelné stropů, vložené mezi krokve</t>
  </si>
  <si>
    <t>91,9*1,1</t>
  </si>
  <si>
    <t>15.10</t>
  </si>
  <si>
    <t>63151376.A</t>
  </si>
  <si>
    <t>Deska z minerální plsti  tl. 140 mm</t>
  </si>
  <si>
    <t>15.11</t>
  </si>
  <si>
    <t>15.12</t>
  </si>
  <si>
    <t>713 11-1221.RK3</t>
  </si>
  <si>
    <t>Montáž parozábrany, zavěšené podhl., přelep.spojů - Jutafol N 110 standard</t>
  </si>
  <si>
    <t>91,9*1,3</t>
  </si>
  <si>
    <t>15.13</t>
  </si>
  <si>
    <t>998 71-3102.R00</t>
  </si>
  <si>
    <t>Přesun hmot pro izolace tepelné, výšky do 12 m</t>
  </si>
  <si>
    <t>16.</t>
  </si>
  <si>
    <t>72</t>
  </si>
  <si>
    <t>Zdravotechnická zařízení</t>
  </si>
  <si>
    <t>17.</t>
  </si>
  <si>
    <t>73</t>
  </si>
  <si>
    <t>Ústřední vytápění</t>
  </si>
  <si>
    <t xml:space="preserve">U všech radiátorů je nutno doplnit armatury pro hydraulické vyvážení systému (dvojregulační ventil + regulační šroubení) +  termostatickou  hlavici  a termostatické ventily. </t>
  </si>
  <si>
    <t>17.1</t>
  </si>
  <si>
    <t>730</t>
  </si>
  <si>
    <r>
      <t xml:space="preserve">hlavice termostatická </t>
    </r>
    <r>
      <rPr>
        <sz val="9"/>
        <color indexed="12"/>
        <rFont val="Arial"/>
        <family val="2"/>
      </rPr>
      <t xml:space="preserve">s  termostatickým ventilem </t>
    </r>
  </si>
  <si>
    <t>17.2</t>
  </si>
  <si>
    <t>Součástí dodávky je i vyregulování systému na základě provedeného hydraulického výpočtu. Výpočet součástí dodávky.</t>
  </si>
  <si>
    <t>kpl</t>
  </si>
  <si>
    <t>211*500</t>
  </si>
  <si>
    <t>18.</t>
  </si>
  <si>
    <t>762</t>
  </si>
  <si>
    <t>Konstrukce tesařské</t>
  </si>
  <si>
    <t>18.1</t>
  </si>
  <si>
    <t>762 34-1811.R00</t>
  </si>
  <si>
    <t>Demontáž bednění střech rovných z prken hrubých</t>
  </si>
  <si>
    <t>91,9</t>
  </si>
  <si>
    <t>18.2</t>
  </si>
  <si>
    <t>762 33-1913.R00</t>
  </si>
  <si>
    <t>Vyřezání části střešní vazby do 120 cm2,do dl.8 m</t>
  </si>
  <si>
    <t>91,9*0,1*4,8</t>
  </si>
  <si>
    <t>18.3</t>
  </si>
  <si>
    <t>762 33-2120.R00</t>
  </si>
  <si>
    <t>Montáž vázaných krovů pravidelných do 224 cm2</t>
  </si>
  <si>
    <t>18.4</t>
  </si>
  <si>
    <t>60515224</t>
  </si>
  <si>
    <t>Hranol SM/JD 1 12x18 délka 300-600 cm</t>
  </si>
  <si>
    <t>(91,9)*0,1*4,8*0,12*0,18</t>
  </si>
  <si>
    <t>18.5</t>
  </si>
  <si>
    <t>783 78-2303.R00</t>
  </si>
  <si>
    <t>(16,7+16,7)*1,1</t>
  </si>
  <si>
    <t>(91,9)*1,1</t>
  </si>
  <si>
    <t>18.6</t>
  </si>
  <si>
    <t>762 34-1220.R00</t>
  </si>
  <si>
    <t>M. bedn.střech rovn. z velkopl.desek na bázi dřeva</t>
  </si>
  <si>
    <t>18.7</t>
  </si>
  <si>
    <t>60725039</t>
  </si>
  <si>
    <t>Deska dřevoštěpková OSB ECO 3 N - 4PD tl. 22 mm</t>
  </si>
  <si>
    <t>18.8</t>
  </si>
  <si>
    <t>762 52-6110.R00</t>
  </si>
  <si>
    <t>Položení polštářů pod podlahy rozteče do 65 cm</t>
  </si>
  <si>
    <t>18.9</t>
  </si>
  <si>
    <t>18.10</t>
  </si>
  <si>
    <t>762 52-3108.RT2</t>
  </si>
  <si>
    <t>Položení podlah hoblovaných na sraz z fošen, včetně dodávky, fošny hoblované tl. 38 mm</t>
  </si>
  <si>
    <t>18.11</t>
  </si>
  <si>
    <t>998 76-2102.R00</t>
  </si>
  <si>
    <t>Přesun hmot pro tesařské konstrukce, výšky do 12 m</t>
  </si>
  <si>
    <t>19.</t>
  </si>
  <si>
    <t>764</t>
  </si>
  <si>
    <t>Konstrukce klempířské</t>
  </si>
  <si>
    <t>Oplechování je provedeno z předlakovaného Pz plechu s povrchovou úpravou, veškeré prvky před výrobou zaměřit</t>
  </si>
  <si>
    <t>19.1</t>
  </si>
  <si>
    <t>764 41-0240.R00</t>
  </si>
  <si>
    <t>12.49</t>
  </si>
  <si>
    <t>12.50</t>
  </si>
  <si>
    <t>979 99-0162.R00</t>
  </si>
  <si>
    <t>Poplatek za skládku suti - dřevo+sklo</t>
  </si>
  <si>
    <t>979 r01</t>
  </si>
  <si>
    <t>Prodej vybouraného materiálu do Kovošrotu</t>
  </si>
  <si>
    <t>REVIZE  C 29.9.2016</t>
  </si>
  <si>
    <t>REVIZE C 29.9.2016</t>
  </si>
  <si>
    <t>TZ</t>
  </si>
  <si>
    <t>TZ, det.11</t>
  </si>
  <si>
    <t>Odkaz na PD</t>
  </si>
  <si>
    <t>TZ, D1.2</t>
  </si>
  <si>
    <t>D1.2 - D1.7</t>
  </si>
  <si>
    <t>D1,2</t>
  </si>
  <si>
    <t>D1.61</t>
  </si>
  <si>
    <t>D1.8</t>
  </si>
  <si>
    <t>D1.65</t>
  </si>
  <si>
    <t>D1.62</t>
  </si>
  <si>
    <t>D1.3</t>
  </si>
  <si>
    <t>D1.45- D1.48</t>
  </si>
  <si>
    <t>D1.45-D1.48</t>
  </si>
  <si>
    <t>D1.2-D1.7</t>
  </si>
  <si>
    <t>D1.4</t>
  </si>
  <si>
    <t>D1.2-D1.4</t>
  </si>
  <si>
    <t>D1.2 a D1.3</t>
  </si>
  <si>
    <t>D1.1</t>
  </si>
  <si>
    <t xml:space="preserve">D1.4 </t>
  </si>
  <si>
    <t>D1.5</t>
  </si>
  <si>
    <t>D1.6</t>
  </si>
  <si>
    <t>D1.7</t>
  </si>
  <si>
    <t>K42, D1,8</t>
  </si>
  <si>
    <t>D1.2</t>
  </si>
  <si>
    <t>D1.8,</t>
  </si>
  <si>
    <t>TZ. D1.3</t>
  </si>
  <si>
    <t>D1.1, D1.3</t>
  </si>
  <si>
    <t>D1.9</t>
  </si>
  <si>
    <t>D1.10</t>
  </si>
  <si>
    <t>D1.13</t>
  </si>
  <si>
    <t>D1.14</t>
  </si>
  <si>
    <t xml:space="preserve">D1.9 </t>
  </si>
  <si>
    <t>D1.10-D1.12</t>
  </si>
  <si>
    <t>D1.9-D1.12</t>
  </si>
  <si>
    <t>D1.9 A10</t>
  </si>
  <si>
    <t>D1.9 A 10</t>
  </si>
  <si>
    <t>D19</t>
  </si>
  <si>
    <t>D1.15</t>
  </si>
  <si>
    <t>D1.16</t>
  </si>
  <si>
    <t>D1.15-D1.19</t>
  </si>
  <si>
    <t>D1.17-D1.19</t>
  </si>
  <si>
    <t>D1.16-D1.19</t>
  </si>
  <si>
    <t>D1.20</t>
  </si>
  <si>
    <t>D1.26</t>
  </si>
  <si>
    <t>D.15</t>
  </si>
  <si>
    <t>D1.20,21</t>
  </si>
  <si>
    <t>D1.21</t>
  </si>
  <si>
    <t>D1.17- D1. 19</t>
  </si>
  <si>
    <t>D1.45 - D1.48</t>
  </si>
  <si>
    <t>detaily</t>
  </si>
  <si>
    <t>D1.35</t>
  </si>
  <si>
    <t>D1.35A 36</t>
  </si>
  <si>
    <t>D1.45-D.48</t>
  </si>
  <si>
    <t>D1.36</t>
  </si>
  <si>
    <t>D1.37</t>
  </si>
  <si>
    <t>D145-D12.48</t>
  </si>
  <si>
    <t>D1.45-D12.48</t>
  </si>
  <si>
    <t>D1.28</t>
  </si>
  <si>
    <t>D1.29</t>
  </si>
  <si>
    <t>D1.28-D1.32</t>
  </si>
  <si>
    <t>S8,S1</t>
  </si>
  <si>
    <t>D1.29-D1.32</t>
  </si>
  <si>
    <t>D1.34</t>
  </si>
  <si>
    <t>D1.33</t>
  </si>
  <si>
    <t>D1.34, D1.33</t>
  </si>
  <si>
    <t>D1.32,31,</t>
  </si>
  <si>
    <t>D1.28-32</t>
  </si>
  <si>
    <t>D1.22</t>
  </si>
  <si>
    <t>D1.23</t>
  </si>
  <si>
    <t>S8,S1,S2</t>
  </si>
  <si>
    <t>S1,S2</t>
  </si>
  <si>
    <t>D1.23-D1.26</t>
  </si>
  <si>
    <t>D1.27</t>
  </si>
  <si>
    <t>D1.25,D1.24,</t>
  </si>
  <si>
    <t>D1.23- 25</t>
  </si>
  <si>
    <t>D1.9 - D1.10</t>
  </si>
  <si>
    <t>D1.45-D1.48, D1.9-D1.12</t>
  </si>
  <si>
    <t>D1.9-D1.14, D1.45-D1.48</t>
  </si>
  <si>
    <t>D1.9-D1.14</t>
  </si>
  <si>
    <t>Revize  součtů  12.10.2016</t>
  </si>
  <si>
    <r>
      <t xml:space="preserve">Datum zpracování: 09.2014
</t>
    </r>
    <r>
      <rPr>
        <b/>
        <sz val="9"/>
        <color indexed="12"/>
        <rFont val="Arial"/>
        <family val="2"/>
      </rPr>
      <t>REVIZE A 16.1.2015</t>
    </r>
  </si>
  <si>
    <r>
      <t xml:space="preserve">Datum zpracování: 09.2014
</t>
    </r>
    <r>
      <rPr>
        <b/>
        <sz val="9"/>
        <color indexed="12"/>
        <rFont val="Arial"/>
        <family val="2"/>
      </rPr>
      <t>REVIZE A 12.1.2015</t>
    </r>
  </si>
  <si>
    <r>
      <t xml:space="preserve">Datum zpracování: 10.2014
</t>
    </r>
    <r>
      <rPr>
        <b/>
        <sz val="9"/>
        <color indexed="12"/>
        <rFont val="Arial"/>
        <family val="2"/>
      </rPr>
      <t>REVIZE A 14.1.2015</t>
    </r>
  </si>
  <si>
    <r>
      <t xml:space="preserve">Datum zpracování: 09.2014
</t>
    </r>
    <r>
      <rPr>
        <b/>
        <sz val="10"/>
        <color indexed="12"/>
        <rFont val="Arial"/>
        <family val="2"/>
      </rPr>
      <t xml:space="preserve">
</t>
    </r>
    <r>
      <rPr>
        <b/>
        <sz val="9"/>
        <color indexed="12"/>
        <rFont val="Arial"/>
        <family val="2"/>
      </rPr>
      <t>REVIZE č.3  28.3.2016</t>
    </r>
  </si>
  <si>
    <r>
      <t xml:space="preserve">Datum zpracování: 09.2014
</t>
    </r>
    <r>
      <rPr>
        <b/>
        <sz val="9"/>
        <color indexed="12"/>
        <rFont val="Arial"/>
        <family val="2"/>
      </rPr>
      <t>REVIZE A 12.1.2015
REVIZE B 20.1.2015</t>
    </r>
  </si>
  <si>
    <t>REVIZE D 18.10.2016</t>
  </si>
  <si>
    <t xml:space="preserve">Stávající ozdobná mříž, před zahájením prací demontovat, repasovat, natřít kovářskou černí, vadné prvky nahradit kopií, krajní díly upravit pro osaz. zateplení  </t>
  </si>
  <si>
    <t>22,5*2,4</t>
  </si>
  <si>
    <t>602 01-1105.R00</t>
  </si>
  <si>
    <t>Postřik maltou sanační  ručně</t>
  </si>
  <si>
    <t>zrušeno</t>
  </si>
  <si>
    <t>7.6a</t>
  </si>
  <si>
    <t>Omítka jádrová sanační ručně  tl.20 mm</t>
  </si>
  <si>
    <t>602 01-1151.RT0</t>
  </si>
  <si>
    <t>Štuk na stěnách sanační, ručně, tloušťka vrstvy 2,5 mm</t>
  </si>
  <si>
    <t>7.3a</t>
  </si>
  <si>
    <t>93,9+10,18-60,38</t>
  </si>
  <si>
    <t>(250,1-11,9-6)*1,3*1,2</t>
  </si>
  <si>
    <t>(250,1-11,9-6)</t>
  </si>
  <si>
    <t>((17,2)*0,88+14,4*2,5-5*1*0,6+19,3*0,88)*1,2</t>
  </si>
  <si>
    <t>((17,2)*1,3+14,4*2,5+19,3*1,3)*1,2</t>
  </si>
  <si>
    <t>(17,72)*0,88*2*1,2</t>
  </si>
  <si>
    <t>(17,72)*2*1,3*1,2</t>
  </si>
  <si>
    <t>((35,4+43,8)*0,8*1,2+(1,3+4,5)*0,6-21*1*1)*1,2</t>
  </si>
  <si>
    <t>((30,59)*1,8*1,2+(33,15+14,5)*0,6-13*1*1)*1,2</t>
  </si>
  <si>
    <t>((30,59)*0,6*1,2+(33,15+14,5)*0,6)*1,2</t>
  </si>
  <si>
    <t>((35,4+43,8)*0,6*1,2+(1,3+4,5)*0,6)*1,2</t>
  </si>
  <si>
    <t>Vyrovnávací stěrka tl. 10mm</t>
  </si>
  <si>
    <t>(2,36+3,33)*1,25</t>
  </si>
  <si>
    <t>(3,56+1,84)*1,25</t>
  </si>
  <si>
    <t>711 21-2000.R00</t>
  </si>
  <si>
    <t>Penetrace podkladu pod hydroizolační nátěr</t>
  </si>
  <si>
    <t>13.7a</t>
  </si>
  <si>
    <t>(2,86+3,83)*0,05*1,02</t>
  </si>
  <si>
    <t>(4,06+2,34)*0,05*1,02</t>
  </si>
  <si>
    <t>(78+11,5+146,5+25,6)*4</t>
  </si>
  <si>
    <t>(112,9+5,4)*4</t>
  </si>
  <si>
    <t>(596,5+56)*0,26*1,02</t>
  </si>
  <si>
    <t>(596,5+56)*4</t>
  </si>
  <si>
    <t xml:space="preserve">Nátěr tesařských konstrukcí </t>
  </si>
  <si>
    <t>Nátěr tesařských konstrukcí</t>
  </si>
  <si>
    <t>(16,7+16,7)*1,1*2+24,0</t>
  </si>
  <si>
    <t>10*5</t>
  </si>
  <si>
    <t>(16,7+16,7)*1,5*0,12*0,18*1,08</t>
  </si>
  <si>
    <t>709,3*1,10</t>
  </si>
  <si>
    <t>475,45*1,1</t>
  </si>
  <si>
    <t>709,3*1,1</t>
  </si>
  <si>
    <t>765 79-9310.RO2</t>
  </si>
  <si>
    <t>Montáž fólie vč.dodávky difúzní pojistné hydroizolace</t>
  </si>
  <si>
    <t>14.7a</t>
  </si>
  <si>
    <t>215 90-1101.R00</t>
  </si>
  <si>
    <t xml:space="preserve">Zhutnění podloží z hornin nesoudržných </t>
  </si>
  <si>
    <t>65*0,6*1,2*1,1</t>
  </si>
  <si>
    <t>180,66+43,06-201,8*0,14-30,4*0,18-80,6*0,14-91,6-23,4</t>
  </si>
  <si>
    <t>180,66+43,06-63,71-23,40</t>
  </si>
  <si>
    <t>5.3a</t>
  </si>
  <si>
    <t>5.4a</t>
  </si>
  <si>
    <t>596 21-5020.R00</t>
  </si>
  <si>
    <t>Kladení zámkové dlažby tl. 6 cm do drtě tl. 3 cm</t>
  </si>
  <si>
    <t>7.14a</t>
  </si>
  <si>
    <t>9.63</t>
  </si>
  <si>
    <t>Vnitřní hliníkové žaluzie osazeny na každém křídle okna 4 křídla*1 ks</t>
  </si>
  <si>
    <t>9.64</t>
  </si>
  <si>
    <t>Vnitřní hliníkové žaluzie osazeny na každém křídle okna 4 křídla*2 ks</t>
  </si>
  <si>
    <t>9.65</t>
  </si>
  <si>
    <t>Vnitřní hliníkové žaluzie osazeny na každém křídle 2 křídla*1 ks</t>
  </si>
  <si>
    <t>9.66</t>
  </si>
  <si>
    <t>9.67</t>
  </si>
  <si>
    <t>9.68</t>
  </si>
  <si>
    <t>Vnitřní hliníkové žaluzie osazeny na každém křídle okna 4 křídla*3 ks</t>
  </si>
  <si>
    <t>9.69</t>
  </si>
  <si>
    <t>Vnitřní hliníkové žaluzie osazeny na každém křídle okna 6 křídel*2ks</t>
  </si>
  <si>
    <t>9.70</t>
  </si>
  <si>
    <t>Vnitřní hliníkové žaluzie osazeny na každém křídle okna 6 křídel*8 ks</t>
  </si>
  <si>
    <t>9.71</t>
  </si>
  <si>
    <t>Vnitřní hliníkové žaluzie osazeny na každém křídle okna 6 křídel*14 ks</t>
  </si>
  <si>
    <t>9.72</t>
  </si>
  <si>
    <t>Vnitřní hliníkové žaluzie osazeny na každém křídle okna 4 křídla*7 ks</t>
  </si>
  <si>
    <t>9.73</t>
  </si>
  <si>
    <t>9.74</t>
  </si>
  <si>
    <t>Vnitřní hliníkové žaluzie osazeny na každém křídle okna 4 křídla*8 ks</t>
  </si>
  <si>
    <t>9.75</t>
  </si>
  <si>
    <t>Vnitřní hliníkové žaluzie osazeny na každém křídle okna 4 křídla*6 ks</t>
  </si>
  <si>
    <t>9.76</t>
  </si>
  <si>
    <t>Vnitřní hliníkové žaluzie osazeny na každém křídle okna 2 křídla*2 ks</t>
  </si>
  <si>
    <t>9.77</t>
  </si>
  <si>
    <t>Vnitřní hliníkové žaluzie osazeny na každém křídle okna 6 křídel*1 ks</t>
  </si>
  <si>
    <t>9.78</t>
  </si>
  <si>
    <t>Vnitřní hliníkové žaluzie osazeny na každém křídle okna 6 křídel*10 ks</t>
  </si>
  <si>
    <t>9.80</t>
  </si>
  <si>
    <t>Vnitřní hliníkové žaluzie osazeny na každém křídle okna 4 křídla*13 ks</t>
  </si>
  <si>
    <t>9.81</t>
  </si>
  <si>
    <t>Vnitřní hliníkové žaluzie osazeny na každém křídle okna 4 křídla*11 ks</t>
  </si>
  <si>
    <t>9.82</t>
  </si>
  <si>
    <t>Vnitřní hliníkové žaluzie osazeny na každém křídle okna 6 křídel*6 ks</t>
  </si>
  <si>
    <t>9.83</t>
  </si>
  <si>
    <t>9.84</t>
  </si>
  <si>
    <t>Vnitřní hliníkové žaluzie osazeny na každém křídle okna 6 křídel*2 ks</t>
  </si>
  <si>
    <t>9.85</t>
  </si>
  <si>
    <t>9.86</t>
  </si>
  <si>
    <t>Vnitřní hliníkové žaluzie osazeny na každém křídle okna 4 křídla*10 ks</t>
  </si>
  <si>
    <t>9.87</t>
  </si>
  <si>
    <t>Vnitřní hliníkové žaluzie osazeny na každém křídle okna 6 křídel*7 ks</t>
  </si>
  <si>
    <t>9.88</t>
  </si>
  <si>
    <t>Vnitřní hliníkové žaluzie osazeny na každém křídle okna 6 křídel*11 ks</t>
  </si>
  <si>
    <t>15.11a</t>
  </si>
  <si>
    <t>doplňky stavby</t>
  </si>
  <si>
    <t>Zatepl.systém   EPS + grafit  tl. 30 mm</t>
  </si>
  <si>
    <t>622 31-1353.R00</t>
  </si>
  <si>
    <t>1650,05*0,25+381,85*0,25</t>
  </si>
  <si>
    <t>(78+11,5+146,5+25,6)*0,26*1,1</t>
  </si>
  <si>
    <t>(112,9+5,4)*0,26*1,1</t>
  </si>
  <si>
    <t>4369,5-113,9</t>
  </si>
  <si>
    <t>15.2a</t>
  </si>
  <si>
    <t>(475,45+47)*1,15</t>
  </si>
  <si>
    <t>475,45*0,1*4,8</t>
  </si>
  <si>
    <t>475,45*0,1*4,8*0,12*0,18</t>
  </si>
  <si>
    <t>Izolace tepelná balkonů plně lep 1vrstvá</t>
  </si>
  <si>
    <t>Montáž parozábrany, zavěšené podhl., přelep.spojů</t>
  </si>
  <si>
    <t>7.8a</t>
  </si>
  <si>
    <t>Montáž výztužné sítě do stěrkového tmelu - plochy bez zateplení, vč.výztužné síťky</t>
  </si>
  <si>
    <t>(709,3+64)*1,15</t>
  </si>
  <si>
    <t>709,3*0,1*4,8</t>
  </si>
  <si>
    <t>709,3*0,1*4,8*0,12*0,18</t>
  </si>
  <si>
    <t>709,30</t>
  </si>
  <si>
    <t>(709,3+64)*1,25</t>
  </si>
  <si>
    <t xml:space="preserve">Fólie podstřešní paropropustná </t>
  </si>
  <si>
    <t>modré písmo, sv.zeleně podbarvené</t>
  </si>
  <si>
    <t>rev.C</t>
  </si>
  <si>
    <t>rev.D</t>
  </si>
  <si>
    <t>písmo stávající, modrozelené podbarvení</t>
  </si>
  <si>
    <t>Poznámka k revizi D:</t>
  </si>
  <si>
    <t>Podbarvení pouze, kde je změna ( text položky nebo množství), nová pol. - celá podbarvená</t>
  </si>
  <si>
    <t>(17,2+14,4+19,3)*0,15</t>
  </si>
  <si>
    <t>35,42*0,15</t>
  </si>
  <si>
    <t>(94,1+43,3)*0,4</t>
  </si>
  <si>
    <t>20.12a</t>
  </si>
  <si>
    <t>Zábradlí u nového schodiště, výška zábradlí 1100mm,2ks</t>
  </si>
  <si>
    <t>3,8+2,2*0,36+0,6*2</t>
  </si>
  <si>
    <t>(3,8+2,2*0,36+0,6*2)*1,2</t>
  </si>
  <si>
    <t>0,8*0,3*(2,9+1,23)</t>
  </si>
  <si>
    <t>311 23-1114.RY1</t>
  </si>
  <si>
    <t>Zdivo nosné cihelné z CP 29 P15 na MVC 2,5 na SMS  5 MPa</t>
  </si>
  <si>
    <t>417 32-1313.R00</t>
  </si>
  <si>
    <t>Ztužující pásy a věnce z betonu železového C 16/20</t>
  </si>
  <si>
    <t>0,3*0,15*(2,9+1,23)</t>
  </si>
  <si>
    <t>2*0,15*(2,9+1,23)</t>
  </si>
  <si>
    <t>2,9+1,23+0,2</t>
  </si>
  <si>
    <t>417 36-1721.R00</t>
  </si>
  <si>
    <t>Výztuž ztuž. pásů a věnců, ocel 10425 (BSt 500 S)</t>
  </si>
  <si>
    <t>(0,9+0,65)*(2,9+1,23)</t>
  </si>
  <si>
    <t>0,93*(2,9+1,23)</t>
  </si>
  <si>
    <t>(0,93*(2,9+1,23))*1,25</t>
  </si>
  <si>
    <t>5,4</t>
  </si>
  <si>
    <t>1,76*0,08</t>
  </si>
  <si>
    <t>1,76*1,05</t>
  </si>
  <si>
    <t>622 90-4112.R</t>
  </si>
  <si>
    <t>Očištění kamenných stupňů  tlakovou vodou</t>
  </si>
  <si>
    <t xml:space="preserve">schody </t>
  </si>
  <si>
    <t>1,23*2,0</t>
  </si>
  <si>
    <t>782 99-1100.R00</t>
  </si>
  <si>
    <t>Výplň dilatační spáry šířky do 2 cm</t>
  </si>
  <si>
    <t>Oprava spárování kamenných schodů</t>
  </si>
  <si>
    <t>627 453110.R00</t>
  </si>
  <si>
    <t>7.5a</t>
  </si>
  <si>
    <t>673,2-38,42</t>
  </si>
  <si>
    <t>Vedlejší rozpočtové náklady :</t>
  </si>
  <si>
    <r>
      <t xml:space="preserve">-                     </t>
    </r>
    <r>
      <rPr>
        <b/>
        <sz val="10"/>
        <color theme="1"/>
        <rFont val="Arial"/>
        <family val="2"/>
      </rPr>
      <t>Průzkumné , geodetické a projektové práce</t>
    </r>
    <r>
      <rPr>
        <sz val="10"/>
        <color theme="1"/>
        <rFont val="Arial"/>
        <family val="2"/>
      </rPr>
      <t xml:space="preserve"> – sonda pro určení barevnosti fasády, dokumentace skutečného provedení PŘEDÁNÍ VE FORMÁTU dwg a to ve všech profesích, vyměření stavby geodetem, náklady na ocenění stavby</t>
    </r>
  </si>
  <si>
    <r>
      <t xml:space="preserve">-                     </t>
    </r>
    <r>
      <rPr>
        <b/>
        <sz val="10"/>
        <color theme="1"/>
        <rFont val="Arial"/>
        <family val="2"/>
      </rPr>
      <t>Zařízení staveniště</t>
    </r>
    <r>
      <rPr>
        <sz val="10"/>
        <color theme="1"/>
        <rFont val="Arial"/>
        <family val="2"/>
      </rPr>
      <t xml:space="preserve"> – příprava staveniště, zabezpečení archeologických nálezů na místě stavby, vybudování, provoz, likvidace, včetně zajištění kanceláře, vrátnice, strážnice stavby, kanceláře technického dozoru investora a projektanta, sociální objekty pro pracovníky stavby, přístřešky pro skladování materiálu, vnější oplocení stavby, vnitrostaveništní komunikace, vnitrostaveništní rozvody energií, náklady na energie nutné pro realizaci po celou dobu stavby, zemní práce pro  nezbytné pro osazení zařízení staveniště, dočasné ochranná zařízení ( plachty, stěny, stany) pro ochranu stavby proti zatečení, přeložení konstrukcí, stěhování lidí a zvířat ( neočekávané vyklizení objektů), dekontaminace lokality, urychleně prováděné práce.</t>
    </r>
  </si>
  <si>
    <r>
      <t xml:space="preserve">-                     </t>
    </r>
    <r>
      <rPr>
        <b/>
        <sz val="10"/>
        <color theme="1"/>
        <rFont val="Arial"/>
        <family val="2"/>
      </rPr>
      <t xml:space="preserve">Inženýrská činnost </t>
    </r>
    <r>
      <rPr>
        <sz val="10"/>
        <color theme="1"/>
        <rFont val="Arial"/>
        <family val="2"/>
      </rPr>
      <t>– požární dohled, plán BOZP na staveništi, plán zkoušek, technické požadavky na výrobky, zkoušky a měření ( měření hluku VZT jednotek), revize, kompletační a koordinační činnost</t>
    </r>
  </si>
  <si>
    <r>
      <t xml:space="preserve">-                     </t>
    </r>
    <r>
      <rPr>
        <b/>
        <sz val="10"/>
        <color theme="1"/>
        <rFont val="Arial"/>
        <family val="2"/>
      </rPr>
      <t xml:space="preserve">Mimostaveništní doprava </t>
    </r>
  </si>
  <si>
    <r>
      <t xml:space="preserve">-                     </t>
    </r>
    <r>
      <rPr>
        <b/>
        <sz val="10"/>
        <color theme="1"/>
        <rFont val="Arial"/>
        <family val="2"/>
      </rPr>
      <t>Provozní vlivy</t>
    </r>
    <r>
      <rPr>
        <sz val="10"/>
        <color theme="1"/>
        <rFont val="Arial"/>
        <family val="2"/>
      </rPr>
      <t xml:space="preserve"> – vzhledem k tomu, že není znám termín stavby je předpoklad, že stavba bude prováděna v době provozu školy. Z tohoto důvodu bude nutné přesunout hlučné práce pouze do odpoledních hodin a na sobotu a neděli. Práce bude nutno v některých částech školy přerušovat, tak aby provoz školy nebyl rušen</t>
    </r>
  </si>
  <si>
    <r>
      <t xml:space="preserve">-                     </t>
    </r>
    <r>
      <rPr>
        <b/>
        <sz val="10"/>
        <color theme="1"/>
        <rFont val="Arial"/>
        <family val="2"/>
      </rPr>
      <t xml:space="preserve">Území se ztíženými podmínkami </t>
    </r>
    <r>
      <rPr>
        <sz val="10"/>
        <color theme="1"/>
        <rFont val="Arial"/>
        <family val="2"/>
      </rPr>
      <t>– vzhledem k tomu, že se stavba nachází v areálu školy je nezbytně nutné,  aby byla stavba vždy důkladně oddělena od provozu školy, z těchto důvodů bude nutno postupně oddělovat jednotlivé části stavby a stavba musí být průběžně čištěna, aby dotčené prostory stavby byly (např. při výměně oken)uvedeny zpět do provozu  co nejrychleji.</t>
    </r>
  </si>
  <si>
    <r>
      <t xml:space="preserve">-                     </t>
    </r>
    <r>
      <rPr>
        <b/>
        <sz val="10"/>
        <color theme="1"/>
        <rFont val="Arial"/>
        <family val="2"/>
      </rPr>
      <t xml:space="preserve">Kompletační činnost </t>
    </r>
    <r>
      <rPr>
        <sz val="10"/>
        <color theme="1"/>
        <rFont val="Arial"/>
        <family val="2"/>
      </rPr>
      <t xml:space="preserve">- </t>
    </r>
    <r>
      <rPr>
        <b/>
        <sz val="10"/>
        <color theme="1"/>
        <rFont val="Arial"/>
        <family val="2"/>
      </rPr>
      <t>inženýrská činnost dodavatelská</t>
    </r>
    <r>
      <rPr>
        <sz val="10"/>
        <color theme="1"/>
        <rFont val="Arial"/>
        <family val="2"/>
      </rPr>
      <t xml:space="preserve"> - zajistit zařízení stavby i pro subdodavatele, zajištovat provoz a údržbu zařízení staveniště včetně společných hygienických a provozních objektů, převzít staveniště pro stavební část stavby a zařízení staveniště a předávat jeho části poddodavatelům, koordinovat práce poddodavatelů na základě projektu, provádět věcní a cenové kontroly včetně přejímky a zajišťovat plnění dílčích termínů dodávky, zajišťovat poskytnutí zednické a ostatní výpomoci zúčastněným na stavbě na základě jejich písemného požadavku, zpracovat dokumentaci skutečného provedení stavby pro potřeby odběratele a to ve všech profesích, předání v tištěné formě 2x, v digitální formě ve formátu DWG, zúčastnit se kolaudace a předání stavby do užívání, na žádost odběratele se zúčastnit vyhodnocení řízení</t>
    </r>
  </si>
  <si>
    <r>
      <t xml:space="preserve">-                     </t>
    </r>
    <r>
      <rPr>
        <b/>
        <sz val="10"/>
        <color theme="1"/>
        <rFont val="Arial"/>
        <family val="2"/>
      </rPr>
      <t xml:space="preserve">Ostraha stavby a bezpečností opatření běhen výstavby </t>
    </r>
  </si>
  <si>
    <t>-                     Pojištění stavby po dobu realizace</t>
  </si>
  <si>
    <t>-                     Poplatky spojené s prováděním stavby</t>
  </si>
  <si>
    <t>-                     Náklady na zábory veřejných prostranství</t>
  </si>
  <si>
    <t>-                     Náklady na bankovní garance, kauce, zádržné, pokuty</t>
  </si>
  <si>
    <r>
      <rPr>
        <b/>
        <sz val="10"/>
        <color theme="1"/>
        <rFont val="Arial"/>
        <family val="2"/>
      </rPr>
      <t>Ostatní náklady</t>
    </r>
    <r>
      <rPr>
        <sz val="10"/>
        <color theme="1"/>
        <rFont val="Arial"/>
        <family val="2"/>
      </rPr>
      <t xml:space="preserve"> – náklady na zkušební provoz, pokud bude prováděn, náklady na zaškolení, náklady na odstraňování následků havárií, živelných pohrom</t>
    </r>
  </si>
  <si>
    <t>Vedlejší rozpočtové náklady  -  viz záložka  16 Vedlejší rozpočtové náklady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</si>
</sst>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quot;Kč&quot;"/>
    <numFmt numFmtId="165" formatCode="#,##0.0000"/>
    <numFmt numFmtId="166" formatCode="###0;\-###0"/>
    <numFmt numFmtId="167" formatCode="#,##0;\-#,##0"/>
    <numFmt numFmtId="168" formatCode="#,##0.00;\-#,##0.00"/>
    <numFmt numFmtId="169" formatCode="0.00%;\-0.00%"/>
    <numFmt numFmtId="170" formatCode="###0.0;\-###0.0"/>
    <numFmt numFmtId="171" formatCode="#,##0.00000"/>
    <numFmt numFmtId="172" formatCode="0.0000"/>
    <numFmt numFmtId="173" formatCode="0.000"/>
    <numFmt numFmtId="174" formatCode="000\ 00"/>
  </numFmts>
  <fonts count="89">
    <font>
      <sz val="10"/>
      <name val="Arial"/>
      <family val="2"/>
    </font>
    <font>
      <sz val="9"/>
      <color theme="1"/>
      <name val="Arial"/>
      <family val="2"/>
    </font>
    <font>
      <sz val="11"/>
      <color indexed="8"/>
      <name val="Calibri"/>
      <family val="2"/>
    </font>
    <font>
      <sz val="10"/>
      <name val="Times New Roman CE"/>
      <family val="2"/>
    </font>
    <font>
      <sz val="12"/>
      <name val="Times New Roman CE"/>
      <family val="1"/>
    </font>
    <font>
      <sz val="10"/>
      <color indexed="8"/>
      <name val="Arial"/>
      <family val="2"/>
    </font>
    <font>
      <sz val="18"/>
      <color indexed="8"/>
      <name val="Arial"/>
      <family val="2"/>
    </font>
    <font>
      <b/>
      <sz val="10"/>
      <color indexed="8"/>
      <name val="Arial"/>
      <family val="2"/>
    </font>
    <font>
      <i/>
      <sz val="10"/>
      <color indexed="12"/>
      <name val="Arial"/>
      <family val="2"/>
    </font>
    <font>
      <i/>
      <sz val="9"/>
      <color indexed="12"/>
      <name val="Arial"/>
      <family val="2"/>
    </font>
    <font>
      <sz val="8"/>
      <name val="Arial"/>
      <family val="2"/>
    </font>
    <font>
      <sz val="9"/>
      <name val="Arial"/>
      <family val="2"/>
    </font>
    <font>
      <sz val="9"/>
      <color indexed="8"/>
      <name val="Arial"/>
      <family val="2"/>
    </font>
    <font>
      <b/>
      <sz val="10"/>
      <name val="Arial"/>
      <family val="2"/>
    </font>
    <font>
      <i/>
      <sz val="9"/>
      <color indexed="8"/>
      <name val="Arial"/>
      <family val="2"/>
    </font>
    <font>
      <sz val="8"/>
      <name val="MS Sans Serif"/>
      <family val="2"/>
    </font>
    <font>
      <b/>
      <sz val="18"/>
      <color indexed="10"/>
      <name val="Arial CE"/>
      <family val="2"/>
    </font>
    <font>
      <b/>
      <sz val="8"/>
      <name val="Arial CE"/>
      <family val="2"/>
    </font>
    <font>
      <sz val="8"/>
      <name val="Arial CE"/>
      <family val="2"/>
    </font>
    <font>
      <sz val="7"/>
      <name val="Arial"/>
      <family val="2"/>
    </font>
    <font>
      <sz val="10"/>
      <name val="Arial CE"/>
      <family val="2"/>
    </font>
    <font>
      <b/>
      <sz val="12"/>
      <name val="Arial"/>
      <family val="2"/>
    </font>
    <font>
      <b/>
      <sz val="8"/>
      <name val="Arial"/>
      <family val="2"/>
    </font>
    <font>
      <b/>
      <sz val="10"/>
      <name val="Arial CE"/>
      <family val="2"/>
    </font>
    <font>
      <sz val="9"/>
      <name val="Arial CE"/>
      <family val="2"/>
    </font>
    <font>
      <b/>
      <sz val="9"/>
      <name val="Arial"/>
      <family val="2"/>
    </font>
    <font>
      <b/>
      <sz val="9"/>
      <name val="Arial CE"/>
      <family val="2"/>
    </font>
    <font>
      <i/>
      <sz val="9"/>
      <name val="Arial"/>
      <family val="2"/>
    </font>
    <font>
      <sz val="8"/>
      <color indexed="8"/>
      <name val="Arial"/>
      <family val="2"/>
    </font>
    <font>
      <sz val="10"/>
      <color indexed="9"/>
      <name val="Arial"/>
      <family val="2"/>
    </font>
    <font>
      <sz val="9"/>
      <color indexed="9"/>
      <name val="Arial"/>
      <family val="2"/>
    </font>
    <font>
      <i/>
      <sz val="9"/>
      <color indexed="12"/>
      <name val="Arial CE"/>
      <family val="2"/>
    </font>
    <font>
      <sz val="9"/>
      <color indexed="9"/>
      <name val="Arial CE"/>
      <family val="2"/>
    </font>
    <font>
      <i/>
      <sz val="9"/>
      <color indexed="9"/>
      <name val="Arial"/>
      <family val="2"/>
    </font>
    <font>
      <i/>
      <sz val="9"/>
      <color indexed="9"/>
      <name val="Arial CE"/>
      <family val="2"/>
    </font>
    <font>
      <b/>
      <sz val="9"/>
      <color indexed="8"/>
      <name val="Arial"/>
      <family val="2"/>
    </font>
    <font>
      <i/>
      <sz val="8"/>
      <color indexed="12"/>
      <name val="Arial"/>
      <family val="2"/>
    </font>
    <font>
      <sz val="9"/>
      <color indexed="12"/>
      <name val="Arial CE"/>
      <family val="2"/>
    </font>
    <font>
      <sz val="10"/>
      <color indexed="12"/>
      <name val="Arial CE"/>
      <family val="2"/>
    </font>
    <font>
      <b/>
      <sz val="10"/>
      <color indexed="12"/>
      <name val="Arial"/>
      <family val="2"/>
    </font>
    <font>
      <b/>
      <sz val="11"/>
      <color indexed="12"/>
      <name val="Arial"/>
      <family val="2"/>
    </font>
    <font>
      <sz val="11"/>
      <color indexed="12"/>
      <name val="Arial"/>
      <family val="2"/>
    </font>
    <font>
      <sz val="10"/>
      <name val="Helv"/>
      <family val="2"/>
    </font>
    <font>
      <sz val="8"/>
      <color indexed="12"/>
      <name val="Arial"/>
      <family val="2"/>
    </font>
    <font>
      <sz val="9"/>
      <color indexed="12"/>
      <name val="Arial"/>
      <family val="2"/>
    </font>
    <font>
      <strike/>
      <sz val="10"/>
      <color indexed="10"/>
      <name val="Arial"/>
      <family val="2"/>
    </font>
    <font>
      <sz val="10"/>
      <color indexed="12"/>
      <name val="Arial"/>
      <family val="2"/>
    </font>
    <font>
      <i/>
      <sz val="10"/>
      <name val="Arial"/>
      <family val="2"/>
    </font>
    <font>
      <strike/>
      <sz val="9"/>
      <color indexed="10"/>
      <name val="Arial"/>
      <family val="2"/>
    </font>
    <font>
      <i/>
      <sz val="9"/>
      <name val="Arial CE"/>
      <family val="2"/>
    </font>
    <font>
      <b/>
      <i/>
      <sz val="9"/>
      <name val="Arial"/>
      <family val="2"/>
    </font>
    <font>
      <b/>
      <i/>
      <sz val="9"/>
      <color indexed="8"/>
      <name val="Arial"/>
      <family val="2"/>
    </font>
    <font>
      <b/>
      <i/>
      <sz val="9"/>
      <color indexed="9"/>
      <name val="Arial"/>
      <family val="2"/>
    </font>
    <font>
      <b/>
      <sz val="8"/>
      <color indexed="12"/>
      <name val="Arial"/>
      <family val="2"/>
    </font>
    <font>
      <i/>
      <sz val="10"/>
      <color indexed="9"/>
      <name val="Arial"/>
      <family val="2"/>
    </font>
    <font>
      <b/>
      <sz val="9"/>
      <color indexed="9"/>
      <name val="Arial"/>
      <family val="2"/>
    </font>
    <font>
      <strike/>
      <sz val="9"/>
      <color indexed="9"/>
      <name val="Arial"/>
      <family val="2"/>
    </font>
    <font>
      <b/>
      <sz val="12"/>
      <color indexed="10"/>
      <name val="Calibri"/>
      <family val="2"/>
    </font>
    <font>
      <b/>
      <sz val="8"/>
      <color indexed="8"/>
      <name val="Arial"/>
      <family val="2"/>
    </font>
    <font>
      <i/>
      <sz val="8"/>
      <name val="Arial"/>
      <family val="2"/>
    </font>
    <font>
      <i/>
      <sz val="8"/>
      <color indexed="12"/>
      <name val="Arial CE"/>
      <family val="2"/>
    </font>
    <font>
      <sz val="8"/>
      <color indexed="8"/>
      <name val="Calibri"/>
      <family val="2"/>
    </font>
    <font>
      <i/>
      <sz val="8"/>
      <color indexed="8"/>
      <name val="Arial"/>
      <family val="2"/>
    </font>
    <font>
      <strike/>
      <sz val="8"/>
      <color indexed="10"/>
      <name val="Arial"/>
      <family val="2"/>
    </font>
    <font>
      <sz val="8"/>
      <color indexed="9"/>
      <name val="Arial"/>
      <family val="2"/>
    </font>
    <font>
      <b/>
      <sz val="9"/>
      <color indexed="12"/>
      <name val="Arial"/>
      <family val="2"/>
    </font>
    <font>
      <b/>
      <sz val="9"/>
      <color indexed="12"/>
      <name val="Arial CE"/>
      <family val="2"/>
    </font>
    <font>
      <i/>
      <strike/>
      <sz val="9"/>
      <color indexed="12"/>
      <name val="Arial"/>
      <family val="2"/>
    </font>
    <font>
      <i/>
      <strike/>
      <sz val="9"/>
      <name val="Arial"/>
      <family val="2"/>
    </font>
    <font>
      <i/>
      <strike/>
      <sz val="9"/>
      <color indexed="9"/>
      <name val="Arial"/>
      <family val="2"/>
    </font>
    <font>
      <strike/>
      <sz val="9"/>
      <name val="Arial"/>
      <family val="2"/>
    </font>
    <font>
      <sz val="11"/>
      <color theme="1"/>
      <name val="Calibri"/>
      <family val="2"/>
      <scheme val="minor"/>
    </font>
    <font>
      <sz val="9"/>
      <color rgb="FF0000FF"/>
      <name val="Arial"/>
      <family val="2"/>
    </font>
    <font>
      <sz val="8"/>
      <color rgb="FF0000FF"/>
      <name val="Arial"/>
      <family val="2"/>
    </font>
    <font>
      <b/>
      <sz val="10"/>
      <color rgb="FF0000FF"/>
      <name val="Arial"/>
      <family val="2"/>
    </font>
    <font>
      <b/>
      <sz val="9"/>
      <color rgb="FF0000FF"/>
      <name val="Arial"/>
      <family val="2"/>
    </font>
    <font>
      <i/>
      <sz val="9"/>
      <color rgb="FF0000FF"/>
      <name val="Arial"/>
      <family val="2"/>
    </font>
    <font>
      <i/>
      <sz val="8"/>
      <color rgb="FF0000FF"/>
      <name val="Arial"/>
      <family val="2"/>
    </font>
    <font>
      <strike/>
      <sz val="9"/>
      <color rgb="FFFF0000"/>
      <name val="Arial"/>
      <family val="2"/>
    </font>
    <font>
      <i/>
      <strike/>
      <sz val="9"/>
      <color rgb="FFFF0000"/>
      <name val="Arial"/>
      <family val="2"/>
    </font>
    <font>
      <strike/>
      <sz val="10"/>
      <color rgb="FFFF0000"/>
      <name val="Arial"/>
      <family val="2"/>
    </font>
    <font>
      <i/>
      <sz val="9"/>
      <color rgb="FFFF0000"/>
      <name val="Arial"/>
      <family val="2"/>
    </font>
    <font>
      <sz val="9"/>
      <color rgb="FFFF0000"/>
      <name val="Arial"/>
      <family val="2"/>
    </font>
    <font>
      <i/>
      <strike/>
      <sz val="8"/>
      <color rgb="FFFF0000"/>
      <name val="Arial"/>
      <family val="2"/>
    </font>
    <font>
      <strike/>
      <sz val="8"/>
      <color rgb="FFFF0000"/>
      <name val="Arial"/>
      <family val="2"/>
    </font>
    <font>
      <sz val="10"/>
      <color rgb="FF0000FF"/>
      <name val="Arial"/>
      <family val="2"/>
    </font>
    <font>
      <sz val="10"/>
      <color theme="1"/>
      <name val="Arial"/>
      <family val="2"/>
    </font>
    <font>
      <b/>
      <sz val="10"/>
      <color theme="1"/>
      <name val="Arial"/>
      <family val="2"/>
    </font>
    <font>
      <b/>
      <sz val="11"/>
      <color theme="1"/>
      <name val="Arial"/>
      <family val="2"/>
    </font>
  </fonts>
  <fills count="1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rgb="FFCCFFCC"/>
        <bgColor indexed="64"/>
      </patternFill>
    </fill>
    <fill>
      <patternFill patternType="solid">
        <fgColor theme="9" tint="0.5999900102615356"/>
        <bgColor indexed="64"/>
      </patternFill>
    </fill>
    <fill>
      <patternFill patternType="solid">
        <fgColor rgb="FF99CCFF"/>
        <bgColor indexed="64"/>
      </patternFill>
    </fill>
    <fill>
      <patternFill patternType="solid">
        <fgColor rgb="FFFFC000"/>
        <bgColor indexed="64"/>
      </patternFill>
    </fill>
    <fill>
      <patternFill patternType="solid">
        <fgColor rgb="FF66FFFF"/>
        <bgColor indexed="64"/>
      </patternFill>
    </fill>
    <fill>
      <patternFill patternType="solid">
        <fgColor rgb="FFC5E0B2"/>
        <bgColor indexed="64"/>
      </patternFill>
    </fill>
    <fill>
      <patternFill patternType="solid">
        <fgColor rgb="FF00FFFF"/>
        <bgColor indexed="64"/>
      </patternFill>
    </fill>
  </fills>
  <borders count="150">
    <border>
      <left/>
      <right/>
      <top/>
      <bottom/>
      <diagonal/>
    </border>
    <border>
      <left style="thin"/>
      <right/>
      <top/>
      <bottom style="thin"/>
    </border>
    <border>
      <left style="thin"/>
      <right style="thin"/>
      <top style="hair"/>
      <bottom style="thin"/>
    </border>
    <border>
      <left/>
      <right/>
      <top/>
      <bottom style="thin"/>
    </border>
    <border>
      <left style="thin"/>
      <right/>
      <top style="medium"/>
      <bottom/>
    </border>
    <border>
      <left/>
      <right style="thin"/>
      <top style="medium"/>
      <bottom/>
    </border>
    <border>
      <left style="thin"/>
      <right/>
      <top/>
      <bottom style="medium"/>
    </border>
    <border>
      <left/>
      <right style="thin"/>
      <top/>
      <bottom style="medium"/>
    </border>
    <border>
      <left style="thin"/>
      <right style="thin"/>
      <top/>
      <bottom style="medium"/>
    </border>
    <border>
      <left style="medium"/>
      <right/>
      <top style="thin"/>
      <bottom style="medium"/>
    </border>
    <border>
      <left style="thin"/>
      <right style="medium"/>
      <top style="thin"/>
      <bottom style="medium"/>
    </border>
    <border>
      <left style="medium"/>
      <right style="thin"/>
      <top style="thin"/>
      <bottom style="medium"/>
    </border>
    <border>
      <left/>
      <right/>
      <top style="medium"/>
      <bottom style="thin"/>
    </border>
    <border>
      <left/>
      <right style="medium"/>
      <top style="medium"/>
      <bottom style="thin"/>
    </border>
    <border>
      <left style="thin"/>
      <right style="thin"/>
      <top style="medium"/>
      <bottom/>
    </border>
    <border>
      <left style="hair"/>
      <right/>
      <top style="hair"/>
      <bottom style="hair"/>
    </border>
    <border>
      <left style="hair"/>
      <right style="hair"/>
      <top style="hair"/>
      <bottom style="hair"/>
    </border>
    <border>
      <left style="medium"/>
      <right/>
      <top style="medium"/>
      <bottom style="thin"/>
    </border>
    <border>
      <left style="medium"/>
      <right/>
      <top/>
      <bottom/>
    </border>
    <border>
      <left style="medium"/>
      <right style="thin"/>
      <top/>
      <bottom style="medium"/>
    </border>
    <border>
      <left style="medium"/>
      <right/>
      <top/>
      <bottom style="thin"/>
    </border>
    <border>
      <left/>
      <right/>
      <top/>
      <bottom style="thin">
        <color indexed="8"/>
      </bottom>
    </border>
    <border>
      <left/>
      <right/>
      <top style="thin">
        <color indexed="8"/>
      </top>
      <bottom/>
    </border>
    <border>
      <left style="medium">
        <color indexed="8"/>
      </left>
      <right/>
      <top style="medium">
        <color indexed="8"/>
      </top>
      <bottom/>
    </border>
    <border>
      <left/>
      <right style="medium">
        <color indexed="8"/>
      </right>
      <top style="medium">
        <color indexed="8"/>
      </top>
      <bottom/>
    </border>
    <border>
      <left/>
      <right style="medium">
        <color indexed="8"/>
      </right>
      <top/>
      <bottom/>
    </border>
    <border>
      <left style="medium">
        <color indexed="8"/>
      </left>
      <right/>
      <top/>
      <bottom/>
    </border>
    <border>
      <left style="medium">
        <color indexed="8"/>
      </left>
      <right/>
      <top/>
      <bottom style="medium">
        <color indexed="8"/>
      </bottom>
    </border>
    <border>
      <left/>
      <right style="medium">
        <color indexed="8"/>
      </right>
      <top/>
      <bottom style="medium">
        <color indexed="8"/>
      </bottom>
    </border>
    <border>
      <left/>
      <right style="medium">
        <color indexed="8"/>
      </right>
      <top style="medium">
        <color indexed="8"/>
      </top>
      <bottom style="medium">
        <color indexed="8"/>
      </bottom>
    </border>
    <border>
      <left/>
      <right/>
      <top style="thin">
        <color indexed="8"/>
      </top>
      <bottom style="thin">
        <color indexed="8"/>
      </bottom>
    </border>
    <border>
      <left/>
      <right/>
      <top style="thin">
        <color indexed="8"/>
      </top>
      <bottom style="hair">
        <color indexed="8"/>
      </bottom>
    </border>
    <border>
      <left/>
      <right style="hair">
        <color indexed="8"/>
      </right>
      <top style="thin">
        <color indexed="8"/>
      </top>
      <bottom style="hair">
        <color indexed="8"/>
      </bottom>
    </border>
    <border>
      <left style="hair">
        <color indexed="8"/>
      </left>
      <right/>
      <top style="thin">
        <color indexed="8"/>
      </top>
      <bottom style="hair">
        <color indexed="8"/>
      </bottom>
    </border>
    <border>
      <left/>
      <right/>
      <top style="hair">
        <color indexed="8"/>
      </top>
      <bottom style="thin">
        <color indexed="8"/>
      </bottom>
    </border>
    <border>
      <left/>
      <right style="hair">
        <color indexed="8"/>
      </right>
      <top style="hair">
        <color indexed="8"/>
      </top>
      <bottom style="thin">
        <color indexed="8"/>
      </bottom>
    </border>
    <border>
      <left style="hair">
        <color indexed="8"/>
      </left>
      <right/>
      <top style="hair">
        <color indexed="8"/>
      </top>
      <bottom style="thin">
        <color indexed="8"/>
      </bottom>
    </border>
    <border>
      <left style="thin">
        <color indexed="8"/>
      </left>
      <right/>
      <top style="thin">
        <color indexed="8"/>
      </top>
      <bottom style="hair">
        <color indexed="8"/>
      </bottom>
    </border>
    <border>
      <left/>
      <right style="hair">
        <color indexed="8"/>
      </right>
      <top style="hair">
        <color indexed="8"/>
      </top>
      <bottom/>
    </border>
    <border>
      <left style="hair">
        <color indexed="8"/>
      </left>
      <right style="hair">
        <color indexed="8"/>
      </right>
      <top style="hair">
        <color indexed="8"/>
      </top>
      <bottom style="hair">
        <color indexed="8"/>
      </bottom>
    </border>
    <border>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right/>
      <top style="hair">
        <color indexed="8"/>
      </top>
      <bottom style="hair">
        <color indexed="8"/>
      </bottom>
    </border>
    <border>
      <left style="thin">
        <color indexed="8"/>
      </left>
      <right/>
      <top style="hair">
        <color indexed="8"/>
      </top>
      <bottom style="hair">
        <color indexed="8"/>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hair">
        <color indexed="8"/>
      </right>
      <top style="hair">
        <color indexed="8"/>
      </top>
      <bottom style="thin">
        <color indexed="8"/>
      </bottom>
    </border>
    <border>
      <left/>
      <right style="hair">
        <color indexed="8"/>
      </right>
      <top/>
      <bottom style="hair">
        <color indexed="8"/>
      </bottom>
    </border>
    <border>
      <left/>
      <right/>
      <top/>
      <bottom style="hair">
        <color indexed="8"/>
      </bottom>
    </border>
    <border>
      <left style="thin">
        <color indexed="8"/>
      </left>
      <right/>
      <top/>
      <bottom/>
    </border>
    <border>
      <left style="hair">
        <color indexed="8"/>
      </left>
      <right/>
      <top/>
      <bottom style="thin">
        <color indexed="8"/>
      </bottom>
    </border>
    <border>
      <left style="hair">
        <color indexed="8"/>
      </left>
      <right/>
      <top style="hair">
        <color indexed="8"/>
      </top>
      <bottom/>
    </border>
    <border>
      <left/>
      <right/>
      <top style="hair">
        <color indexed="8"/>
      </top>
      <bottom/>
    </border>
    <border>
      <left style="hair">
        <color indexed="8"/>
      </left>
      <right/>
      <top/>
      <bottom style="hair">
        <color indexed="8"/>
      </bottom>
    </border>
    <border>
      <left style="thin">
        <color indexed="8"/>
      </left>
      <right/>
      <top/>
      <bottom style="thin">
        <color indexed="8"/>
      </bottom>
    </border>
    <border>
      <left/>
      <right/>
      <top/>
      <bottom style="medium">
        <color indexed="8"/>
      </bottom>
    </border>
    <border>
      <left style="thin">
        <color indexed="8"/>
      </left>
      <right/>
      <top style="thin">
        <color indexed="8"/>
      </top>
      <bottom style="thin">
        <color indexed="8"/>
      </bottom>
    </border>
    <border>
      <left/>
      <right style="medium"/>
      <top/>
      <bottom style="thin"/>
    </border>
    <border>
      <left style="thin"/>
      <right style="thin"/>
      <top style="hair"/>
      <bottom style="hair"/>
    </border>
    <border>
      <left style="medium"/>
      <right style="thin"/>
      <top style="medium"/>
      <bottom style="hair"/>
    </border>
    <border>
      <left style="thin"/>
      <right style="thin"/>
      <top style="medium"/>
      <bottom style="hair"/>
    </border>
    <border>
      <left style="medium"/>
      <right style="thin"/>
      <top style="hair"/>
      <bottom style="hair"/>
    </border>
    <border>
      <left style="medium"/>
      <right style="thin"/>
      <top style="hair"/>
      <bottom style="medium"/>
    </border>
    <border>
      <left style="thin"/>
      <right style="thin"/>
      <top style="hair"/>
      <bottom style="medium"/>
    </border>
    <border>
      <left/>
      <right/>
      <top style="thin"/>
      <bottom/>
    </border>
    <border>
      <left/>
      <right style="medium"/>
      <top style="thin"/>
      <bottom/>
    </border>
    <border>
      <left style="medium"/>
      <right style="thin"/>
      <top/>
      <bottom/>
    </border>
    <border>
      <left style="thin"/>
      <right style="thin"/>
      <top/>
      <bottom/>
    </border>
    <border>
      <left style="thin"/>
      <right/>
      <top/>
      <bottom/>
    </border>
    <border>
      <left/>
      <right style="thin"/>
      <top/>
      <bottom/>
    </border>
    <border>
      <left style="medium"/>
      <right/>
      <top style="thin"/>
      <bottom/>
    </border>
    <border>
      <left style="thin"/>
      <right style="medium"/>
      <top style="thin"/>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medium"/>
      <top/>
      <bottom/>
    </border>
    <border>
      <left style="thin"/>
      <right style="medium"/>
      <top style="medium"/>
      <bottom style="hair"/>
    </border>
    <border>
      <left style="medium"/>
      <right style="thin"/>
      <top style="hair"/>
      <bottom style="thin"/>
    </border>
    <border>
      <left style="medium"/>
      <right style="thin"/>
      <top style="thin"/>
      <bottom style="hair"/>
    </border>
    <border>
      <left style="thin"/>
      <right style="thin"/>
      <top style="thin"/>
      <bottom style="hair"/>
    </border>
    <border>
      <left style="medium"/>
      <right style="thin"/>
      <top/>
      <bottom style="hair"/>
    </border>
    <border>
      <left style="thin"/>
      <right style="thin"/>
      <top/>
      <bottom style="hair"/>
    </border>
    <border>
      <left style="thin"/>
      <right style="medium"/>
      <top style="hair"/>
      <bottom style="hair"/>
    </border>
    <border>
      <left style="thin"/>
      <right style="medium"/>
      <top style="hair"/>
      <bottom style="thin"/>
    </border>
    <border>
      <left style="thin"/>
      <right style="medium"/>
      <top style="hair"/>
      <bottom style="medium"/>
    </border>
    <border>
      <left style="thin"/>
      <right style="medium"/>
      <top style="thin"/>
      <bottom style="hair"/>
    </border>
    <border>
      <left style="thin"/>
      <right style="medium"/>
      <top/>
      <bottom style="hair"/>
    </border>
    <border>
      <left style="hair"/>
      <right style="medium"/>
      <top style="hair"/>
      <bottom style="hair"/>
    </border>
    <border>
      <left style="thin"/>
      <right style="thin"/>
      <top style="hair"/>
      <bottom/>
    </border>
    <border>
      <left style="medium"/>
      <right/>
      <top/>
      <bottom style="medium"/>
    </border>
    <border>
      <left/>
      <right/>
      <top/>
      <bottom style="medium"/>
    </border>
    <border>
      <left/>
      <right style="medium"/>
      <top/>
      <bottom style="medium"/>
    </border>
    <border>
      <left style="thin"/>
      <right style="medium"/>
      <top style="hair"/>
      <bottom/>
    </border>
    <border>
      <left style="hair">
        <color indexed="8"/>
      </left>
      <right style="thin">
        <color indexed="8"/>
      </right>
      <top style="hair">
        <color indexed="8"/>
      </top>
      <bottom style="hair">
        <color indexed="8"/>
      </bottom>
    </border>
    <border>
      <left style="medium"/>
      <right style="thin"/>
      <top style="hair"/>
      <bottom/>
    </border>
    <border>
      <left style="hair">
        <color indexed="8"/>
      </left>
      <right style="hair">
        <color indexed="8"/>
      </right>
      <top style="hair">
        <color indexed="8"/>
      </top>
      <bottom/>
    </border>
    <border>
      <left/>
      <right style="thin">
        <color indexed="8"/>
      </right>
      <top style="hair">
        <color indexed="8"/>
      </top>
      <bottom/>
    </border>
    <border>
      <left style="thin">
        <color indexed="8"/>
      </left>
      <right/>
      <top style="hair">
        <color indexed="8"/>
      </top>
      <bottom/>
    </border>
    <border>
      <left/>
      <right style="hair">
        <color indexed="8"/>
      </right>
      <top/>
      <bottom style="thin">
        <color indexed="8"/>
      </bottom>
    </border>
    <border>
      <left style="thin">
        <color indexed="8"/>
      </left>
      <right style="hair">
        <color indexed="8"/>
      </right>
      <top/>
      <bottom style="thin">
        <color indexed="8"/>
      </bottom>
    </border>
    <border>
      <left style="hair">
        <color indexed="8"/>
      </left>
      <right/>
      <top style="thin"/>
      <bottom style="thin"/>
    </border>
    <border>
      <left/>
      <right/>
      <top style="thin"/>
      <bottom style="thin"/>
    </border>
    <border>
      <left/>
      <right style="hair">
        <color indexed="8"/>
      </right>
      <top style="thin"/>
      <bottom style="thin"/>
    </border>
    <border>
      <left style="thin">
        <color indexed="8"/>
      </left>
      <right/>
      <top style="thin"/>
      <bottom style="thin"/>
    </border>
    <border>
      <left/>
      <right style="thin">
        <color indexed="8"/>
      </right>
      <top style="thin"/>
      <bottom style="thin"/>
    </border>
    <border>
      <left style="thin">
        <color indexed="8"/>
      </left>
      <right style="hair">
        <color indexed="8"/>
      </right>
      <top style="thin"/>
      <bottom style="thin"/>
    </border>
    <border>
      <left style="thin">
        <color indexed="8"/>
      </left>
      <right style="thin"/>
      <top style="thin"/>
      <bottom style="thin"/>
    </border>
    <border>
      <left style="hair">
        <color indexed="8"/>
      </left>
      <right style="hair">
        <color indexed="8"/>
      </right>
      <top style="hair">
        <color indexed="8"/>
      </top>
      <bottom style="thin">
        <color indexed="8"/>
      </botto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style="thin">
        <color indexed="8"/>
      </bottom>
    </border>
    <border>
      <left/>
      <right style="medium"/>
      <top/>
      <bottom style="thin">
        <color indexed="8"/>
      </bottom>
    </border>
    <border>
      <left style="medium"/>
      <right/>
      <top style="thin">
        <color indexed="8"/>
      </top>
      <bottom style="thin">
        <color indexed="8"/>
      </bottom>
    </border>
    <border>
      <left/>
      <right style="medium"/>
      <top style="thin">
        <color indexed="8"/>
      </top>
      <bottom style="thin">
        <color indexed="8"/>
      </bottom>
    </border>
    <border>
      <left style="medium"/>
      <right/>
      <top style="thin">
        <color indexed="8"/>
      </top>
      <bottom style="hair">
        <color indexed="8"/>
      </bottom>
    </border>
    <border>
      <left/>
      <right style="medium"/>
      <top style="thin">
        <color indexed="8"/>
      </top>
      <bottom style="hair">
        <color indexed="8"/>
      </bottom>
    </border>
    <border>
      <left style="medium"/>
      <right/>
      <top style="hair">
        <color indexed="8"/>
      </top>
      <bottom style="thin">
        <color indexed="8"/>
      </bottom>
    </border>
    <border>
      <left/>
      <right style="medium"/>
      <top style="hair">
        <color indexed="8"/>
      </top>
      <bottom style="thin">
        <color indexed="8"/>
      </bottom>
    </border>
    <border>
      <left style="medium"/>
      <right style="hair">
        <color indexed="8"/>
      </right>
      <top style="hair">
        <color indexed="8"/>
      </top>
      <bottom style="hair">
        <color indexed="8"/>
      </bottom>
    </border>
    <border>
      <left/>
      <right style="medium"/>
      <top style="hair">
        <color indexed="8"/>
      </top>
      <bottom style="hair">
        <color indexed="8"/>
      </bottom>
    </border>
    <border>
      <left style="medium"/>
      <right style="hair">
        <color indexed="8"/>
      </right>
      <top style="hair">
        <color indexed="8"/>
      </top>
      <bottom/>
    </border>
    <border>
      <left style="medium"/>
      <right style="hair">
        <color indexed="8"/>
      </right>
      <top style="thin"/>
      <bottom style="thin"/>
    </border>
    <border>
      <left/>
      <right style="medium"/>
      <top style="hair">
        <color indexed="8"/>
      </top>
      <bottom/>
    </border>
    <border>
      <left style="medium"/>
      <right style="hair">
        <color indexed="8"/>
      </right>
      <top/>
      <bottom style="thin">
        <color indexed="8"/>
      </bottom>
    </border>
    <border>
      <left/>
      <right style="medium"/>
      <top/>
      <bottom style="hair">
        <color indexed="8"/>
      </bottom>
    </border>
    <border>
      <left style="medium"/>
      <right/>
      <top/>
      <bottom style="hair">
        <color indexed="8"/>
      </bottom>
    </border>
    <border>
      <left/>
      <right style="medium"/>
      <top/>
      <bottom style="medium">
        <color indexed="8"/>
      </bottom>
    </border>
    <border>
      <left style="hair">
        <color indexed="8"/>
      </left>
      <right/>
      <top/>
      <bottom/>
    </border>
    <border>
      <left style="medium">
        <color indexed="8"/>
      </left>
      <right/>
      <top style="medium">
        <color indexed="8"/>
      </top>
      <bottom style="medium">
        <color indexed="8"/>
      </bottom>
    </border>
    <border>
      <left/>
      <right style="thin">
        <color indexed="8"/>
      </right>
      <top style="thin">
        <color indexed="8"/>
      </top>
      <bottom style="hair">
        <color indexed="8"/>
      </bottom>
    </border>
    <border>
      <left style="medium"/>
      <right style="thin"/>
      <top style="hair"/>
      <bottom style="hair">
        <color indexed="63"/>
      </bottom>
    </border>
    <border>
      <left style="thin"/>
      <right style="thin"/>
      <top style="hair"/>
      <bottom style="hair">
        <color indexed="63"/>
      </bottom>
    </border>
    <border>
      <left style="thin"/>
      <right style="medium"/>
      <top style="hair"/>
      <bottom style="hair">
        <color indexed="63"/>
      </bottom>
    </border>
    <border>
      <left style="medium"/>
      <right style="thin"/>
      <top style="hair">
        <color indexed="63"/>
      </top>
      <bottom style="hair"/>
    </border>
    <border>
      <left style="thin"/>
      <right style="thin"/>
      <top style="hair">
        <color indexed="63"/>
      </top>
      <bottom style="hair"/>
    </border>
    <border>
      <left style="thin"/>
      <right style="medium"/>
      <top style="hair">
        <color indexed="63"/>
      </top>
      <bottom style="hair"/>
    </border>
    <border>
      <left style="medium"/>
      <right style="thin"/>
      <top style="hair">
        <color indexed="63"/>
      </top>
      <bottom style="hair">
        <color indexed="63"/>
      </bottom>
    </border>
    <border>
      <left style="thin"/>
      <right style="thin"/>
      <top style="hair">
        <color indexed="63"/>
      </top>
      <bottom style="hair">
        <color indexed="63"/>
      </bottom>
    </border>
    <border>
      <left style="thin"/>
      <right style="medium"/>
      <top style="hair">
        <color indexed="63"/>
      </top>
      <bottom style="hair">
        <color indexed="63"/>
      </bottom>
    </border>
    <border>
      <left/>
      <right style="hair"/>
      <top style="hair"/>
      <bottom style="hair"/>
    </border>
    <border>
      <left style="thin"/>
      <right style="thin"/>
      <top style="medium"/>
      <bottom style="medium"/>
    </border>
    <border>
      <left style="medium"/>
      <right style="thin"/>
      <top style="medium"/>
      <bottom style="medium"/>
    </border>
    <border>
      <left style="thin"/>
      <right style="medium"/>
      <top style="medium"/>
      <bottom style="medium"/>
    </border>
    <border>
      <left/>
      <right/>
      <top style="medium">
        <color indexed="8"/>
      </top>
      <bottom/>
    </border>
    <border>
      <left style="medium">
        <color indexed="8"/>
      </left>
      <right style="medium">
        <color indexed="8"/>
      </right>
      <top style="medium">
        <color indexed="8"/>
      </top>
      <bottom style="medium">
        <color indexed="8"/>
      </botto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1">
      <alignment/>
      <protection hidden="1"/>
    </xf>
    <xf numFmtId="3" fontId="4" fillId="0" borderId="2">
      <alignment horizontal="right"/>
      <protection hidden="1"/>
    </xf>
    <xf numFmtId="0" fontId="20" fillId="0" borderId="0">
      <alignment/>
      <protection/>
    </xf>
    <xf numFmtId="0" fontId="0" fillId="0" borderId="0">
      <alignment/>
      <protection/>
    </xf>
    <xf numFmtId="0" fontId="20"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15" fillId="0" borderId="0">
      <alignment/>
      <protection locked="0"/>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42" fillId="0" borderId="0">
      <alignment/>
      <protection/>
    </xf>
    <xf numFmtId="0" fontId="1" fillId="0" borderId="0">
      <alignment/>
      <protection/>
    </xf>
  </cellStyleXfs>
  <cellXfs count="1350">
    <xf numFmtId="0" fontId="0" fillId="0" borderId="0" xfId="0"/>
    <xf numFmtId="49" fontId="5" fillId="0" borderId="3" xfId="30" applyNumberFormat="1" applyFont="1" applyFill="1" applyBorder="1" applyAlignment="1" applyProtection="1">
      <alignment horizontal="left" vertical="center"/>
      <protection/>
    </xf>
    <xf numFmtId="49" fontId="5" fillId="0" borderId="4" xfId="30" applyNumberFormat="1" applyFont="1" applyFill="1" applyBorder="1" applyAlignment="1" applyProtection="1">
      <alignment horizontal="left" vertical="center"/>
      <protection/>
    </xf>
    <xf numFmtId="49" fontId="5" fillId="0" borderId="5" xfId="30" applyNumberFormat="1" applyFont="1" applyFill="1" applyBorder="1" applyAlignment="1" applyProtection="1">
      <alignment horizontal="left" vertical="center"/>
      <protection/>
    </xf>
    <xf numFmtId="49" fontId="7" fillId="0" borderId="6" xfId="30" applyNumberFormat="1" applyFont="1" applyFill="1" applyBorder="1" applyAlignment="1" applyProtection="1">
      <alignment horizontal="left" vertical="center"/>
      <protection/>
    </xf>
    <xf numFmtId="49" fontId="7" fillId="0" borderId="7" xfId="30" applyNumberFormat="1" applyFont="1" applyFill="1" applyBorder="1" applyAlignment="1" applyProtection="1">
      <alignment horizontal="left" vertical="center"/>
      <protection/>
    </xf>
    <xf numFmtId="49" fontId="7" fillId="0" borderId="8" xfId="30" applyNumberFormat="1" applyFont="1" applyFill="1" applyBorder="1" applyAlignment="1" applyProtection="1">
      <alignment horizontal="center" vertical="center"/>
      <protection/>
    </xf>
    <xf numFmtId="49" fontId="7" fillId="0" borderId="9" xfId="30" applyNumberFormat="1" applyFont="1" applyFill="1" applyBorder="1" applyAlignment="1" applyProtection="1">
      <alignment horizontal="center" vertical="center"/>
      <protection/>
    </xf>
    <xf numFmtId="49" fontId="7" fillId="0" borderId="10" xfId="30" applyNumberFormat="1" applyFont="1" applyFill="1" applyBorder="1" applyAlignment="1" applyProtection="1">
      <alignment horizontal="center" vertical="center"/>
      <protection/>
    </xf>
    <xf numFmtId="0" fontId="2" fillId="0" borderId="0" xfId="30" applyFont="1" applyAlignment="1">
      <alignment vertical="center"/>
      <protection/>
    </xf>
    <xf numFmtId="165" fontId="7" fillId="0" borderId="11" xfId="30" applyNumberFormat="1" applyFont="1" applyFill="1" applyBorder="1" applyAlignment="1" applyProtection="1">
      <alignment horizontal="center" vertical="center"/>
      <protection/>
    </xf>
    <xf numFmtId="165" fontId="7" fillId="0" borderId="10" xfId="30" applyNumberFormat="1" applyFont="1" applyFill="1" applyBorder="1" applyAlignment="1" applyProtection="1">
      <alignment horizontal="center" vertical="center"/>
      <protection/>
    </xf>
    <xf numFmtId="165" fontId="0" fillId="0" borderId="0" xfId="0" applyNumberFormat="1"/>
    <xf numFmtId="0" fontId="6" fillId="2" borderId="12" xfId="30" applyNumberFormat="1" applyFont="1" applyFill="1" applyBorder="1" applyAlignment="1" applyProtection="1">
      <alignment horizontal="center" vertical="center"/>
      <protection/>
    </xf>
    <xf numFmtId="0" fontId="6" fillId="2" borderId="12" xfId="30" applyNumberFormat="1" applyFont="1" applyFill="1" applyBorder="1" applyAlignment="1" applyProtection="1">
      <alignment horizontal="left" vertical="center"/>
      <protection/>
    </xf>
    <xf numFmtId="165" fontId="6" fillId="2" borderId="12" xfId="30" applyNumberFormat="1" applyFont="1" applyFill="1" applyBorder="1" applyAlignment="1" applyProtection="1">
      <alignment horizontal="center" vertical="center"/>
      <protection/>
    </xf>
    <xf numFmtId="165" fontId="6" fillId="2" borderId="13" xfId="30" applyNumberFormat="1" applyFont="1" applyFill="1" applyBorder="1" applyAlignment="1" applyProtection="1">
      <alignment horizontal="center" vertical="center"/>
      <protection/>
    </xf>
    <xf numFmtId="49" fontId="5" fillId="0" borderId="14" xfId="30" applyNumberFormat="1" applyFont="1" applyFill="1" applyBorder="1" applyAlignment="1" applyProtection="1">
      <alignment horizontal="left" vertical="center"/>
      <protection/>
    </xf>
    <xf numFmtId="0" fontId="0" fillId="0" borderId="0" xfId="0" applyFill="1"/>
    <xf numFmtId="49" fontId="7" fillId="0" borderId="8" xfId="30" applyNumberFormat="1" applyFont="1" applyFill="1" applyBorder="1" applyAlignment="1" applyProtection="1">
      <alignment horizontal="left" vertical="center"/>
      <protection/>
    </xf>
    <xf numFmtId="49" fontId="12" fillId="0" borderId="15" xfId="30" applyNumberFormat="1" applyFont="1" applyFill="1" applyBorder="1" applyAlignment="1" applyProtection="1">
      <alignment horizontal="left" vertical="center" wrapText="1"/>
      <protection/>
    </xf>
    <xf numFmtId="49" fontId="12" fillId="0" borderId="16" xfId="30" applyNumberFormat="1" applyFont="1" applyFill="1" applyBorder="1" applyAlignment="1" applyProtection="1">
      <alignment horizontal="left" vertical="center"/>
      <protection/>
    </xf>
    <xf numFmtId="0" fontId="11" fillId="0" borderId="0" xfId="0" applyFont="1" applyFill="1"/>
    <xf numFmtId="49" fontId="0" fillId="2" borderId="17" xfId="0" applyNumberFormat="1" applyFill="1" applyBorder="1"/>
    <xf numFmtId="49" fontId="0" fillId="0" borderId="18" xfId="0" applyNumberFormat="1" applyBorder="1"/>
    <xf numFmtId="49" fontId="0" fillId="0" borderId="18" xfId="0" applyNumberFormat="1" applyFill="1" applyBorder="1"/>
    <xf numFmtId="49" fontId="0" fillId="0" borderId="19" xfId="0" applyNumberFormat="1" applyFill="1" applyBorder="1"/>
    <xf numFmtId="49" fontId="0" fillId="0" borderId="20" xfId="0" applyNumberFormat="1" applyFill="1" applyBorder="1"/>
    <xf numFmtId="49" fontId="0" fillId="0" borderId="0" xfId="0" applyNumberFormat="1"/>
    <xf numFmtId="49" fontId="11" fillId="0" borderId="18" xfId="0" applyNumberFormat="1" applyFont="1" applyFill="1" applyBorder="1" applyAlignment="1">
      <alignment horizontal="center" vertical="center"/>
    </xf>
    <xf numFmtId="49" fontId="5" fillId="0" borderId="14" xfId="30" applyNumberFormat="1" applyFont="1" applyFill="1" applyBorder="1" applyAlignment="1" applyProtection="1">
      <alignment horizontal="center" vertical="center"/>
      <protection/>
    </xf>
    <xf numFmtId="49" fontId="12" fillId="0" borderId="16" xfId="30" applyNumberFormat="1" applyFont="1" applyFill="1" applyBorder="1" applyAlignment="1" applyProtection="1">
      <alignment horizontal="center" vertical="center"/>
      <protection/>
    </xf>
    <xf numFmtId="0" fontId="2" fillId="0" borderId="0" xfId="30" applyFont="1" applyAlignment="1">
      <alignment horizontal="center" vertical="center"/>
      <protection/>
    </xf>
    <xf numFmtId="0" fontId="0" fillId="0" borderId="0" xfId="0" applyAlignment="1">
      <alignment horizontal="center"/>
    </xf>
    <xf numFmtId="0" fontId="0" fillId="0" borderId="21" xfId="29" applyFont="1" applyBorder="1" applyAlignment="1" applyProtection="1">
      <alignment horizontal="left"/>
      <protection/>
    </xf>
    <xf numFmtId="0" fontId="10" fillId="0" borderId="22" xfId="29" applyFont="1" applyBorder="1" applyAlignment="1" applyProtection="1">
      <alignment horizontal="left" vertical="center"/>
      <protection/>
    </xf>
    <xf numFmtId="0" fontId="18" fillId="0" borderId="23" xfId="29" applyFont="1" applyBorder="1" applyAlignment="1" applyProtection="1">
      <alignment horizontal="left" vertical="center"/>
      <protection/>
    </xf>
    <xf numFmtId="0" fontId="10" fillId="0" borderId="24" xfId="29" applyFont="1" applyBorder="1" applyAlignment="1" applyProtection="1">
      <alignment horizontal="left" vertical="center"/>
      <protection/>
    </xf>
    <xf numFmtId="0" fontId="10" fillId="0" borderId="25" xfId="29" applyFont="1" applyBorder="1" applyAlignment="1" applyProtection="1">
      <alignment horizontal="left" vertical="center"/>
      <protection/>
    </xf>
    <xf numFmtId="0" fontId="18" fillId="0" borderId="26" xfId="29" applyFont="1" applyBorder="1" applyAlignment="1" applyProtection="1">
      <alignment horizontal="left" vertical="center"/>
      <protection/>
    </xf>
    <xf numFmtId="0" fontId="18" fillId="0" borderId="27" xfId="29" applyFont="1" applyBorder="1" applyAlignment="1" applyProtection="1">
      <alignment horizontal="left" vertical="center"/>
      <protection/>
    </xf>
    <xf numFmtId="0" fontId="10" fillId="0" borderId="28" xfId="29" applyFont="1" applyBorder="1" applyAlignment="1" applyProtection="1">
      <alignment horizontal="left" vertical="center"/>
      <protection/>
    </xf>
    <xf numFmtId="0" fontId="10" fillId="0" borderId="29" xfId="29" applyFont="1" applyBorder="1" applyAlignment="1" applyProtection="1">
      <alignment horizontal="left" vertical="center"/>
      <protection/>
    </xf>
    <xf numFmtId="0" fontId="10" fillId="0" borderId="0" xfId="29" applyFont="1" applyBorder="1" applyAlignment="1" applyProtection="1">
      <alignment horizontal="left" vertical="top"/>
      <protection/>
    </xf>
    <xf numFmtId="0" fontId="18" fillId="0" borderId="0" xfId="29" applyFont="1" applyBorder="1" applyAlignment="1" applyProtection="1">
      <alignment horizontal="left" vertical="top"/>
      <protection/>
    </xf>
    <xf numFmtId="0" fontId="19" fillId="0" borderId="0" xfId="29" applyFont="1" applyBorder="1" applyAlignment="1" applyProtection="1">
      <alignment horizontal="left" vertical="center"/>
      <protection/>
    </xf>
    <xf numFmtId="0" fontId="10" fillId="0" borderId="21" xfId="29" applyFont="1" applyBorder="1" applyAlignment="1" applyProtection="1">
      <alignment horizontal="left" vertical="center"/>
      <protection/>
    </xf>
    <xf numFmtId="0" fontId="10" fillId="0" borderId="30" xfId="29" applyFont="1" applyBorder="1" applyAlignment="1" applyProtection="1">
      <alignment horizontal="left" vertical="center"/>
      <protection/>
    </xf>
    <xf numFmtId="0" fontId="10" fillId="0" borderId="31" xfId="29" applyFont="1" applyBorder="1" applyAlignment="1" applyProtection="1">
      <alignment horizontal="left" vertical="center"/>
      <protection/>
    </xf>
    <xf numFmtId="0" fontId="10" fillId="0" borderId="32" xfId="29" applyFont="1" applyBorder="1" applyAlignment="1" applyProtection="1">
      <alignment horizontal="left" vertical="center"/>
      <protection/>
    </xf>
    <xf numFmtId="0" fontId="10" fillId="0" borderId="33" xfId="29" applyFont="1" applyBorder="1" applyAlignment="1" applyProtection="1">
      <alignment horizontal="left" vertical="center"/>
      <protection/>
    </xf>
    <xf numFmtId="166" fontId="0" fillId="0" borderId="34" xfId="29" applyNumberFormat="1" applyFont="1" applyBorder="1" applyAlignment="1" applyProtection="1">
      <alignment horizontal="right" vertical="center"/>
      <protection/>
    </xf>
    <xf numFmtId="167" fontId="20" fillId="0" borderId="35" xfId="29" applyNumberFormat="1" applyFont="1" applyBorder="1" applyAlignment="1" applyProtection="1">
      <alignment horizontal="right" vertical="center"/>
      <protection/>
    </xf>
    <xf numFmtId="168" fontId="20" fillId="0" borderId="36" xfId="29" applyNumberFormat="1" applyFont="1" applyBorder="1" applyAlignment="1" applyProtection="1">
      <alignment horizontal="right" vertical="center"/>
      <protection/>
    </xf>
    <xf numFmtId="166" fontId="0" fillId="0" borderId="35" xfId="29" applyNumberFormat="1" applyFont="1" applyBorder="1" applyAlignment="1" applyProtection="1">
      <alignment horizontal="right" vertical="center"/>
      <protection/>
    </xf>
    <xf numFmtId="166" fontId="0" fillId="0" borderId="36" xfId="29" applyNumberFormat="1" applyFont="1" applyBorder="1" applyAlignment="1" applyProtection="1">
      <alignment horizontal="right" vertical="center"/>
      <protection/>
    </xf>
    <xf numFmtId="166" fontId="20" fillId="0" borderId="34" xfId="29" applyNumberFormat="1" applyFont="1" applyBorder="1" applyAlignment="1" applyProtection="1">
      <alignment horizontal="right" vertical="center"/>
      <protection/>
    </xf>
    <xf numFmtId="167" fontId="20" fillId="0" borderId="21" xfId="29" applyNumberFormat="1" applyFont="1" applyBorder="1" applyAlignment="1" applyProtection="1">
      <alignment horizontal="right" vertical="center"/>
      <protection/>
    </xf>
    <xf numFmtId="0" fontId="21" fillId="0" borderId="32" xfId="29" applyFont="1" applyFill="1" applyBorder="1" applyAlignment="1" applyProtection="1">
      <alignment horizontal="left" vertical="center"/>
      <protection/>
    </xf>
    <xf numFmtId="0" fontId="21" fillId="0" borderId="37" xfId="29" applyFont="1" applyFill="1" applyBorder="1" applyAlignment="1" applyProtection="1">
      <alignment horizontal="left" vertical="center"/>
      <protection/>
    </xf>
    <xf numFmtId="0" fontId="10" fillId="0" borderId="38" xfId="29" applyFont="1" applyFill="1" applyBorder="1" applyAlignment="1" applyProtection="1">
      <alignment horizontal="left" vertical="center"/>
      <protection/>
    </xf>
    <xf numFmtId="0" fontId="10" fillId="0" borderId="39" xfId="29" applyFont="1" applyFill="1" applyBorder="1" applyAlignment="1" applyProtection="1">
      <alignment horizontal="left" vertical="center"/>
      <protection/>
    </xf>
    <xf numFmtId="0" fontId="10" fillId="0" borderId="40" xfId="29" applyFont="1" applyFill="1" applyBorder="1" applyAlignment="1" applyProtection="1">
      <alignment horizontal="left" vertical="center"/>
      <protection/>
    </xf>
    <xf numFmtId="0" fontId="10" fillId="0" borderId="41" xfId="29" applyFont="1" applyFill="1" applyBorder="1" applyAlignment="1" applyProtection="1">
      <alignment horizontal="center" vertical="center"/>
      <protection/>
    </xf>
    <xf numFmtId="0" fontId="10" fillId="0" borderId="42" xfId="29" applyFont="1" applyFill="1" applyBorder="1" applyAlignment="1" applyProtection="1">
      <alignment horizontal="left" vertical="center"/>
      <protection/>
    </xf>
    <xf numFmtId="0" fontId="10" fillId="0" borderId="43" xfId="29" applyFont="1" applyFill="1" applyBorder="1" applyAlignment="1" applyProtection="1">
      <alignment horizontal="left" vertical="center"/>
      <protection/>
    </xf>
    <xf numFmtId="166" fontId="0" fillId="0" borderId="44" xfId="29" applyNumberFormat="1" applyFont="1" applyFill="1" applyBorder="1" applyAlignment="1" applyProtection="1">
      <alignment horizontal="right" vertical="center"/>
      <protection/>
    </xf>
    <xf numFmtId="0" fontId="18" fillId="0" borderId="42" xfId="29" applyFont="1" applyFill="1" applyBorder="1" applyAlignment="1" applyProtection="1">
      <alignment horizontal="left" vertical="center"/>
      <protection/>
    </xf>
    <xf numFmtId="0" fontId="10" fillId="0" borderId="44" xfId="29" applyFont="1" applyFill="1" applyBorder="1" applyAlignment="1" applyProtection="1">
      <alignment horizontal="left" vertical="center"/>
      <protection/>
    </xf>
    <xf numFmtId="169" fontId="18" fillId="0" borderId="39" xfId="29" applyNumberFormat="1" applyFont="1" applyFill="1" applyBorder="1" applyAlignment="1" applyProtection="1">
      <alignment horizontal="right" vertical="center"/>
      <protection/>
    </xf>
    <xf numFmtId="0" fontId="10" fillId="0" borderId="45" xfId="29" applyFont="1" applyFill="1" applyBorder="1" applyAlignment="1" applyProtection="1">
      <alignment horizontal="center" vertical="center"/>
      <protection/>
    </xf>
    <xf numFmtId="0" fontId="22" fillId="0" borderId="42" xfId="29" applyFont="1" applyFill="1" applyBorder="1" applyAlignment="1" applyProtection="1">
      <alignment horizontal="left" vertical="center"/>
      <protection/>
    </xf>
    <xf numFmtId="166" fontId="0" fillId="0" borderId="46" xfId="29" applyNumberFormat="1" applyFont="1" applyFill="1" applyBorder="1" applyAlignment="1" applyProtection="1">
      <alignment horizontal="right" vertical="center"/>
      <protection/>
    </xf>
    <xf numFmtId="0" fontId="10" fillId="0" borderId="36" xfId="29" applyFont="1" applyFill="1" applyBorder="1" applyAlignment="1" applyProtection="1">
      <alignment horizontal="left" vertical="center"/>
      <protection/>
    </xf>
    <xf numFmtId="0" fontId="10" fillId="0" borderId="34" xfId="29" applyFont="1" applyFill="1" applyBorder="1" applyAlignment="1" applyProtection="1">
      <alignment horizontal="left" vertical="center"/>
      <protection/>
    </xf>
    <xf numFmtId="0" fontId="10" fillId="0" borderId="35" xfId="29" applyFont="1" applyFill="1" applyBorder="1" applyAlignment="1" applyProtection="1">
      <alignment horizontal="left" vertical="center"/>
      <protection/>
    </xf>
    <xf numFmtId="0" fontId="10" fillId="0" borderId="47" xfId="29" applyFont="1" applyFill="1" applyBorder="1" applyAlignment="1" applyProtection="1">
      <alignment horizontal="left" vertical="center"/>
      <protection/>
    </xf>
    <xf numFmtId="0" fontId="10" fillId="0" borderId="48" xfId="29" applyFont="1" applyFill="1" applyBorder="1" applyAlignment="1" applyProtection="1">
      <alignment horizontal="center" vertical="center"/>
      <protection/>
    </xf>
    <xf numFmtId="166" fontId="20" fillId="0" borderId="21" xfId="29" applyNumberFormat="1" applyFont="1" applyFill="1" applyBorder="1" applyAlignment="1" applyProtection="1">
      <alignment horizontal="right" vertical="center"/>
      <protection/>
    </xf>
    <xf numFmtId="0" fontId="10" fillId="0" borderId="21" xfId="29" applyFont="1" applyFill="1" applyBorder="1" applyAlignment="1" applyProtection="1">
      <alignment horizontal="left" vertical="center"/>
      <protection/>
    </xf>
    <xf numFmtId="0" fontId="22" fillId="0" borderId="49" xfId="29" applyFont="1" applyFill="1" applyBorder="1" applyAlignment="1" applyProtection="1">
      <alignment horizontal="left" vertical="center"/>
      <protection/>
    </xf>
    <xf numFmtId="0" fontId="10" fillId="0" borderId="50" xfId="29" applyFont="1" applyFill="1" applyBorder="1" applyAlignment="1" applyProtection="1">
      <alignment horizontal="left" vertical="top"/>
      <protection/>
    </xf>
    <xf numFmtId="0" fontId="23" fillId="0" borderId="32" xfId="29" applyFont="1" applyFill="1" applyBorder="1" applyAlignment="1" applyProtection="1">
      <alignment horizontal="left" vertical="center"/>
      <protection/>
    </xf>
    <xf numFmtId="0" fontId="18" fillId="0" borderId="31" xfId="29" applyFont="1" applyFill="1" applyBorder="1" applyAlignment="1" applyProtection="1">
      <alignment horizontal="left" vertical="center"/>
      <protection/>
    </xf>
    <xf numFmtId="0" fontId="10" fillId="0" borderId="0" xfId="29" applyFont="1" applyFill="1" applyBorder="1" applyAlignment="1" applyProtection="1">
      <alignment horizontal="left" vertical="top"/>
      <protection/>
    </xf>
    <xf numFmtId="0" fontId="10" fillId="0" borderId="51" xfId="29" applyFont="1" applyFill="1" applyBorder="1" applyAlignment="1" applyProtection="1">
      <alignment horizontal="left" vertical="top"/>
      <protection/>
    </xf>
    <xf numFmtId="0" fontId="17" fillId="0" borderId="52" xfId="29" applyFont="1" applyFill="1" applyBorder="1" applyAlignment="1" applyProtection="1">
      <alignment horizontal="left" vertical="center"/>
      <protection/>
    </xf>
    <xf numFmtId="0" fontId="18" fillId="0" borderId="21" xfId="29" applyFont="1" applyFill="1" applyBorder="1" applyAlignment="1" applyProtection="1">
      <alignment horizontal="left" vertical="center"/>
      <protection/>
    </xf>
    <xf numFmtId="0" fontId="17" fillId="0" borderId="21" xfId="29" applyFont="1" applyFill="1" applyBorder="1" applyAlignment="1" applyProtection="1">
      <alignment horizontal="right" vertical="center"/>
      <protection/>
    </xf>
    <xf numFmtId="0" fontId="15" fillId="0" borderId="0" xfId="29" applyFont="1" applyFill="1" applyBorder="1" applyAlignment="1" applyProtection="1">
      <alignment horizontal="left" vertical="top"/>
      <protection locked="0"/>
    </xf>
    <xf numFmtId="0" fontId="15" fillId="0" borderId="51" xfId="29" applyFont="1" applyFill="1" applyBorder="1" applyAlignment="1" applyProtection="1">
      <alignment horizontal="left" vertical="top"/>
      <protection locked="0"/>
    </xf>
    <xf numFmtId="0" fontId="18" fillId="0" borderId="53" xfId="29" applyFont="1" applyFill="1" applyBorder="1" applyAlignment="1" applyProtection="1">
      <alignment horizontal="left" vertical="center"/>
      <protection locked="0"/>
    </xf>
    <xf numFmtId="2" fontId="18" fillId="0" borderId="54" xfId="29" applyNumberFormat="1" applyFont="1" applyFill="1" applyBorder="1" applyAlignment="1" applyProtection="1">
      <alignment horizontal="center" vertical="center"/>
      <protection locked="0"/>
    </xf>
    <xf numFmtId="170" fontId="18" fillId="0" borderId="54" xfId="29" applyNumberFormat="1" applyFont="1" applyFill="1" applyBorder="1" applyAlignment="1" applyProtection="1">
      <alignment horizontal="right" vertical="center"/>
      <protection locked="0"/>
    </xf>
    <xf numFmtId="0" fontId="18" fillId="0" borderId="55" xfId="29" applyFont="1" applyFill="1" applyBorder="1" applyAlignment="1" applyProtection="1">
      <alignment horizontal="left" vertical="center"/>
      <protection locked="0"/>
    </xf>
    <xf numFmtId="2" fontId="18" fillId="0" borderId="50" xfId="29" applyNumberFormat="1" applyFont="1" applyFill="1" applyBorder="1" applyAlignment="1" applyProtection="1">
      <alignment horizontal="center" vertical="center"/>
      <protection locked="0"/>
    </xf>
    <xf numFmtId="170" fontId="18" fillId="0" borderId="50" xfId="29" applyNumberFormat="1" applyFont="1" applyFill="1" applyBorder="1" applyAlignment="1" applyProtection="1">
      <alignment horizontal="right" vertical="center"/>
      <protection locked="0"/>
    </xf>
    <xf numFmtId="0" fontId="15" fillId="0" borderId="56" xfId="29" applyFont="1" applyFill="1" applyBorder="1" applyAlignment="1" applyProtection="1">
      <alignment horizontal="left" vertical="top"/>
      <protection locked="0"/>
    </xf>
    <xf numFmtId="0" fontId="23" fillId="0" borderId="34" xfId="29" applyFont="1" applyFill="1" applyBorder="1" applyAlignment="1" applyProtection="1">
      <alignment horizontal="left" vertical="center"/>
      <protection locked="0"/>
    </xf>
    <xf numFmtId="2" fontId="18" fillId="0" borderId="34" xfId="29" applyNumberFormat="1" applyFont="1" applyFill="1" applyBorder="1" applyAlignment="1" applyProtection="1">
      <alignment horizontal="right" vertical="center"/>
      <protection locked="0"/>
    </xf>
    <xf numFmtId="170" fontId="18" fillId="0" borderId="34" xfId="29" applyNumberFormat="1" applyFont="1" applyFill="1" applyBorder="1" applyAlignment="1" applyProtection="1">
      <alignment horizontal="right" vertical="center"/>
      <protection locked="0"/>
    </xf>
    <xf numFmtId="0" fontId="21" fillId="0" borderId="37" xfId="29" applyFont="1" applyFill="1" applyBorder="1" applyAlignment="1" applyProtection="1">
      <alignment horizontal="left" vertical="center"/>
      <protection locked="0"/>
    </xf>
    <xf numFmtId="0" fontId="10" fillId="0" borderId="31" xfId="29" applyFont="1" applyFill="1" applyBorder="1" applyAlignment="1" applyProtection="1">
      <alignment horizontal="left" vertical="top"/>
      <protection locked="0"/>
    </xf>
    <xf numFmtId="170" fontId="10" fillId="0" borderId="31" xfId="29" applyNumberFormat="1" applyFont="1" applyFill="1" applyBorder="1" applyAlignment="1" applyProtection="1">
      <alignment horizontal="right" vertical="center"/>
      <protection locked="0"/>
    </xf>
    <xf numFmtId="0" fontId="10" fillId="0" borderId="51" xfId="29" applyFont="1" applyFill="1" applyBorder="1" applyAlignment="1" applyProtection="1">
      <alignment horizontal="left" vertical="top"/>
      <protection locked="0"/>
    </xf>
    <xf numFmtId="0" fontId="10" fillId="0" borderId="55" xfId="29" applyFont="1" applyFill="1" applyBorder="1" applyAlignment="1" applyProtection="1">
      <alignment horizontal="left"/>
      <protection locked="0"/>
    </xf>
    <xf numFmtId="0" fontId="10" fillId="0" borderId="50" xfId="29" applyFont="1" applyFill="1" applyBorder="1" applyAlignment="1" applyProtection="1">
      <alignment horizontal="left" vertical="top"/>
      <protection locked="0"/>
    </xf>
    <xf numFmtId="0" fontId="15" fillId="0" borderId="57" xfId="29" applyFont="1" applyFill="1" applyBorder="1" applyAlignment="1" applyProtection="1">
      <alignment horizontal="left" vertical="top"/>
      <protection locked="0"/>
    </xf>
    <xf numFmtId="168" fontId="24" fillId="0" borderId="42" xfId="29" applyNumberFormat="1" applyFont="1" applyFill="1" applyBorder="1" applyAlignment="1" applyProtection="1">
      <alignment horizontal="right" vertical="center"/>
      <protection/>
    </xf>
    <xf numFmtId="168" fontId="24" fillId="0" borderId="58" xfId="29" applyNumberFormat="1" applyFont="1" applyFill="1" applyBorder="1" applyAlignment="1" applyProtection="1">
      <alignment horizontal="right" vertical="center"/>
      <protection/>
    </xf>
    <xf numFmtId="168" fontId="24" fillId="0" borderId="52" xfId="29" applyNumberFormat="1" applyFont="1" applyFill="1" applyBorder="1" applyAlignment="1" applyProtection="1">
      <alignment horizontal="right" vertical="center"/>
      <protection/>
    </xf>
    <xf numFmtId="168" fontId="11" fillId="0" borderId="42" xfId="29" applyNumberFormat="1" applyFont="1" applyFill="1" applyBorder="1" applyAlignment="1" applyProtection="1">
      <alignment horizontal="right" vertical="center"/>
      <protection/>
    </xf>
    <xf numFmtId="167" fontId="11" fillId="0" borderId="42" xfId="29" applyNumberFormat="1" applyFont="1" applyFill="1" applyBorder="1" applyAlignment="1" applyProtection="1">
      <alignment horizontal="right" vertical="center"/>
      <protection/>
    </xf>
    <xf numFmtId="168" fontId="24" fillId="0" borderId="34" xfId="29" applyNumberFormat="1" applyFont="1" applyBorder="1" applyAlignment="1" applyProtection="1">
      <alignment horizontal="right" vertical="center"/>
      <protection/>
    </xf>
    <xf numFmtId="0" fontId="11" fillId="0" borderId="30" xfId="29" applyFont="1" applyBorder="1" applyAlignment="1" applyProtection="1">
      <alignment horizontal="left" vertical="center"/>
      <protection/>
    </xf>
    <xf numFmtId="0" fontId="25" fillId="0" borderId="31" xfId="29" applyFont="1" applyFill="1" applyBorder="1" applyAlignment="1" applyProtection="1">
      <alignment horizontal="left" vertical="center"/>
      <protection/>
    </xf>
    <xf numFmtId="168" fontId="26" fillId="0" borderId="31" xfId="29" applyNumberFormat="1" applyFont="1" applyFill="1" applyBorder="1" applyAlignment="1" applyProtection="1">
      <alignment horizontal="right" vertical="center"/>
      <protection/>
    </xf>
    <xf numFmtId="2" fontId="24" fillId="0" borderId="34" xfId="29" applyNumberFormat="1" applyFont="1" applyFill="1" applyBorder="1" applyAlignment="1" applyProtection="1">
      <alignment horizontal="right" vertical="center"/>
      <protection locked="0"/>
    </xf>
    <xf numFmtId="2" fontId="24" fillId="0" borderId="34" xfId="29" applyNumberFormat="1" applyFont="1" applyFill="1" applyBorder="1" applyAlignment="1" applyProtection="1">
      <alignment horizontal="left" vertical="center"/>
      <protection locked="0"/>
    </xf>
    <xf numFmtId="168" fontId="26" fillId="0" borderId="34" xfId="29" applyNumberFormat="1" applyFont="1" applyFill="1" applyBorder="1" applyAlignment="1" applyProtection="1">
      <alignment horizontal="right" vertical="center"/>
      <protection locked="0"/>
    </xf>
    <xf numFmtId="0" fontId="11" fillId="0" borderId="31" xfId="29" applyFont="1" applyFill="1" applyBorder="1" applyAlignment="1" applyProtection="1">
      <alignment horizontal="left" vertical="top"/>
      <protection locked="0"/>
    </xf>
    <xf numFmtId="0" fontId="11" fillId="0" borderId="50" xfId="29" applyFont="1" applyFill="1" applyBorder="1" applyAlignment="1" applyProtection="1">
      <alignment horizontal="left" vertical="top"/>
      <protection locked="0"/>
    </xf>
    <xf numFmtId="49" fontId="7" fillId="0" borderId="3" xfId="30" applyNumberFormat="1" applyFont="1" applyFill="1" applyBorder="1" applyAlignment="1" applyProtection="1">
      <alignment horizontal="left" vertical="center"/>
      <protection/>
    </xf>
    <xf numFmtId="49" fontId="7" fillId="0" borderId="3" xfId="30" applyNumberFormat="1" applyFont="1" applyFill="1" applyBorder="1" applyAlignment="1" applyProtection="1">
      <alignment horizontal="center" vertical="center"/>
      <protection/>
    </xf>
    <xf numFmtId="49" fontId="7" fillId="0" borderId="3" xfId="30" applyNumberFormat="1" applyFont="1" applyFill="1" applyBorder="1" applyAlignment="1" applyProtection="1">
      <alignment horizontal="right" vertical="center"/>
      <protection/>
    </xf>
    <xf numFmtId="164" fontId="7" fillId="0" borderId="3" xfId="30" applyNumberFormat="1" applyFont="1" applyFill="1" applyBorder="1" applyAlignment="1" applyProtection="1">
      <alignment horizontal="center" vertical="center"/>
      <protection/>
    </xf>
    <xf numFmtId="165" fontId="7" fillId="0" borderId="3" xfId="30" applyNumberFormat="1" applyFont="1" applyFill="1" applyBorder="1" applyAlignment="1" applyProtection="1">
      <alignment horizontal="center" vertical="center"/>
      <protection/>
    </xf>
    <xf numFmtId="165" fontId="7" fillId="0" borderId="59" xfId="30" applyNumberFormat="1" applyFont="1" applyFill="1" applyBorder="1" applyAlignment="1" applyProtection="1">
      <alignment horizontal="center" vertical="center"/>
      <protection/>
    </xf>
    <xf numFmtId="0" fontId="9" fillId="0" borderId="0" xfId="0" applyFont="1" applyFill="1"/>
    <xf numFmtId="0" fontId="11" fillId="0" borderId="0" xfId="0" applyFont="1" applyFill="1"/>
    <xf numFmtId="0" fontId="9" fillId="0" borderId="0" xfId="0" applyFont="1" applyFill="1"/>
    <xf numFmtId="4" fontId="0" fillId="0" borderId="0" xfId="0" applyNumberFormat="1" applyAlignment="1">
      <alignment vertical="center"/>
    </xf>
    <xf numFmtId="4" fontId="0" fillId="0" borderId="0" xfId="0" applyNumberFormat="1" applyFill="1" applyAlignment="1">
      <alignment vertical="center"/>
    </xf>
    <xf numFmtId="4" fontId="11" fillId="0" borderId="0" xfId="0" applyNumberFormat="1" applyFont="1" applyFill="1" applyAlignment="1">
      <alignment vertical="center"/>
    </xf>
    <xf numFmtId="4" fontId="9" fillId="0" borderId="0" xfId="0" applyNumberFormat="1" applyFont="1" applyFill="1" applyAlignment="1">
      <alignment vertical="center"/>
    </xf>
    <xf numFmtId="0" fontId="0" fillId="0" borderId="0" xfId="0" applyFill="1" applyAlignment="1">
      <alignment horizontal="center"/>
    </xf>
    <xf numFmtId="0" fontId="11" fillId="0" borderId="0" xfId="0" applyFont="1" applyFill="1" applyAlignment="1">
      <alignment horizontal="center"/>
    </xf>
    <xf numFmtId="4" fontId="0" fillId="0" borderId="0" xfId="0" applyNumberFormat="1" applyAlignment="1">
      <alignment horizontal="center" vertical="center"/>
    </xf>
    <xf numFmtId="4" fontId="0" fillId="0" borderId="0" xfId="0" applyNumberFormat="1" applyFill="1" applyAlignment="1">
      <alignment horizontal="center" vertical="center"/>
    </xf>
    <xf numFmtId="4" fontId="11" fillId="0" borderId="0" xfId="0" applyNumberFormat="1" applyFont="1" applyFill="1" applyAlignment="1">
      <alignment horizontal="center" vertical="center"/>
    </xf>
    <xf numFmtId="4" fontId="9" fillId="0" borderId="0" xfId="0" applyNumberFormat="1" applyFont="1" applyFill="1" applyAlignment="1">
      <alignment horizontal="center" vertical="center"/>
    </xf>
    <xf numFmtId="4" fontId="9" fillId="0" borderId="60" xfId="0" applyNumberFormat="1" applyFont="1" applyFill="1" applyBorder="1" applyAlignment="1">
      <alignment horizontal="right" vertical="center" indent="1"/>
    </xf>
    <xf numFmtId="0" fontId="9" fillId="0" borderId="0" xfId="0" applyFont="1" applyFill="1" applyAlignment="1">
      <alignment vertical="center"/>
    </xf>
    <xf numFmtId="172" fontId="30" fillId="0" borderId="0" xfId="0" applyNumberFormat="1" applyFont="1" applyFill="1" applyBorder="1" applyAlignment="1">
      <alignment vertical="center"/>
    </xf>
    <xf numFmtId="0" fontId="30" fillId="0" borderId="0" xfId="0" applyFont="1" applyFill="1" applyAlignment="1">
      <alignment vertical="center"/>
    </xf>
    <xf numFmtId="0" fontId="11" fillId="0" borderId="0" xfId="0" applyFont="1" applyFill="1" applyAlignment="1">
      <alignment vertical="center"/>
    </xf>
    <xf numFmtId="49" fontId="0" fillId="0" borderId="61" xfId="0" applyNumberFormat="1" applyBorder="1" applyAlignment="1">
      <alignment horizontal="center" vertical="center"/>
    </xf>
    <xf numFmtId="0" fontId="0" fillId="0" borderId="62" xfId="0" applyBorder="1" applyAlignment="1">
      <alignment vertical="center" wrapText="1"/>
    </xf>
    <xf numFmtId="173" fontId="0" fillId="0" borderId="62" xfId="0" applyNumberFormat="1" applyFill="1" applyBorder="1" applyAlignment="1">
      <alignment horizontal="center" vertical="center"/>
    </xf>
    <xf numFmtId="172" fontId="30" fillId="0" borderId="0" xfId="0" applyNumberFormat="1" applyFont="1" applyBorder="1" applyAlignment="1">
      <alignment vertical="center"/>
    </xf>
    <xf numFmtId="4" fontId="30" fillId="0" borderId="0" xfId="0" applyNumberFormat="1" applyFont="1" applyBorder="1" applyAlignment="1">
      <alignment vertical="center"/>
    </xf>
    <xf numFmtId="0" fontId="29" fillId="0" borderId="0" xfId="0" applyFont="1" applyAlignment="1">
      <alignment vertical="center"/>
    </xf>
    <xf numFmtId="0" fontId="0" fillId="0" borderId="0" xfId="0" applyAlignment="1">
      <alignment vertical="center"/>
    </xf>
    <xf numFmtId="49" fontId="9" fillId="0" borderId="63" xfId="0" applyNumberFormat="1" applyFont="1" applyFill="1" applyBorder="1" applyAlignment="1">
      <alignment horizontal="center" vertical="center" shrinkToFit="1"/>
    </xf>
    <xf numFmtId="49" fontId="9" fillId="0" borderId="60" xfId="0" applyNumberFormat="1" applyFont="1" applyFill="1" applyBorder="1" applyAlignment="1">
      <alignment horizontal="center" vertical="center" shrinkToFit="1"/>
    </xf>
    <xf numFmtId="4" fontId="9" fillId="0" borderId="60" xfId="34" applyNumberFormat="1" applyFont="1" applyFill="1" applyBorder="1" applyAlignment="1">
      <alignment/>
      <protection/>
    </xf>
    <xf numFmtId="49" fontId="0" fillId="0" borderId="64" xfId="0" applyNumberFormat="1" applyBorder="1" applyAlignment="1">
      <alignment horizontal="center" vertical="center"/>
    </xf>
    <xf numFmtId="0" fontId="0" fillId="0" borderId="65" xfId="0" applyBorder="1" applyAlignment="1">
      <alignment vertical="center" wrapText="1"/>
    </xf>
    <xf numFmtId="0" fontId="0" fillId="0" borderId="65" xfId="0" applyBorder="1" applyAlignment="1">
      <alignment horizontal="center" vertical="center"/>
    </xf>
    <xf numFmtId="4" fontId="11" fillId="0" borderId="0" xfId="0" applyNumberFormat="1" applyFont="1" applyFill="1"/>
    <xf numFmtId="49" fontId="0" fillId="3" borderId="9" xfId="0" applyNumberFormat="1" applyFill="1" applyBorder="1"/>
    <xf numFmtId="49" fontId="7" fillId="3" borderId="66" xfId="30" applyNumberFormat="1" applyFont="1" applyFill="1" applyBorder="1" applyAlignment="1" applyProtection="1">
      <alignment horizontal="center" vertical="center"/>
      <protection/>
    </xf>
    <xf numFmtId="49" fontId="7" fillId="3" borderId="66" xfId="30" applyNumberFormat="1" applyFont="1" applyFill="1" applyBorder="1" applyAlignment="1" applyProtection="1">
      <alignment horizontal="left" vertical="center"/>
      <protection/>
    </xf>
    <xf numFmtId="165" fontId="7" fillId="3" borderId="66" xfId="30" applyNumberFormat="1" applyFont="1" applyFill="1" applyBorder="1" applyAlignment="1" applyProtection="1">
      <alignment horizontal="center" vertical="center"/>
      <protection/>
    </xf>
    <xf numFmtId="165" fontId="7" fillId="3" borderId="67" xfId="30" applyNumberFormat="1" applyFont="1" applyFill="1" applyBorder="1" applyAlignment="1" applyProtection="1">
      <alignment horizontal="center" vertical="center"/>
      <protection/>
    </xf>
    <xf numFmtId="49" fontId="0" fillId="0" borderId="68" xfId="0" applyNumberFormat="1" applyFill="1" applyBorder="1"/>
    <xf numFmtId="49" fontId="7" fillId="0" borderId="69" xfId="30" applyNumberFormat="1" applyFont="1" applyFill="1" applyBorder="1" applyAlignment="1" applyProtection="1">
      <alignment horizontal="left" vertical="center"/>
      <protection/>
    </xf>
    <xf numFmtId="49" fontId="7" fillId="0" borderId="70" xfId="30" applyNumberFormat="1" applyFont="1" applyFill="1" applyBorder="1" applyAlignment="1" applyProtection="1">
      <alignment horizontal="left" vertical="center"/>
      <protection/>
    </xf>
    <xf numFmtId="49" fontId="7" fillId="0" borderId="71" xfId="30" applyNumberFormat="1" applyFont="1" applyFill="1" applyBorder="1" applyAlignment="1" applyProtection="1">
      <alignment horizontal="left" vertical="center"/>
      <protection/>
    </xf>
    <xf numFmtId="49" fontId="7" fillId="0" borderId="69" xfId="30" applyNumberFormat="1" applyFont="1" applyFill="1" applyBorder="1" applyAlignment="1" applyProtection="1">
      <alignment horizontal="center" vertical="center"/>
      <protection/>
    </xf>
    <xf numFmtId="49" fontId="7" fillId="0" borderId="72" xfId="30" applyNumberFormat="1" applyFont="1" applyFill="1" applyBorder="1" applyAlignment="1" applyProtection="1">
      <alignment horizontal="center" vertical="center"/>
      <protection/>
    </xf>
    <xf numFmtId="49" fontId="7" fillId="0" borderId="73" xfId="30" applyNumberFormat="1" applyFont="1" applyFill="1" applyBorder="1" applyAlignment="1" applyProtection="1">
      <alignment horizontal="center" vertical="center"/>
      <protection/>
    </xf>
    <xf numFmtId="165" fontId="7" fillId="0" borderId="74" xfId="30" applyNumberFormat="1" applyFont="1" applyFill="1" applyBorder="1" applyAlignment="1" applyProtection="1">
      <alignment horizontal="center" vertical="center"/>
      <protection/>
    </xf>
    <xf numFmtId="165" fontId="7" fillId="0" borderId="73" xfId="30" applyNumberFormat="1" applyFont="1" applyFill="1" applyBorder="1" applyAlignment="1" applyProtection="1">
      <alignment horizontal="center" vertical="center"/>
      <protection/>
    </xf>
    <xf numFmtId="49" fontId="0" fillId="3" borderId="75" xfId="0" applyNumberFormat="1" applyFill="1" applyBorder="1"/>
    <xf numFmtId="49" fontId="7" fillId="3" borderId="76" xfId="30" applyNumberFormat="1" applyFont="1" applyFill="1" applyBorder="1" applyAlignment="1" applyProtection="1">
      <alignment horizontal="center" vertical="center"/>
      <protection/>
    </xf>
    <xf numFmtId="49" fontId="7" fillId="3" borderId="76" xfId="30" applyNumberFormat="1" applyFont="1" applyFill="1" applyBorder="1" applyAlignment="1" applyProtection="1">
      <alignment horizontal="left" vertical="center"/>
      <protection/>
    </xf>
    <xf numFmtId="165" fontId="7" fillId="3" borderId="76" xfId="30" applyNumberFormat="1" applyFont="1" applyFill="1" applyBorder="1" applyAlignment="1" applyProtection="1">
      <alignment horizontal="center" vertical="center"/>
      <protection/>
    </xf>
    <xf numFmtId="165" fontId="7" fillId="3" borderId="77" xfId="30" applyNumberFormat="1" applyFont="1" applyFill="1" applyBorder="1" applyAlignment="1" applyProtection="1">
      <alignment horizontal="center" vertical="center"/>
      <protection/>
    </xf>
    <xf numFmtId="49" fontId="7" fillId="0" borderId="0" xfId="30" applyNumberFormat="1" applyFont="1" applyFill="1" applyBorder="1" applyAlignment="1" applyProtection="1">
      <alignment horizontal="left" vertical="center"/>
      <protection/>
    </xf>
    <xf numFmtId="49" fontId="7" fillId="0" borderId="0" xfId="30" applyNumberFormat="1" applyFont="1" applyFill="1" applyBorder="1" applyAlignment="1" applyProtection="1">
      <alignment horizontal="center" vertical="center"/>
      <protection/>
    </xf>
    <xf numFmtId="49" fontId="7" fillId="0" borderId="0" xfId="30" applyNumberFormat="1" applyFont="1" applyFill="1" applyBorder="1" applyAlignment="1" applyProtection="1">
      <alignment horizontal="right" vertical="center"/>
      <protection/>
    </xf>
    <xf numFmtId="164" fontId="7" fillId="0" borderId="0" xfId="30" applyNumberFormat="1" applyFont="1" applyFill="1" applyBorder="1" applyAlignment="1" applyProtection="1">
      <alignment horizontal="center" vertical="center"/>
      <protection/>
    </xf>
    <xf numFmtId="165" fontId="7" fillId="0" borderId="0" xfId="30" applyNumberFormat="1" applyFont="1" applyFill="1" applyBorder="1" applyAlignment="1" applyProtection="1">
      <alignment horizontal="center" vertical="center"/>
      <protection/>
    </xf>
    <xf numFmtId="165" fontId="7" fillId="0" borderId="78" xfId="30" applyNumberFormat="1" applyFont="1" applyFill="1" applyBorder="1" applyAlignment="1" applyProtection="1">
      <alignment horizontal="center" vertical="center"/>
      <protection/>
    </xf>
    <xf numFmtId="4" fontId="7" fillId="3" borderId="76" xfId="30" applyNumberFormat="1" applyFont="1" applyFill="1" applyBorder="1" applyAlignment="1" applyProtection="1">
      <alignment horizontal="center" vertical="center"/>
      <protection/>
    </xf>
    <xf numFmtId="0" fontId="2" fillId="0" borderId="0" xfId="30" applyFont="1" applyBorder="1" applyAlignment="1">
      <alignment vertical="center"/>
      <protection/>
    </xf>
    <xf numFmtId="0" fontId="2" fillId="0" borderId="0" xfId="30" applyFont="1" applyBorder="1" applyAlignment="1">
      <alignment horizontal="center" vertical="center"/>
      <protection/>
    </xf>
    <xf numFmtId="165" fontId="2" fillId="0" borderId="0" xfId="30" applyNumberFormat="1" applyFont="1" applyBorder="1" applyAlignment="1">
      <alignment vertical="center"/>
      <protection/>
    </xf>
    <xf numFmtId="165" fontId="2" fillId="0" borderId="78" xfId="30" applyNumberFormat="1" applyFont="1" applyBorder="1" applyAlignment="1">
      <alignment vertical="center"/>
      <protection/>
    </xf>
    <xf numFmtId="49" fontId="11" fillId="0" borderId="61" xfId="0" applyNumberFormat="1" applyFont="1" applyFill="1" applyBorder="1" applyAlignment="1">
      <alignment horizontal="center" vertical="center"/>
    </xf>
    <xf numFmtId="49" fontId="12" fillId="0" borderId="62" xfId="30" applyNumberFormat="1" applyFont="1" applyFill="1" applyBorder="1" applyAlignment="1" applyProtection="1">
      <alignment horizontal="left" vertical="center"/>
      <protection/>
    </xf>
    <xf numFmtId="49" fontId="12" fillId="0" borderId="62" xfId="30" applyNumberFormat="1" applyFont="1" applyFill="1" applyBorder="1" applyAlignment="1" applyProtection="1">
      <alignment horizontal="center" vertical="center"/>
      <protection/>
    </xf>
    <xf numFmtId="4" fontId="12" fillId="0" borderId="62" xfId="30" applyNumberFormat="1" applyFont="1" applyFill="1" applyBorder="1" applyAlignment="1" applyProtection="1">
      <alignment horizontal="right" vertical="center"/>
      <protection/>
    </xf>
    <xf numFmtId="165" fontId="12" fillId="0" borderId="62" xfId="30" applyNumberFormat="1" applyFont="1" applyFill="1" applyBorder="1" applyAlignment="1" applyProtection="1">
      <alignment horizontal="right" vertical="center"/>
      <protection/>
    </xf>
    <xf numFmtId="165" fontId="12" fillId="0" borderId="79" xfId="30" applyNumberFormat="1" applyFont="1" applyFill="1" applyBorder="1" applyAlignment="1" applyProtection="1">
      <alignment horizontal="right" vertical="center"/>
      <protection/>
    </xf>
    <xf numFmtId="49" fontId="11" fillId="0" borderId="63" xfId="0" applyNumberFormat="1" applyFont="1" applyFill="1" applyBorder="1" applyAlignment="1">
      <alignment horizontal="center" vertical="center"/>
    </xf>
    <xf numFmtId="49" fontId="12" fillId="0" borderId="60" xfId="30" applyNumberFormat="1" applyFont="1" applyFill="1" applyBorder="1" applyAlignment="1" applyProtection="1">
      <alignment horizontal="left" vertical="center"/>
      <protection/>
    </xf>
    <xf numFmtId="49" fontId="12" fillId="0" borderId="60" xfId="30" applyNumberFormat="1" applyFont="1" applyFill="1" applyBorder="1" applyAlignment="1" applyProtection="1">
      <alignment horizontal="center" vertical="center"/>
      <protection/>
    </xf>
    <xf numFmtId="49" fontId="12" fillId="0" borderId="60" xfId="30" applyNumberFormat="1" applyFont="1" applyFill="1" applyBorder="1" applyAlignment="1" applyProtection="1">
      <alignment horizontal="left" vertical="center" wrapText="1"/>
      <protection/>
    </xf>
    <xf numFmtId="49" fontId="11" fillId="0" borderId="80" xfId="0" applyNumberFormat="1" applyFont="1" applyFill="1" applyBorder="1" applyAlignment="1">
      <alignment horizontal="center" vertical="center"/>
    </xf>
    <xf numFmtId="49" fontId="12" fillId="0" borderId="2" xfId="30" applyNumberFormat="1" applyFont="1" applyFill="1" applyBorder="1" applyAlignment="1" applyProtection="1">
      <alignment horizontal="left" vertical="center"/>
      <protection/>
    </xf>
    <xf numFmtId="49" fontId="12" fillId="0" borderId="2" xfId="30" applyNumberFormat="1" applyFont="1" applyFill="1" applyBorder="1" applyAlignment="1" applyProtection="1">
      <alignment horizontal="left" vertical="center" wrapText="1"/>
      <protection/>
    </xf>
    <xf numFmtId="49" fontId="12" fillId="0" borderId="2" xfId="30" applyNumberFormat="1" applyFont="1" applyFill="1" applyBorder="1" applyAlignment="1" applyProtection="1">
      <alignment horizontal="center" vertical="center"/>
      <protection/>
    </xf>
    <xf numFmtId="49" fontId="9" fillId="0" borderId="63" xfId="0" applyNumberFormat="1" applyFont="1" applyFill="1" applyBorder="1" applyAlignment="1">
      <alignment horizontal="center" vertical="center"/>
    </xf>
    <xf numFmtId="49" fontId="9" fillId="0" borderId="60" xfId="30" applyNumberFormat="1" applyFont="1" applyFill="1" applyBorder="1" applyAlignment="1" applyProtection="1">
      <alignment horizontal="left" vertical="center"/>
      <protection/>
    </xf>
    <xf numFmtId="49" fontId="9" fillId="0" borderId="60" xfId="30" applyNumberFormat="1" applyFont="1" applyFill="1" applyBorder="1" applyAlignment="1" applyProtection="1">
      <alignment horizontal="left" vertical="center" wrapText="1"/>
      <protection/>
    </xf>
    <xf numFmtId="4" fontId="9" fillId="0" borderId="60" xfId="32" applyNumberFormat="1" applyFont="1" applyFill="1" applyBorder="1" applyAlignment="1">
      <alignment horizontal="center" vertical="center"/>
      <protection/>
    </xf>
    <xf numFmtId="165" fontId="37" fillId="0" borderId="0" xfId="31" applyNumberFormat="1" applyFont="1" applyFill="1" applyBorder="1" applyAlignment="1">
      <alignment vertical="center"/>
      <protection/>
    </xf>
    <xf numFmtId="0" fontId="37" fillId="0" borderId="0" xfId="31" applyFont="1" applyFill="1" applyBorder="1" applyAlignment="1">
      <alignment vertical="center"/>
      <protection/>
    </xf>
    <xf numFmtId="0" fontId="37" fillId="0" borderId="0" xfId="31" applyFont="1" applyFill="1" applyAlignment="1">
      <alignment vertical="center"/>
      <protection/>
    </xf>
    <xf numFmtId="0" fontId="38" fillId="0" borderId="0" xfId="31" applyFont="1" applyFill="1" applyAlignment="1">
      <alignment vertical="center"/>
      <protection/>
    </xf>
    <xf numFmtId="0" fontId="9" fillId="0" borderId="60" xfId="0" applyFont="1" applyFill="1" applyBorder="1" applyAlignment="1">
      <alignment horizontal="left" vertical="center" wrapText="1"/>
    </xf>
    <xf numFmtId="4" fontId="9" fillId="0" borderId="60" xfId="0" applyNumberFormat="1" applyFont="1" applyFill="1" applyBorder="1" applyAlignment="1">
      <alignment horizontal="center" vertical="center" wrapText="1"/>
    </xf>
    <xf numFmtId="172" fontId="30" fillId="0" borderId="0" xfId="33" applyNumberFormat="1" applyFont="1" applyFill="1" applyBorder="1">
      <alignment/>
      <protection/>
    </xf>
    <xf numFmtId="0" fontId="33" fillId="0" borderId="0" xfId="0" applyFont="1" applyFill="1" applyAlignment="1">
      <alignment vertical="center"/>
    </xf>
    <xf numFmtId="49" fontId="31" fillId="0" borderId="60" xfId="31" applyNumberFormat="1" applyFont="1" applyFill="1" applyBorder="1" applyAlignment="1">
      <alignment horizontal="center" vertical="center"/>
      <protection/>
    </xf>
    <xf numFmtId="49" fontId="9" fillId="0" borderId="60" xfId="0" applyNumberFormat="1" applyFont="1" applyFill="1" applyBorder="1" applyAlignment="1">
      <alignment horizontal="center" vertical="center"/>
    </xf>
    <xf numFmtId="0" fontId="9" fillId="0" borderId="60" xfId="0" applyFont="1" applyFill="1" applyBorder="1" applyAlignment="1">
      <alignment vertical="center" wrapText="1"/>
    </xf>
    <xf numFmtId="4" fontId="36" fillId="0" borderId="60" xfId="0" applyNumberFormat="1" applyFont="1" applyFill="1" applyBorder="1" applyAlignment="1">
      <alignment horizontal="center" vertical="center" wrapText="1"/>
    </xf>
    <xf numFmtId="4" fontId="9" fillId="0" borderId="60" xfId="0" applyNumberFormat="1" applyFont="1" applyFill="1" applyBorder="1" applyAlignment="1">
      <alignment horizontal="center" vertical="center"/>
    </xf>
    <xf numFmtId="172" fontId="9" fillId="0" borderId="0" xfId="0" applyNumberFormat="1" applyFont="1" applyFill="1" applyAlignment="1">
      <alignment vertical="center"/>
    </xf>
    <xf numFmtId="49" fontId="9" fillId="0" borderId="60" xfId="0" applyNumberFormat="1" applyFont="1" applyFill="1" applyBorder="1" applyAlignment="1">
      <alignment horizontal="left" vertical="center"/>
    </xf>
    <xf numFmtId="49" fontId="37" fillId="0" borderId="63" xfId="31" applyNumberFormat="1" applyFont="1" applyFill="1" applyBorder="1" applyAlignment="1">
      <alignment horizontal="center" vertical="center"/>
      <protection/>
    </xf>
    <xf numFmtId="0" fontId="31" fillId="0" borderId="60" xfId="31" applyFont="1" applyFill="1" applyBorder="1" applyAlignment="1">
      <alignment horizontal="left" vertical="center" wrapText="1"/>
      <protection/>
    </xf>
    <xf numFmtId="4" fontId="37" fillId="0" borderId="60" xfId="31" applyNumberFormat="1" applyFont="1" applyFill="1" applyBorder="1" applyAlignment="1">
      <alignment horizontal="right" vertical="center" indent="1"/>
      <protection/>
    </xf>
    <xf numFmtId="49" fontId="13" fillId="3" borderId="75" xfId="0" applyNumberFormat="1" applyFont="1" applyFill="1" applyBorder="1" applyAlignment="1">
      <alignment horizontal="center"/>
    </xf>
    <xf numFmtId="0" fontId="31" fillId="0" borderId="61" xfId="31" applyFont="1" applyFill="1" applyBorder="1" applyAlignment="1">
      <alignment horizontal="left" vertical="center"/>
      <protection/>
    </xf>
    <xf numFmtId="49" fontId="31" fillId="0" borderId="62" xfId="31" applyNumberFormat="1" applyFont="1" applyFill="1" applyBorder="1" applyAlignment="1">
      <alignment horizontal="left" vertical="center"/>
      <protection/>
    </xf>
    <xf numFmtId="4" fontId="31" fillId="0" borderId="62" xfId="31" applyNumberFormat="1" applyFont="1" applyFill="1" applyBorder="1" applyAlignment="1">
      <alignment horizontal="left" vertical="center" wrapText="1"/>
      <protection/>
    </xf>
    <xf numFmtId="4" fontId="9" fillId="0" borderId="62" xfId="0" applyNumberFormat="1" applyFont="1" applyFill="1" applyBorder="1" applyAlignment="1">
      <alignment horizontal="center" vertical="center" wrapText="1"/>
    </xf>
    <xf numFmtId="0" fontId="31" fillId="0" borderId="63" xfId="31" applyFont="1" applyFill="1" applyBorder="1" applyAlignment="1">
      <alignment horizontal="left" vertical="center"/>
      <protection/>
    </xf>
    <xf numFmtId="49" fontId="31" fillId="0" borderId="60" xfId="31" applyNumberFormat="1" applyFont="1" applyFill="1" applyBorder="1" applyAlignment="1">
      <alignment horizontal="left" vertical="center"/>
      <protection/>
    </xf>
    <xf numFmtId="4" fontId="31" fillId="0" borderId="60" xfId="31" applyNumberFormat="1" applyFont="1" applyFill="1" applyBorder="1" applyAlignment="1">
      <alignment horizontal="left" vertical="center" wrapText="1"/>
      <protection/>
    </xf>
    <xf numFmtId="0" fontId="31" fillId="0" borderId="64" xfId="31" applyFont="1" applyFill="1" applyBorder="1" applyAlignment="1">
      <alignment horizontal="left" vertical="center"/>
      <protection/>
    </xf>
    <xf numFmtId="49" fontId="31" fillId="0" borderId="65" xfId="31" applyNumberFormat="1" applyFont="1" applyFill="1" applyBorder="1" applyAlignment="1">
      <alignment horizontal="left" vertical="center"/>
      <protection/>
    </xf>
    <xf numFmtId="4" fontId="31" fillId="0" borderId="65" xfId="31" applyNumberFormat="1" applyFont="1" applyFill="1" applyBorder="1" applyAlignment="1">
      <alignment horizontal="left" vertical="center" wrapText="1"/>
      <protection/>
    </xf>
    <xf numFmtId="4" fontId="9" fillId="0" borderId="65" xfId="0" applyNumberFormat="1" applyFont="1" applyFill="1" applyBorder="1" applyAlignment="1">
      <alignment horizontal="center" vertical="center" wrapText="1"/>
    </xf>
    <xf numFmtId="172" fontId="31" fillId="0" borderId="0" xfId="31" applyNumberFormat="1" applyFont="1" applyFill="1" applyBorder="1" applyAlignment="1">
      <alignment horizontal="left" vertical="center"/>
      <protection/>
    </xf>
    <xf numFmtId="0" fontId="34" fillId="0" borderId="0" xfId="31" applyFont="1" applyFill="1" applyAlignment="1">
      <alignment horizontal="left" vertical="center"/>
      <protection/>
    </xf>
    <xf numFmtId="0" fontId="31" fillId="0" borderId="0" xfId="31" applyFont="1" applyFill="1" applyAlignment="1">
      <alignment horizontal="left" vertical="center"/>
      <protection/>
    </xf>
    <xf numFmtId="49" fontId="9" fillId="0" borderId="64" xfId="0" applyNumberFormat="1" applyFont="1" applyFill="1" applyBorder="1" applyAlignment="1">
      <alignment horizontal="center" vertical="center"/>
    </xf>
    <xf numFmtId="49" fontId="9" fillId="0" borderId="65" xfId="30" applyNumberFormat="1" applyFont="1" applyFill="1" applyBorder="1" applyAlignment="1" applyProtection="1">
      <alignment horizontal="left" vertical="center"/>
      <protection/>
    </xf>
    <xf numFmtId="49" fontId="9" fillId="0" borderId="65" xfId="30" applyNumberFormat="1" applyFont="1" applyFill="1" applyBorder="1" applyAlignment="1" applyProtection="1">
      <alignment horizontal="left" vertical="center" wrapText="1"/>
      <protection/>
    </xf>
    <xf numFmtId="4" fontId="9" fillId="0" borderId="65" xfId="32" applyNumberFormat="1" applyFont="1" applyFill="1" applyBorder="1" applyAlignment="1">
      <alignment horizontal="center" vertical="center"/>
      <protection/>
    </xf>
    <xf numFmtId="49" fontId="11" fillId="0" borderId="60" xfId="30" applyNumberFormat="1" applyFont="1" applyFill="1" applyBorder="1" applyAlignment="1" applyProtection="1">
      <alignment horizontal="left" vertical="center"/>
      <protection/>
    </xf>
    <xf numFmtId="49" fontId="11" fillId="0" borderId="60" xfId="30" applyNumberFormat="1" applyFont="1" applyFill="1" applyBorder="1" applyAlignment="1" applyProtection="1">
      <alignment horizontal="left" vertical="center" wrapText="1"/>
      <protection/>
    </xf>
    <xf numFmtId="49" fontId="11" fillId="0" borderId="60" xfId="30" applyNumberFormat="1" applyFont="1" applyFill="1" applyBorder="1" applyAlignment="1" applyProtection="1">
      <alignment horizontal="center" vertical="center"/>
      <protection/>
    </xf>
    <xf numFmtId="0" fontId="31" fillId="0" borderId="63" xfId="31" applyFont="1" applyFill="1" applyBorder="1" applyAlignment="1">
      <alignment horizontal="left"/>
      <protection/>
    </xf>
    <xf numFmtId="49" fontId="31" fillId="0" borderId="60" xfId="31" applyNumberFormat="1" applyFont="1" applyFill="1" applyBorder="1" applyAlignment="1">
      <alignment horizontal="left"/>
      <protection/>
    </xf>
    <xf numFmtId="4" fontId="31" fillId="0" borderId="60" xfId="31" applyNumberFormat="1" applyFont="1" applyFill="1" applyBorder="1" applyAlignment="1">
      <alignment horizontal="left"/>
      <protection/>
    </xf>
    <xf numFmtId="0" fontId="31" fillId="0" borderId="0" xfId="31" applyFont="1" applyFill="1" applyAlignment="1">
      <alignment horizontal="left"/>
      <protection/>
    </xf>
    <xf numFmtId="0" fontId="31" fillId="0" borderId="64" xfId="31" applyFont="1" applyFill="1" applyBorder="1" applyAlignment="1">
      <alignment horizontal="left"/>
      <protection/>
    </xf>
    <xf numFmtId="49" fontId="31" fillId="0" borderId="65" xfId="31" applyNumberFormat="1" applyFont="1" applyFill="1" applyBorder="1" applyAlignment="1">
      <alignment horizontal="left"/>
      <protection/>
    </xf>
    <xf numFmtId="4" fontId="31" fillId="0" borderId="65" xfId="31" applyNumberFormat="1" applyFont="1" applyFill="1" applyBorder="1" applyAlignment="1">
      <alignment horizontal="left"/>
      <protection/>
    </xf>
    <xf numFmtId="49" fontId="11" fillId="0" borderId="64" xfId="0" applyNumberFormat="1" applyFont="1" applyFill="1" applyBorder="1" applyAlignment="1">
      <alignment horizontal="center" vertical="center"/>
    </xf>
    <xf numFmtId="49" fontId="12" fillId="0" borderId="65" xfId="30" applyNumberFormat="1" applyFont="1" applyFill="1" applyBorder="1" applyAlignment="1" applyProtection="1">
      <alignment horizontal="left" vertical="center"/>
      <protection/>
    </xf>
    <xf numFmtId="49" fontId="12" fillId="0" borderId="65" xfId="30" applyNumberFormat="1" applyFont="1" applyFill="1" applyBorder="1" applyAlignment="1" applyProtection="1">
      <alignment horizontal="center" vertical="center"/>
      <protection/>
    </xf>
    <xf numFmtId="0" fontId="29" fillId="0" borderId="0" xfId="33" applyFont="1" applyFill="1">
      <alignment/>
      <protection/>
    </xf>
    <xf numFmtId="0" fontId="0" fillId="0" borderId="0" xfId="33" applyFont="1" applyFill="1">
      <alignment/>
      <protection/>
    </xf>
    <xf numFmtId="4" fontId="9" fillId="0" borderId="60" xfId="23" applyNumberFormat="1" applyFont="1" applyFill="1" applyBorder="1" applyAlignment="1">
      <alignment horizontal="center" vertical="center" wrapText="1"/>
      <protection/>
    </xf>
    <xf numFmtId="49" fontId="11" fillId="0" borderId="62" xfId="30" applyNumberFormat="1" applyFont="1" applyFill="1" applyBorder="1" applyAlignment="1" applyProtection="1">
      <alignment horizontal="left" vertical="center"/>
      <protection/>
    </xf>
    <xf numFmtId="49" fontId="11" fillId="0" borderId="62" xfId="30" applyNumberFormat="1" applyFont="1" applyFill="1" applyBorder="1" applyAlignment="1" applyProtection="1">
      <alignment horizontal="center" vertical="center"/>
      <protection/>
    </xf>
    <xf numFmtId="0" fontId="24" fillId="0" borderId="0" xfId="31" applyFont="1" applyFill="1">
      <alignment/>
      <protection/>
    </xf>
    <xf numFmtId="49" fontId="12" fillId="0" borderId="65" xfId="30" applyNumberFormat="1" applyFont="1" applyFill="1" applyBorder="1" applyAlignment="1" applyProtection="1">
      <alignment horizontal="left" vertical="center" wrapText="1"/>
      <protection/>
    </xf>
    <xf numFmtId="49" fontId="12" fillId="0" borderId="62" xfId="30" applyNumberFormat="1" applyFont="1" applyFill="1" applyBorder="1" applyAlignment="1" applyProtection="1">
      <alignment horizontal="left" vertical="center" wrapText="1"/>
      <protection/>
    </xf>
    <xf numFmtId="49" fontId="13" fillId="3" borderId="75" xfId="0" applyNumberFormat="1" applyFont="1" applyFill="1" applyBorder="1" applyAlignment="1">
      <alignment horizontal="center" vertical="center"/>
    </xf>
    <xf numFmtId="0" fontId="27" fillId="0" borderId="0" xfId="0" applyFont="1" applyFill="1" applyAlignment="1">
      <alignment vertical="center"/>
    </xf>
    <xf numFmtId="0" fontId="29" fillId="0" borderId="0" xfId="31" applyFont="1" applyFill="1">
      <alignment/>
      <protection/>
    </xf>
    <xf numFmtId="0" fontId="0" fillId="0" borderId="0" xfId="31" applyFont="1" applyFill="1">
      <alignment/>
      <protection/>
    </xf>
    <xf numFmtId="49" fontId="13" fillId="0" borderId="61" xfId="0" applyNumberFormat="1" applyFont="1" applyFill="1" applyBorder="1" applyAlignment="1">
      <alignment horizontal="center" vertical="center"/>
    </xf>
    <xf numFmtId="49" fontId="7" fillId="0" borderId="62" xfId="30" applyNumberFormat="1" applyFont="1" applyFill="1" applyBorder="1" applyAlignment="1" applyProtection="1">
      <alignment horizontal="left" vertical="center"/>
      <protection/>
    </xf>
    <xf numFmtId="0" fontId="7" fillId="0" borderId="62" xfId="30" applyNumberFormat="1" applyFont="1" applyFill="1" applyBorder="1" applyAlignment="1" applyProtection="1">
      <alignment horizontal="center" vertical="center"/>
      <protection/>
    </xf>
    <xf numFmtId="49" fontId="11" fillId="0" borderId="81" xfId="0" applyNumberFormat="1" applyFont="1" applyFill="1" applyBorder="1" applyAlignment="1">
      <alignment horizontal="center" vertical="center"/>
    </xf>
    <xf numFmtId="49" fontId="12" fillId="0" borderId="82" xfId="30" applyNumberFormat="1" applyFont="1" applyFill="1" applyBorder="1" applyAlignment="1" applyProtection="1">
      <alignment horizontal="left" vertical="center"/>
      <protection/>
    </xf>
    <xf numFmtId="49" fontId="12" fillId="0" borderId="82" xfId="30" applyNumberFormat="1" applyFont="1" applyFill="1" applyBorder="1" applyAlignment="1" applyProtection="1">
      <alignment horizontal="left" vertical="center" wrapText="1"/>
      <protection/>
    </xf>
    <xf numFmtId="49" fontId="12" fillId="0" borderId="82" xfId="30" applyNumberFormat="1" applyFont="1" applyFill="1" applyBorder="1" applyAlignment="1" applyProtection="1">
      <alignment horizontal="center" vertical="center"/>
      <protection/>
    </xf>
    <xf numFmtId="49" fontId="14" fillId="0" borderId="60" xfId="30" applyNumberFormat="1" applyFont="1" applyFill="1" applyBorder="1" applyAlignment="1" applyProtection="1">
      <alignment horizontal="left" vertical="center" wrapText="1"/>
      <protection/>
    </xf>
    <xf numFmtId="49" fontId="11" fillId="0" borderId="83" xfId="0" applyNumberFormat="1" applyFont="1" applyFill="1" applyBorder="1" applyAlignment="1">
      <alignment horizontal="center" vertical="center"/>
    </xf>
    <xf numFmtId="49" fontId="12" fillId="0" borderId="84" xfId="30" applyNumberFormat="1" applyFont="1" applyFill="1" applyBorder="1" applyAlignment="1" applyProtection="1">
      <alignment horizontal="left" vertical="center"/>
      <protection/>
    </xf>
    <xf numFmtId="49" fontId="12" fillId="0" borderId="84" xfId="30" applyNumberFormat="1" applyFont="1" applyFill="1" applyBorder="1" applyAlignment="1" applyProtection="1">
      <alignment horizontal="left" vertical="center" wrapText="1"/>
      <protection/>
    </xf>
    <xf numFmtId="49" fontId="12" fillId="0" borderId="84" xfId="30" applyNumberFormat="1" applyFont="1" applyFill="1" applyBorder="1" applyAlignment="1" applyProtection="1">
      <alignment horizontal="center" vertical="center"/>
      <protection/>
    </xf>
    <xf numFmtId="4" fontId="0" fillId="0" borderId="62" xfId="0" applyNumberFormat="1" applyBorder="1" applyAlignment="1">
      <alignment horizontal="right" vertical="center" indent="1"/>
    </xf>
    <xf numFmtId="173" fontId="0" fillId="0" borderId="60" xfId="0" applyNumberFormat="1" applyFill="1" applyBorder="1" applyAlignment="1">
      <alignment horizontal="center" vertical="center"/>
    </xf>
    <xf numFmtId="4" fontId="0" fillId="0" borderId="65" xfId="0" applyNumberFormat="1" applyBorder="1" applyAlignment="1">
      <alignment horizontal="right" vertical="center" indent="1"/>
    </xf>
    <xf numFmtId="49" fontId="11" fillId="0" borderId="60" xfId="0" applyNumberFormat="1" applyFont="1" applyFill="1" applyBorder="1" applyAlignment="1">
      <alignment horizontal="center" vertical="center"/>
    </xf>
    <xf numFmtId="0" fontId="11" fillId="0" borderId="60" xfId="0" applyFont="1" applyFill="1" applyBorder="1" applyAlignment="1">
      <alignment vertical="center" wrapText="1"/>
    </xf>
    <xf numFmtId="0" fontId="11" fillId="0" borderId="60" xfId="0" applyFont="1" applyFill="1" applyBorder="1" applyAlignment="1">
      <alignment horizontal="center" vertical="center"/>
    </xf>
    <xf numFmtId="0" fontId="11" fillId="0" borderId="0" xfId="0" applyFont="1" applyFill="1" applyAlignment="1">
      <alignment vertical="center"/>
    </xf>
    <xf numFmtId="49" fontId="0" fillId="0" borderId="63" xfId="0" applyNumberFormat="1" applyFill="1" applyBorder="1" applyAlignment="1">
      <alignment horizontal="center" vertical="center"/>
    </xf>
    <xf numFmtId="0" fontId="0" fillId="0" borderId="60" xfId="0" applyFill="1" applyBorder="1" applyAlignment="1">
      <alignment vertical="center" wrapText="1"/>
    </xf>
    <xf numFmtId="4" fontId="0" fillId="0" borderId="60" xfId="0" applyNumberFormat="1" applyFill="1" applyBorder="1" applyAlignment="1">
      <alignment horizontal="right" vertical="center" indent="1"/>
    </xf>
    <xf numFmtId="172" fontId="30" fillId="0" borderId="60" xfId="0" applyNumberFormat="1" applyFont="1" applyFill="1" applyBorder="1" applyAlignment="1">
      <alignment horizontal="right" vertical="center" indent="1"/>
    </xf>
    <xf numFmtId="0" fontId="29" fillId="0" borderId="0" xfId="0" applyFont="1" applyFill="1" applyAlignment="1">
      <alignment vertical="center"/>
    </xf>
    <xf numFmtId="0" fontId="0" fillId="0" borderId="0" xfId="0" applyFill="1" applyAlignment="1">
      <alignment vertical="center"/>
    </xf>
    <xf numFmtId="49" fontId="9" fillId="0" borderId="63" xfId="35" applyNumberFormat="1" applyFont="1" applyFill="1" applyBorder="1" applyAlignment="1">
      <alignment horizontal="center" vertical="center"/>
      <protection/>
    </xf>
    <xf numFmtId="49" fontId="9" fillId="0" borderId="60" xfId="35" applyNumberFormat="1" applyFont="1" applyFill="1" applyBorder="1" applyAlignment="1">
      <alignment horizontal="left" vertical="center"/>
      <protection/>
    </xf>
    <xf numFmtId="0" fontId="9" fillId="0" borderId="60" xfId="35" applyFont="1" applyFill="1" applyBorder="1" applyAlignment="1">
      <alignment vertical="center" wrapText="1"/>
      <protection/>
    </xf>
    <xf numFmtId="2" fontId="9" fillId="0" borderId="60" xfId="0" applyNumberFormat="1" applyFont="1" applyFill="1" applyBorder="1" applyAlignment="1">
      <alignment horizontal="center" vertical="center"/>
    </xf>
    <xf numFmtId="0" fontId="8" fillId="0" borderId="0" xfId="35" applyFont="1" applyFill="1">
      <alignment/>
      <protection/>
    </xf>
    <xf numFmtId="0" fontId="24" fillId="0" borderId="0" xfId="34" applyFont="1" applyFill="1" applyAlignment="1">
      <alignment vertical="center"/>
      <protection/>
    </xf>
    <xf numFmtId="49" fontId="35" fillId="0" borderId="62" xfId="30" applyNumberFormat="1" applyFont="1" applyFill="1" applyBorder="1" applyAlignment="1" applyProtection="1">
      <alignment horizontal="left" vertical="center"/>
      <protection/>
    </xf>
    <xf numFmtId="0" fontId="35" fillId="0" borderId="62" xfId="30" applyNumberFormat="1" applyFont="1" applyFill="1" applyBorder="1" applyAlignment="1" applyProtection="1">
      <alignment horizontal="center" vertical="center"/>
      <protection/>
    </xf>
    <xf numFmtId="49" fontId="36" fillId="0" borderId="60" xfId="30" applyNumberFormat="1" applyFont="1" applyFill="1" applyBorder="1" applyAlignment="1" applyProtection="1">
      <alignment horizontal="left" vertical="center" wrapText="1"/>
      <protection/>
    </xf>
    <xf numFmtId="172" fontId="30" fillId="0" borderId="62" xfId="0" applyNumberFormat="1" applyFont="1" applyFill="1" applyBorder="1" applyAlignment="1">
      <alignment horizontal="right" vertical="center" indent="1"/>
    </xf>
    <xf numFmtId="4" fontId="9" fillId="0" borderId="65" xfId="23" applyNumberFormat="1" applyFont="1" applyFill="1" applyBorder="1" applyAlignment="1">
      <alignment horizontal="center" vertical="center" wrapText="1"/>
      <protection/>
    </xf>
    <xf numFmtId="49" fontId="9" fillId="0" borderId="61" xfId="0" applyNumberFormat="1" applyFont="1" applyFill="1" applyBorder="1" applyAlignment="1">
      <alignment horizontal="center" vertical="center"/>
    </xf>
    <xf numFmtId="49" fontId="9" fillId="0" borderId="62" xfId="30" applyNumberFormat="1" applyFont="1" applyFill="1" applyBorder="1" applyAlignment="1" applyProtection="1">
      <alignment horizontal="left" vertical="center"/>
      <protection/>
    </xf>
    <xf numFmtId="4" fontId="9" fillId="0" borderId="62" xfId="32" applyNumberFormat="1" applyFont="1" applyFill="1" applyBorder="1" applyAlignment="1">
      <alignment horizontal="center" vertical="center"/>
      <protection/>
    </xf>
    <xf numFmtId="49" fontId="0" fillId="0" borderId="61" xfId="0" applyNumberFormat="1" applyFill="1" applyBorder="1" applyAlignment="1">
      <alignment horizontal="center" vertical="center"/>
    </xf>
    <xf numFmtId="0" fontId="0" fillId="0" borderId="62" xfId="0" applyFill="1" applyBorder="1" applyAlignment="1">
      <alignment vertical="center" wrapText="1"/>
    </xf>
    <xf numFmtId="4" fontId="0" fillId="0" borderId="62" xfId="0" applyNumberFormat="1" applyFill="1" applyBorder="1" applyAlignment="1">
      <alignment horizontal="right" vertical="center" indent="1"/>
    </xf>
    <xf numFmtId="49" fontId="37" fillId="0" borderId="64" xfId="31" applyNumberFormat="1" applyFont="1" applyFill="1" applyBorder="1" applyAlignment="1">
      <alignment horizontal="center" vertical="center"/>
      <protection/>
    </xf>
    <xf numFmtId="0" fontId="31" fillId="0" borderId="65" xfId="31" applyFont="1" applyFill="1" applyBorder="1" applyAlignment="1">
      <alignment horizontal="left" vertical="center" wrapText="1"/>
      <protection/>
    </xf>
    <xf numFmtId="4" fontId="9" fillId="0" borderId="65" xfId="0" applyNumberFormat="1" applyFont="1" applyFill="1" applyBorder="1" applyAlignment="1">
      <alignment horizontal="center" vertical="center"/>
    </xf>
    <xf numFmtId="4" fontId="37" fillId="0" borderId="65" xfId="31" applyNumberFormat="1" applyFont="1" applyFill="1" applyBorder="1" applyAlignment="1">
      <alignment horizontal="right" vertical="center" indent="1"/>
      <protection/>
    </xf>
    <xf numFmtId="49" fontId="14" fillId="0" borderId="62" xfId="30" applyNumberFormat="1" applyFont="1" applyFill="1" applyBorder="1" applyAlignment="1" applyProtection="1">
      <alignment horizontal="left" vertical="center" wrapText="1"/>
      <protection/>
    </xf>
    <xf numFmtId="49" fontId="0" fillId="0" borderId="63" xfId="0" applyNumberFormat="1" applyBorder="1"/>
    <xf numFmtId="0" fontId="0" fillId="0" borderId="60" xfId="0" applyBorder="1"/>
    <xf numFmtId="0" fontId="0" fillId="0" borderId="60" xfId="0" applyBorder="1" applyAlignment="1">
      <alignment horizontal="center"/>
    </xf>
    <xf numFmtId="49" fontId="27" fillId="0" borderId="61" xfId="0" applyNumberFormat="1" applyFont="1" applyFill="1" applyBorder="1" applyAlignment="1">
      <alignment horizontal="center" vertical="center"/>
    </xf>
    <xf numFmtId="49" fontId="14" fillId="0" borderId="62" xfId="30" applyNumberFormat="1" applyFont="1" applyFill="1" applyBorder="1" applyAlignment="1" applyProtection="1">
      <alignment horizontal="left" vertical="center"/>
      <protection/>
    </xf>
    <xf numFmtId="49" fontId="14" fillId="0" borderId="62" xfId="30" applyNumberFormat="1" applyFont="1" applyFill="1" applyBorder="1" applyAlignment="1" applyProtection="1">
      <alignment horizontal="center" vertical="center"/>
      <protection/>
    </xf>
    <xf numFmtId="4" fontId="27" fillId="0" borderId="0" xfId="0" applyNumberFormat="1" applyFont="1" applyFill="1" applyAlignment="1">
      <alignment vertical="center"/>
    </xf>
    <xf numFmtId="0" fontId="27" fillId="0" borderId="0" xfId="0" applyFont="1" applyFill="1"/>
    <xf numFmtId="49" fontId="0" fillId="0" borderId="63" xfId="0" applyNumberFormat="1" applyFill="1" applyBorder="1"/>
    <xf numFmtId="0" fontId="0" fillId="0" borderId="60" xfId="0" applyFill="1" applyBorder="1"/>
    <xf numFmtId="0" fontId="0" fillId="0" borderId="60" xfId="0" applyFill="1" applyBorder="1" applyAlignment="1">
      <alignment horizontal="center"/>
    </xf>
    <xf numFmtId="49" fontId="0" fillId="0" borderId="64" xfId="0" applyNumberFormat="1" applyFill="1" applyBorder="1" applyAlignment="1">
      <alignment horizontal="center" vertical="center"/>
    </xf>
    <xf numFmtId="0" fontId="0" fillId="0" borderId="65" xfId="0" applyFill="1" applyBorder="1" applyAlignment="1">
      <alignment vertical="center" wrapText="1"/>
    </xf>
    <xf numFmtId="0" fontId="0" fillId="0" borderId="65" xfId="0" applyFill="1" applyBorder="1" applyAlignment="1">
      <alignment horizontal="center" vertical="center"/>
    </xf>
    <xf numFmtId="4" fontId="0" fillId="0" borderId="65" xfId="0" applyNumberFormat="1" applyFill="1" applyBorder="1" applyAlignment="1">
      <alignment horizontal="right" vertical="center" indent="1"/>
    </xf>
    <xf numFmtId="4" fontId="12" fillId="0" borderId="60" xfId="30" applyNumberFormat="1" applyFont="1" applyFill="1" applyBorder="1" applyAlignment="1" applyProtection="1">
      <alignment horizontal="right" vertical="center" indent="1"/>
      <protection/>
    </xf>
    <xf numFmtId="165" fontId="12" fillId="0" borderId="60" xfId="30" applyNumberFormat="1" applyFont="1" applyFill="1" applyBorder="1" applyAlignment="1" applyProtection="1">
      <alignment horizontal="right" vertical="center" indent="1"/>
      <protection/>
    </xf>
    <xf numFmtId="165" fontId="12" fillId="0" borderId="85" xfId="30" applyNumberFormat="1" applyFont="1" applyFill="1" applyBorder="1" applyAlignment="1" applyProtection="1">
      <alignment horizontal="right" vertical="center" indent="1"/>
      <protection/>
    </xf>
    <xf numFmtId="4" fontId="9" fillId="0" borderId="60" xfId="30" applyNumberFormat="1" applyFont="1" applyFill="1" applyBorder="1" applyAlignment="1" applyProtection="1">
      <alignment horizontal="right" vertical="center" indent="1"/>
      <protection/>
    </xf>
    <xf numFmtId="165" fontId="9" fillId="0" borderId="60" xfId="30" applyNumberFormat="1" applyFont="1" applyFill="1" applyBorder="1" applyAlignment="1" applyProtection="1">
      <alignment horizontal="right" vertical="center" indent="1"/>
      <protection/>
    </xf>
    <xf numFmtId="165" fontId="9" fillId="0" borderId="85" xfId="30" applyNumberFormat="1" applyFont="1" applyFill="1" applyBorder="1" applyAlignment="1" applyProtection="1">
      <alignment horizontal="right" vertical="center" indent="1"/>
      <protection/>
    </xf>
    <xf numFmtId="4" fontId="12" fillId="0" borderId="2" xfId="30" applyNumberFormat="1" applyFont="1" applyFill="1" applyBorder="1" applyAlignment="1" applyProtection="1">
      <alignment horizontal="right" vertical="center" indent="1"/>
      <protection/>
    </xf>
    <xf numFmtId="165" fontId="12" fillId="0" borderId="2" xfId="30" applyNumberFormat="1" applyFont="1" applyFill="1" applyBorder="1" applyAlignment="1" applyProtection="1">
      <alignment horizontal="right" vertical="center" indent="1"/>
      <protection/>
    </xf>
    <xf numFmtId="165" fontId="12" fillId="0" borderId="86" xfId="30" applyNumberFormat="1" applyFont="1" applyFill="1" applyBorder="1" applyAlignment="1" applyProtection="1">
      <alignment horizontal="right" vertical="center" indent="1"/>
      <protection/>
    </xf>
    <xf numFmtId="49" fontId="7" fillId="3" borderId="76" xfId="30" applyNumberFormat="1" applyFont="1" applyFill="1" applyBorder="1" applyAlignment="1" applyProtection="1">
      <alignment horizontal="right" vertical="center" indent="1"/>
      <protection/>
    </xf>
    <xf numFmtId="4" fontId="7" fillId="3" borderId="76" xfId="30" applyNumberFormat="1" applyFont="1" applyFill="1" applyBorder="1" applyAlignment="1" applyProtection="1">
      <alignment horizontal="right" vertical="center" indent="1"/>
      <protection/>
    </xf>
    <xf numFmtId="165" fontId="7" fillId="3" borderId="76" xfId="30" applyNumberFormat="1" applyFont="1" applyFill="1" applyBorder="1" applyAlignment="1" applyProtection="1">
      <alignment horizontal="right" vertical="center" indent="1"/>
      <protection/>
    </xf>
    <xf numFmtId="165" fontId="7" fillId="3" borderId="77" xfId="30" applyNumberFormat="1" applyFont="1" applyFill="1" applyBorder="1" applyAlignment="1" applyProtection="1">
      <alignment horizontal="right" vertical="center" indent="1"/>
      <protection/>
    </xf>
    <xf numFmtId="4" fontId="12" fillId="0" borderId="62" xfId="30" applyNumberFormat="1" applyFont="1" applyFill="1" applyBorder="1" applyAlignment="1" applyProtection="1">
      <alignment horizontal="right" vertical="center" indent="1"/>
      <protection/>
    </xf>
    <xf numFmtId="165" fontId="12" fillId="0" borderId="62" xfId="30" applyNumberFormat="1" applyFont="1" applyFill="1" applyBorder="1" applyAlignment="1" applyProtection="1">
      <alignment horizontal="right" vertical="center" indent="1"/>
      <protection/>
    </xf>
    <xf numFmtId="165" fontId="12" fillId="0" borderId="79" xfId="30" applyNumberFormat="1" applyFont="1" applyFill="1" applyBorder="1" applyAlignment="1" applyProtection="1">
      <alignment horizontal="right" vertical="center" indent="1"/>
      <protection/>
    </xf>
    <xf numFmtId="165" fontId="37" fillId="0" borderId="60" xfId="31" applyNumberFormat="1" applyFont="1" applyFill="1" applyBorder="1" applyAlignment="1">
      <alignment horizontal="right" vertical="center" indent="1"/>
      <protection/>
    </xf>
    <xf numFmtId="165" fontId="37" fillId="0" borderId="85" xfId="31" applyNumberFormat="1" applyFont="1" applyFill="1" applyBorder="1" applyAlignment="1">
      <alignment horizontal="right" vertical="center" indent="1"/>
      <protection/>
    </xf>
    <xf numFmtId="172" fontId="30" fillId="0" borderId="60" xfId="33" applyNumberFormat="1" applyFont="1" applyFill="1" applyBorder="1" applyAlignment="1">
      <alignment horizontal="right" vertical="center" indent="1"/>
      <protection/>
    </xf>
    <xf numFmtId="172" fontId="30" fillId="0" borderId="85" xfId="33" applyNumberFormat="1" applyFont="1" applyFill="1" applyBorder="1" applyAlignment="1">
      <alignment horizontal="right" vertical="center" indent="1"/>
      <protection/>
    </xf>
    <xf numFmtId="172" fontId="9" fillId="0" borderId="60" xfId="0" applyNumberFormat="1" applyFont="1" applyFill="1" applyBorder="1" applyAlignment="1">
      <alignment horizontal="right" vertical="center" indent="1"/>
    </xf>
    <xf numFmtId="172" fontId="9" fillId="0" borderId="85" xfId="0" applyNumberFormat="1" applyFont="1" applyFill="1" applyBorder="1" applyAlignment="1">
      <alignment horizontal="right" vertical="center" indent="1"/>
    </xf>
    <xf numFmtId="172" fontId="31" fillId="0" borderId="62" xfId="31" applyNumberFormat="1" applyFont="1" applyFill="1" applyBorder="1" applyAlignment="1">
      <alignment horizontal="right" vertical="center" indent="1"/>
      <protection/>
    </xf>
    <xf numFmtId="172" fontId="31" fillId="0" borderId="79" xfId="31" applyNumberFormat="1" applyFont="1" applyFill="1" applyBorder="1" applyAlignment="1">
      <alignment horizontal="right" vertical="center" indent="1"/>
      <protection/>
    </xf>
    <xf numFmtId="172" fontId="31" fillId="0" borderId="60" xfId="31" applyNumberFormat="1" applyFont="1" applyFill="1" applyBorder="1" applyAlignment="1">
      <alignment horizontal="right" vertical="center" indent="1"/>
      <protection/>
    </xf>
    <xf numFmtId="172" fontId="31" fillId="0" borderId="85" xfId="31" applyNumberFormat="1" applyFont="1" applyFill="1" applyBorder="1" applyAlignment="1">
      <alignment horizontal="right" vertical="center" indent="1"/>
      <protection/>
    </xf>
    <xf numFmtId="172" fontId="31" fillId="0" borderId="65" xfId="31" applyNumberFormat="1" applyFont="1" applyFill="1" applyBorder="1" applyAlignment="1">
      <alignment horizontal="right" vertical="center" indent="1"/>
      <protection/>
    </xf>
    <xf numFmtId="172" fontId="31" fillId="0" borderId="87" xfId="31" applyNumberFormat="1" applyFont="1" applyFill="1" applyBorder="1" applyAlignment="1">
      <alignment horizontal="right" vertical="center" indent="1"/>
      <protection/>
    </xf>
    <xf numFmtId="4" fontId="9" fillId="0" borderId="65" xfId="30" applyNumberFormat="1" applyFont="1" applyFill="1" applyBorder="1" applyAlignment="1" applyProtection="1">
      <alignment horizontal="right" vertical="center" indent="1"/>
      <protection/>
    </xf>
    <xf numFmtId="165" fontId="9" fillId="0" borderId="65" xfId="30" applyNumberFormat="1" applyFont="1" applyFill="1" applyBorder="1" applyAlignment="1" applyProtection="1">
      <alignment horizontal="right" vertical="center" indent="1"/>
      <protection/>
    </xf>
    <xf numFmtId="165" fontId="9" fillId="0" borderId="87" xfId="30" applyNumberFormat="1" applyFont="1" applyFill="1" applyBorder="1" applyAlignment="1" applyProtection="1">
      <alignment horizontal="right" vertical="center" indent="1"/>
      <protection/>
    </xf>
    <xf numFmtId="4" fontId="11" fillId="0" borderId="60" xfId="30" applyNumberFormat="1" applyFont="1" applyFill="1" applyBorder="1" applyAlignment="1" applyProtection="1">
      <alignment horizontal="right" vertical="center" indent="1"/>
      <protection/>
    </xf>
    <xf numFmtId="165" fontId="11" fillId="0" borderId="60" xfId="30" applyNumberFormat="1" applyFont="1" applyFill="1" applyBorder="1" applyAlignment="1" applyProtection="1">
      <alignment horizontal="right" vertical="center" indent="1"/>
      <protection/>
    </xf>
    <xf numFmtId="165" fontId="11" fillId="0" borderId="85" xfId="30" applyNumberFormat="1" applyFont="1" applyFill="1" applyBorder="1" applyAlignment="1" applyProtection="1">
      <alignment horizontal="right" vertical="center" indent="1"/>
      <protection/>
    </xf>
    <xf numFmtId="172" fontId="30" fillId="0" borderId="79" xfId="0" applyNumberFormat="1" applyFont="1" applyFill="1" applyBorder="1" applyAlignment="1">
      <alignment horizontal="right" vertical="center" indent="1"/>
    </xf>
    <xf numFmtId="4" fontId="9" fillId="0" borderId="60" xfId="0" applyNumberFormat="1" applyFont="1" applyFill="1" applyBorder="1" applyAlignment="1">
      <alignment horizontal="right" vertical="center" wrapText="1" indent="1"/>
    </xf>
    <xf numFmtId="4" fontId="12" fillId="0" borderId="65" xfId="30" applyNumberFormat="1" applyFont="1" applyFill="1" applyBorder="1" applyAlignment="1" applyProtection="1">
      <alignment horizontal="right" vertical="center" indent="1"/>
      <protection/>
    </xf>
    <xf numFmtId="165" fontId="12" fillId="0" borderId="65" xfId="30" applyNumberFormat="1" applyFont="1" applyFill="1" applyBorder="1" applyAlignment="1" applyProtection="1">
      <alignment horizontal="right" vertical="center" indent="1"/>
      <protection/>
    </xf>
    <xf numFmtId="165" fontId="12" fillId="0" borderId="87" xfId="30" applyNumberFormat="1" applyFont="1" applyFill="1" applyBorder="1" applyAlignment="1" applyProtection="1">
      <alignment horizontal="right" vertical="center" indent="1"/>
      <protection/>
    </xf>
    <xf numFmtId="165" fontId="27" fillId="0" borderId="60" xfId="30" applyNumberFormat="1" applyFont="1" applyFill="1" applyBorder="1" applyAlignment="1" applyProtection="1">
      <alignment horizontal="right" vertical="center" indent="1"/>
      <protection/>
    </xf>
    <xf numFmtId="165" fontId="27" fillId="0" borderId="85" xfId="30" applyNumberFormat="1" applyFont="1" applyFill="1" applyBorder="1" applyAlignment="1" applyProtection="1">
      <alignment horizontal="right" vertical="center" indent="1"/>
      <protection/>
    </xf>
    <xf numFmtId="4" fontId="11" fillId="0" borderId="62" xfId="30" applyNumberFormat="1" applyFont="1" applyFill="1" applyBorder="1" applyAlignment="1" applyProtection="1">
      <alignment horizontal="right" vertical="center" indent="1"/>
      <protection/>
    </xf>
    <xf numFmtId="165" fontId="11" fillId="0" borderId="79" xfId="30" applyNumberFormat="1" applyFont="1" applyFill="1" applyBorder="1" applyAlignment="1" applyProtection="1">
      <alignment horizontal="right" vertical="center" indent="1"/>
      <protection/>
    </xf>
    <xf numFmtId="0" fontId="7" fillId="0" borderId="62" xfId="30" applyNumberFormat="1" applyFont="1" applyFill="1" applyBorder="1" applyAlignment="1" applyProtection="1">
      <alignment horizontal="right" vertical="center" indent="1"/>
      <protection/>
    </xf>
    <xf numFmtId="4" fontId="7" fillId="0" borderId="62" xfId="30" applyNumberFormat="1" applyFont="1" applyFill="1" applyBorder="1" applyAlignment="1" applyProtection="1">
      <alignment horizontal="right" vertical="center" indent="1"/>
      <protection/>
    </xf>
    <xf numFmtId="165" fontId="7" fillId="0" borderId="62" xfId="30" applyNumberFormat="1" applyFont="1" applyFill="1" applyBorder="1" applyAlignment="1" applyProtection="1">
      <alignment horizontal="right" vertical="center" indent="1"/>
      <protection/>
    </xf>
    <xf numFmtId="165" fontId="7" fillId="0" borderId="79" xfId="30" applyNumberFormat="1" applyFont="1" applyFill="1" applyBorder="1" applyAlignment="1" applyProtection="1">
      <alignment horizontal="right" vertical="center" indent="1"/>
      <protection/>
    </xf>
    <xf numFmtId="4" fontId="12" fillId="0" borderId="82" xfId="30" applyNumberFormat="1" applyFont="1" applyFill="1" applyBorder="1" applyAlignment="1" applyProtection="1">
      <alignment horizontal="right" vertical="center" indent="1"/>
      <protection/>
    </xf>
    <xf numFmtId="165" fontId="12" fillId="0" borderId="82" xfId="30" applyNumberFormat="1" applyFont="1" applyFill="1" applyBorder="1" applyAlignment="1" applyProtection="1">
      <alignment horizontal="right" vertical="center" indent="1"/>
      <protection/>
    </xf>
    <xf numFmtId="165" fontId="12" fillId="0" borderId="88" xfId="30" applyNumberFormat="1" applyFont="1" applyFill="1" applyBorder="1" applyAlignment="1" applyProtection="1">
      <alignment horizontal="right" vertical="center" indent="1"/>
      <protection/>
    </xf>
    <xf numFmtId="4" fontId="12" fillId="0" borderId="84" xfId="30" applyNumberFormat="1" applyFont="1" applyFill="1" applyBorder="1" applyAlignment="1" applyProtection="1">
      <alignment horizontal="right" vertical="center" indent="1"/>
      <protection/>
    </xf>
    <xf numFmtId="165" fontId="12" fillId="0" borderId="84" xfId="30" applyNumberFormat="1" applyFont="1" applyFill="1" applyBorder="1" applyAlignment="1" applyProtection="1">
      <alignment horizontal="right" vertical="center" indent="1"/>
      <protection/>
    </xf>
    <xf numFmtId="165" fontId="12" fillId="0" borderId="89" xfId="30" applyNumberFormat="1" applyFont="1" applyFill="1" applyBorder="1" applyAlignment="1" applyProtection="1">
      <alignment horizontal="right" vertical="center" indent="1"/>
      <protection/>
    </xf>
    <xf numFmtId="172" fontId="30" fillId="0" borderId="62" xfId="0" applyNumberFormat="1" applyFont="1" applyBorder="1" applyAlignment="1">
      <alignment horizontal="right" vertical="center" indent="1"/>
    </xf>
    <xf numFmtId="172" fontId="30" fillId="0" borderId="79" xfId="0" applyNumberFormat="1" applyFont="1" applyBorder="1" applyAlignment="1">
      <alignment horizontal="right" vertical="center" indent="1"/>
    </xf>
    <xf numFmtId="4" fontId="11" fillId="0" borderId="60" xfId="0" applyNumberFormat="1" applyFont="1" applyFill="1" applyBorder="1" applyAlignment="1">
      <alignment horizontal="right" vertical="center" indent="1"/>
    </xf>
    <xf numFmtId="172" fontId="11" fillId="0" borderId="60" xfId="0" applyNumberFormat="1" applyFont="1" applyFill="1" applyBorder="1" applyAlignment="1">
      <alignment horizontal="right" vertical="center" indent="1"/>
    </xf>
    <xf numFmtId="172" fontId="30" fillId="0" borderId="85" xfId="0" applyNumberFormat="1" applyFont="1" applyFill="1" applyBorder="1" applyAlignment="1">
      <alignment horizontal="right" vertical="center" indent="1"/>
    </xf>
    <xf numFmtId="172" fontId="9" fillId="0" borderId="60" xfId="35" applyNumberFormat="1" applyFont="1" applyFill="1" applyBorder="1" applyAlignment="1">
      <alignment horizontal="right" vertical="center" indent="1"/>
      <protection/>
    </xf>
    <xf numFmtId="172" fontId="9" fillId="0" borderId="85" xfId="35" applyNumberFormat="1" applyFont="1" applyFill="1" applyBorder="1" applyAlignment="1">
      <alignment horizontal="right" vertical="center" indent="1"/>
      <protection/>
    </xf>
    <xf numFmtId="171" fontId="32" fillId="0" borderId="60" xfId="34" applyNumberFormat="1" applyFont="1" applyFill="1" applyBorder="1" applyAlignment="1">
      <alignment horizontal="right" vertical="center" indent="1"/>
      <protection/>
    </xf>
    <xf numFmtId="171" fontId="32" fillId="0" borderId="85" xfId="34" applyNumberFormat="1" applyFont="1" applyFill="1" applyBorder="1" applyAlignment="1">
      <alignment horizontal="right" vertical="center" indent="1"/>
      <protection/>
    </xf>
    <xf numFmtId="165" fontId="33" fillId="0" borderId="60" xfId="0" applyNumberFormat="1" applyFont="1" applyFill="1" applyBorder="1" applyAlignment="1">
      <alignment horizontal="right" vertical="center" indent="1"/>
    </xf>
    <xf numFmtId="165" fontId="33" fillId="0" borderId="85" xfId="0" applyNumberFormat="1" applyFont="1" applyFill="1" applyBorder="1" applyAlignment="1">
      <alignment horizontal="right" vertical="center" indent="1"/>
    </xf>
    <xf numFmtId="173" fontId="0" fillId="0" borderId="65" xfId="0" applyNumberFormat="1" applyFill="1" applyBorder="1" applyAlignment="1">
      <alignment horizontal="right" vertical="center" indent="1"/>
    </xf>
    <xf numFmtId="172" fontId="30" fillId="0" borderId="65" xfId="0" applyNumberFormat="1" applyFont="1" applyBorder="1" applyAlignment="1">
      <alignment horizontal="right" vertical="center" indent="1"/>
    </xf>
    <xf numFmtId="172" fontId="30" fillId="0" borderId="87" xfId="0" applyNumberFormat="1" applyFont="1" applyBorder="1" applyAlignment="1">
      <alignment horizontal="right" vertical="center" indent="1"/>
    </xf>
    <xf numFmtId="0" fontId="35" fillId="0" borderId="62" xfId="30" applyNumberFormat="1" applyFont="1" applyFill="1" applyBorder="1" applyAlignment="1" applyProtection="1">
      <alignment horizontal="right" vertical="center" indent="1"/>
      <protection/>
    </xf>
    <xf numFmtId="4" fontId="35" fillId="0" borderId="62" xfId="30" applyNumberFormat="1" applyFont="1" applyFill="1" applyBorder="1" applyAlignment="1" applyProtection="1">
      <alignment horizontal="right" vertical="center" indent="1"/>
      <protection/>
    </xf>
    <xf numFmtId="165" fontId="35" fillId="0" borderId="62" xfId="30" applyNumberFormat="1" applyFont="1" applyFill="1" applyBorder="1" applyAlignment="1" applyProtection="1">
      <alignment horizontal="right" vertical="center" indent="1"/>
      <protection/>
    </xf>
    <xf numFmtId="165" fontId="35" fillId="0" borderId="79" xfId="30" applyNumberFormat="1" applyFont="1" applyFill="1" applyBorder="1" applyAlignment="1" applyProtection="1">
      <alignment horizontal="right" vertical="center" indent="1"/>
      <protection/>
    </xf>
    <xf numFmtId="4" fontId="9" fillId="0" borderId="62" xfId="30" applyNumberFormat="1" applyFont="1" applyFill="1" applyBorder="1" applyAlignment="1" applyProtection="1">
      <alignment horizontal="right" vertical="center" indent="1"/>
      <protection/>
    </xf>
    <xf numFmtId="165" fontId="9" fillId="0" borderId="62" xfId="30" applyNumberFormat="1" applyFont="1" applyFill="1" applyBorder="1" applyAlignment="1" applyProtection="1">
      <alignment horizontal="right" vertical="center" indent="1"/>
      <protection/>
    </xf>
    <xf numFmtId="165" fontId="9" fillId="0" borderId="79" xfId="30" applyNumberFormat="1" applyFont="1" applyFill="1" applyBorder="1" applyAlignment="1" applyProtection="1">
      <alignment horizontal="right" vertical="center" indent="1"/>
      <protection/>
    </xf>
    <xf numFmtId="4" fontId="12" fillId="0" borderId="16" xfId="30" applyNumberFormat="1" applyFont="1" applyFill="1" applyBorder="1" applyAlignment="1" applyProtection="1">
      <alignment horizontal="right" vertical="center" indent="1"/>
      <protection/>
    </xf>
    <xf numFmtId="165" fontId="12" fillId="0" borderId="16" xfId="30" applyNumberFormat="1" applyFont="1" applyFill="1" applyBorder="1" applyAlignment="1" applyProtection="1">
      <alignment horizontal="right" vertical="center" indent="1"/>
      <protection/>
    </xf>
    <xf numFmtId="165" fontId="12" fillId="0" borderId="90" xfId="30" applyNumberFormat="1" applyFont="1" applyFill="1" applyBorder="1" applyAlignment="1" applyProtection="1">
      <alignment horizontal="right" vertical="center" indent="1"/>
      <protection/>
    </xf>
    <xf numFmtId="0" fontId="2" fillId="0" borderId="0" xfId="30" applyFont="1" applyBorder="1" applyAlignment="1">
      <alignment horizontal="right" vertical="center" indent="1"/>
      <protection/>
    </xf>
    <xf numFmtId="165" fontId="2" fillId="0" borderId="0" xfId="30" applyNumberFormat="1" applyFont="1" applyBorder="1" applyAlignment="1">
      <alignment horizontal="right" vertical="center" indent="1"/>
      <protection/>
    </xf>
    <xf numFmtId="165" fontId="2" fillId="0" borderId="78" xfId="30" applyNumberFormat="1" applyFont="1" applyBorder="1" applyAlignment="1">
      <alignment horizontal="right" vertical="center" indent="1"/>
      <protection/>
    </xf>
    <xf numFmtId="0" fontId="0" fillId="0" borderId="0" xfId="0" applyAlignment="1">
      <alignment horizontal="right" vertical="center" indent="1"/>
    </xf>
    <xf numFmtId="165" fontId="0" fillId="0" borderId="0" xfId="0" applyNumberFormat="1" applyAlignment="1">
      <alignment horizontal="right" vertical="center" indent="1"/>
    </xf>
    <xf numFmtId="165" fontId="37" fillId="0" borderId="65" xfId="31" applyNumberFormat="1" applyFont="1" applyFill="1" applyBorder="1" applyAlignment="1">
      <alignment horizontal="right" vertical="center" indent="1"/>
      <protection/>
    </xf>
    <xf numFmtId="165" fontId="37" fillId="0" borderId="87" xfId="31" applyNumberFormat="1" applyFont="1" applyFill="1" applyBorder="1" applyAlignment="1">
      <alignment horizontal="right" vertical="center" indent="1"/>
      <protection/>
    </xf>
    <xf numFmtId="4" fontId="14" fillId="0" borderId="62" xfId="30" applyNumberFormat="1" applyFont="1" applyFill="1" applyBorder="1" applyAlignment="1" applyProtection="1">
      <alignment horizontal="right" vertical="center" indent="1"/>
      <protection/>
    </xf>
    <xf numFmtId="165" fontId="14" fillId="0" borderId="62" xfId="30" applyNumberFormat="1" applyFont="1" applyFill="1" applyBorder="1" applyAlignment="1" applyProtection="1">
      <alignment horizontal="right" vertical="center" indent="1"/>
      <protection/>
    </xf>
    <xf numFmtId="165" fontId="14" fillId="0" borderId="79" xfId="30" applyNumberFormat="1" applyFont="1" applyFill="1" applyBorder="1" applyAlignment="1" applyProtection="1">
      <alignment horizontal="right" vertical="center" indent="1"/>
      <protection/>
    </xf>
    <xf numFmtId="0" fontId="0" fillId="0" borderId="60" xfId="0" applyFill="1" applyBorder="1" applyAlignment="1">
      <alignment horizontal="right" vertical="center" indent="1"/>
    </xf>
    <xf numFmtId="165" fontId="0" fillId="0" borderId="60" xfId="0" applyNumberFormat="1" applyFill="1" applyBorder="1" applyAlignment="1">
      <alignment horizontal="right" vertical="center" indent="1"/>
    </xf>
    <xf numFmtId="165" fontId="0" fillId="0" borderId="85" xfId="0" applyNumberFormat="1" applyFill="1" applyBorder="1" applyAlignment="1">
      <alignment horizontal="right" vertical="center" indent="1"/>
    </xf>
    <xf numFmtId="172" fontId="30" fillId="0" borderId="65" xfId="0" applyNumberFormat="1" applyFont="1" applyFill="1" applyBorder="1" applyAlignment="1">
      <alignment horizontal="right" vertical="center" indent="1"/>
    </xf>
    <xf numFmtId="172" fontId="30" fillId="0" borderId="87" xfId="0" applyNumberFormat="1" applyFont="1" applyFill="1" applyBorder="1" applyAlignment="1">
      <alignment horizontal="right" vertical="center" indent="1"/>
    </xf>
    <xf numFmtId="0" fontId="0" fillId="0" borderId="60" xfId="0" applyBorder="1" applyAlignment="1">
      <alignment horizontal="right" vertical="center" indent="1"/>
    </xf>
    <xf numFmtId="165" fontId="0" fillId="0" borderId="60" xfId="0" applyNumberFormat="1" applyBorder="1" applyAlignment="1">
      <alignment horizontal="right" vertical="center" indent="1"/>
    </xf>
    <xf numFmtId="165" fontId="0" fillId="0" borderId="85" xfId="0" applyNumberFormat="1" applyBorder="1" applyAlignment="1">
      <alignment horizontal="right" vertical="center" indent="1"/>
    </xf>
    <xf numFmtId="0" fontId="2" fillId="0" borderId="0" xfId="30" applyFont="1" applyAlignment="1">
      <alignment horizontal="right" vertical="center" indent="1"/>
      <protection/>
    </xf>
    <xf numFmtId="165" fontId="2" fillId="0" borderId="0" xfId="30" applyNumberFormat="1" applyFont="1" applyAlignment="1">
      <alignment horizontal="right" vertical="center" indent="1"/>
      <protection/>
    </xf>
    <xf numFmtId="0" fontId="0" fillId="0" borderId="0" xfId="0" applyFont="1" applyAlignment="1">
      <alignment vertical="center"/>
    </xf>
    <xf numFmtId="0" fontId="0" fillId="0" borderId="0" xfId="0" applyFont="1" applyFill="1" applyAlignment="1">
      <alignment vertical="center"/>
    </xf>
    <xf numFmtId="49" fontId="9" fillId="0" borderId="83" xfId="0" applyNumberFormat="1" applyFont="1" applyFill="1" applyBorder="1" applyAlignment="1">
      <alignment horizontal="center" vertical="center" wrapText="1"/>
    </xf>
    <xf numFmtId="2" fontId="9" fillId="0" borderId="60" xfId="0" applyNumberFormat="1" applyFont="1" applyFill="1" applyBorder="1" applyAlignment="1">
      <alignment horizontal="center" vertical="center" wrapText="1"/>
    </xf>
    <xf numFmtId="4" fontId="9" fillId="0" borderId="91" xfId="0" applyNumberFormat="1" applyFont="1" applyFill="1" applyBorder="1" applyAlignment="1">
      <alignment horizontal="right" vertical="center" wrapText="1" indent="1"/>
    </xf>
    <xf numFmtId="0" fontId="8" fillId="0" borderId="0" xfId="0" applyFont="1" applyFill="1" applyAlignment="1">
      <alignment vertical="center"/>
    </xf>
    <xf numFmtId="49" fontId="13" fillId="3" borderId="92" xfId="0" applyNumberFormat="1" applyFont="1" applyFill="1" applyBorder="1" applyAlignment="1">
      <alignment horizontal="center" vertical="center"/>
    </xf>
    <xf numFmtId="49" fontId="7" fillId="3" borderId="93" xfId="30" applyNumberFormat="1" applyFont="1" applyFill="1" applyBorder="1" applyAlignment="1" applyProtection="1">
      <alignment horizontal="center" vertical="center"/>
      <protection/>
    </xf>
    <xf numFmtId="49" fontId="7" fillId="3" borderId="93" xfId="30" applyNumberFormat="1" applyFont="1" applyFill="1" applyBorder="1" applyAlignment="1" applyProtection="1">
      <alignment horizontal="left" vertical="center"/>
      <protection/>
    </xf>
    <xf numFmtId="49" fontId="7" fillId="3" borderId="93" xfId="30" applyNumberFormat="1" applyFont="1" applyFill="1" applyBorder="1" applyAlignment="1" applyProtection="1">
      <alignment horizontal="right" vertical="center" indent="1"/>
      <protection/>
    </xf>
    <xf numFmtId="4" fontId="7" fillId="3" borderId="93" xfId="30" applyNumberFormat="1" applyFont="1" applyFill="1" applyBorder="1" applyAlignment="1" applyProtection="1">
      <alignment horizontal="right" vertical="center" indent="1"/>
      <protection/>
    </xf>
    <xf numFmtId="165" fontId="7" fillId="3" borderId="93" xfId="30" applyNumberFormat="1" applyFont="1" applyFill="1" applyBorder="1" applyAlignment="1" applyProtection="1">
      <alignment horizontal="right" vertical="center" indent="1"/>
      <protection/>
    </xf>
    <xf numFmtId="165" fontId="7" fillId="3" borderId="94" xfId="30" applyNumberFormat="1" applyFont="1" applyFill="1" applyBorder="1" applyAlignment="1" applyProtection="1">
      <alignment horizontal="right" vertical="center" indent="1"/>
      <protection/>
    </xf>
    <xf numFmtId="49" fontId="9" fillId="0" borderId="63" xfId="0" applyNumberFormat="1" applyFont="1" applyFill="1" applyBorder="1" applyAlignment="1">
      <alignment horizontal="center" vertical="center" wrapText="1"/>
    </xf>
    <xf numFmtId="0" fontId="8" fillId="0" borderId="60" xfId="0" applyFont="1" applyFill="1" applyBorder="1" applyAlignment="1">
      <alignment vertical="center"/>
    </xf>
    <xf numFmtId="0" fontId="8" fillId="0" borderId="85" xfId="0" applyFont="1" applyFill="1" applyBorder="1" applyAlignment="1">
      <alignment vertical="center"/>
    </xf>
    <xf numFmtId="49" fontId="12" fillId="0" borderId="91" xfId="30" applyNumberFormat="1" applyFont="1" applyFill="1" applyBorder="1" applyAlignment="1" applyProtection="1">
      <alignment horizontal="left" vertical="center"/>
      <protection/>
    </xf>
    <xf numFmtId="49" fontId="12" fillId="0" borderId="91" xfId="30" applyNumberFormat="1" applyFont="1" applyFill="1" applyBorder="1" applyAlignment="1" applyProtection="1">
      <alignment horizontal="left" vertical="center" wrapText="1"/>
      <protection/>
    </xf>
    <xf numFmtId="49" fontId="12" fillId="0" borderId="91" xfId="30" applyNumberFormat="1" applyFont="1" applyFill="1" applyBorder="1" applyAlignment="1" applyProtection="1">
      <alignment horizontal="center" vertical="center"/>
      <protection/>
    </xf>
    <xf numFmtId="4" fontId="12" fillId="0" borderId="91" xfId="30" applyNumberFormat="1" applyFont="1" applyFill="1" applyBorder="1" applyAlignment="1" applyProtection="1">
      <alignment horizontal="right" vertical="center" indent="1"/>
      <protection/>
    </xf>
    <xf numFmtId="165" fontId="12" fillId="0" borderId="91" xfId="30" applyNumberFormat="1" applyFont="1" applyFill="1" applyBorder="1" applyAlignment="1" applyProtection="1">
      <alignment horizontal="right" vertical="center" indent="1"/>
      <protection/>
    </xf>
    <xf numFmtId="165" fontId="12" fillId="0" borderId="95" xfId="30" applyNumberFormat="1" applyFont="1" applyFill="1" applyBorder="1" applyAlignment="1" applyProtection="1">
      <alignment horizontal="right" vertical="center" indent="1"/>
      <protection/>
    </xf>
    <xf numFmtId="0" fontId="41" fillId="4" borderId="0" xfId="0" applyFont="1" applyFill="1"/>
    <xf numFmtId="49" fontId="43" fillId="0" borderId="39" xfId="29" applyNumberFormat="1" applyFont="1" applyFill="1" applyBorder="1" applyAlignment="1" applyProtection="1">
      <alignment horizontal="left" vertical="center" wrapText="1"/>
      <protection/>
    </xf>
    <xf numFmtId="49" fontId="12" fillId="4" borderId="60" xfId="30" applyNumberFormat="1" applyFont="1" applyFill="1" applyBorder="1" applyAlignment="1" applyProtection="1">
      <alignment horizontal="left" vertical="center" wrapText="1"/>
      <protection/>
    </xf>
    <xf numFmtId="49" fontId="9" fillId="4" borderId="63" xfId="0" applyNumberFormat="1" applyFont="1" applyFill="1" applyBorder="1" applyAlignment="1">
      <alignment horizontal="center" vertical="center"/>
    </xf>
    <xf numFmtId="49" fontId="9" fillId="4" borderId="60" xfId="30" applyNumberFormat="1" applyFont="1" applyFill="1" applyBorder="1" applyAlignment="1" applyProtection="1">
      <alignment horizontal="left" vertical="center"/>
      <protection/>
    </xf>
    <xf numFmtId="49" fontId="9" fillId="4" borderId="60" xfId="30" applyNumberFormat="1" applyFont="1" applyFill="1" applyBorder="1" applyAlignment="1" applyProtection="1">
      <alignment horizontal="left" vertical="center" wrapText="1"/>
      <protection/>
    </xf>
    <xf numFmtId="4" fontId="9" fillId="4" borderId="60" xfId="32" applyNumberFormat="1" applyFont="1" applyFill="1" applyBorder="1" applyAlignment="1">
      <alignment horizontal="center" vertical="center"/>
      <protection/>
    </xf>
    <xf numFmtId="4" fontId="9" fillId="4" borderId="60" xfId="30" applyNumberFormat="1" applyFont="1" applyFill="1" applyBorder="1" applyAlignment="1" applyProtection="1">
      <alignment horizontal="right" vertical="center" indent="1"/>
      <protection/>
    </xf>
    <xf numFmtId="165" fontId="9" fillId="4" borderId="60" xfId="30" applyNumberFormat="1" applyFont="1" applyFill="1" applyBorder="1" applyAlignment="1" applyProtection="1">
      <alignment horizontal="right" vertical="center" indent="1"/>
      <protection/>
    </xf>
    <xf numFmtId="165" fontId="9" fillId="4" borderId="85" xfId="30" applyNumberFormat="1" applyFont="1" applyFill="1" applyBorder="1" applyAlignment="1" applyProtection="1">
      <alignment horizontal="right" vertical="center" indent="1"/>
      <protection/>
    </xf>
    <xf numFmtId="0" fontId="9" fillId="4" borderId="0" xfId="0" applyFont="1" applyFill="1"/>
    <xf numFmtId="0" fontId="45" fillId="0" borderId="0" xfId="0" applyFont="1"/>
    <xf numFmtId="0" fontId="46" fillId="4" borderId="0" xfId="0" applyFont="1" applyFill="1"/>
    <xf numFmtId="0" fontId="0" fillId="4" borderId="0" xfId="0" applyFill="1"/>
    <xf numFmtId="0" fontId="22" fillId="0" borderId="39" xfId="29" applyFont="1" applyFill="1" applyBorder="1" applyAlignment="1" applyProtection="1">
      <alignment horizontal="left" vertical="center"/>
      <protection/>
    </xf>
    <xf numFmtId="168" fontId="24" fillId="0" borderId="39" xfId="29" applyNumberFormat="1" applyFont="1" applyFill="1" applyBorder="1" applyAlignment="1" applyProtection="1">
      <alignment horizontal="right" vertical="center"/>
      <protection/>
    </xf>
    <xf numFmtId="168" fontId="11" fillId="0" borderId="39" xfId="29" applyNumberFormat="1" applyFont="1" applyFill="1" applyBorder="1" applyAlignment="1" applyProtection="1">
      <alignment horizontal="right" vertical="center"/>
      <protection/>
    </xf>
    <xf numFmtId="166" fontId="0" fillId="0" borderId="96" xfId="29" applyNumberFormat="1" applyFont="1" applyFill="1" applyBorder="1" applyAlignment="1" applyProtection="1">
      <alignment horizontal="right" vertical="center"/>
      <protection/>
    </xf>
    <xf numFmtId="49" fontId="44" fillId="4" borderId="63" xfId="0" applyNumberFormat="1" applyFont="1" applyFill="1" applyBorder="1" applyAlignment="1">
      <alignment horizontal="center" vertical="center"/>
    </xf>
    <xf numFmtId="49" fontId="44" fillId="4" borderId="60" xfId="30" applyNumberFormat="1" applyFont="1" applyFill="1" applyBorder="1" applyAlignment="1" applyProtection="1">
      <alignment horizontal="left" vertical="center"/>
      <protection/>
    </xf>
    <xf numFmtId="49" fontId="44" fillId="4" borderId="60" xfId="30" applyNumberFormat="1" applyFont="1" applyFill="1" applyBorder="1" applyAlignment="1" applyProtection="1">
      <alignment horizontal="left" vertical="center" wrapText="1"/>
      <protection/>
    </xf>
    <xf numFmtId="4" fontId="44" fillId="4" borderId="60" xfId="32" applyNumberFormat="1" applyFont="1" applyFill="1" applyBorder="1" applyAlignment="1">
      <alignment horizontal="center" vertical="center"/>
      <protection/>
    </xf>
    <xf numFmtId="4" fontId="44" fillId="4" borderId="60" xfId="30" applyNumberFormat="1" applyFont="1" applyFill="1" applyBorder="1" applyAlignment="1" applyProtection="1">
      <alignment horizontal="right" vertical="center" indent="1"/>
      <protection/>
    </xf>
    <xf numFmtId="165" fontId="44" fillId="4" borderId="60" xfId="30" applyNumberFormat="1" applyFont="1" applyFill="1" applyBorder="1" applyAlignment="1" applyProtection="1">
      <alignment horizontal="right" vertical="center" indent="1"/>
      <protection/>
    </xf>
    <xf numFmtId="165" fontId="44" fillId="4" borderId="85" xfId="30" applyNumberFormat="1" applyFont="1" applyFill="1" applyBorder="1" applyAlignment="1" applyProtection="1">
      <alignment horizontal="right" vertical="center" indent="1"/>
      <protection/>
    </xf>
    <xf numFmtId="0" fontId="44" fillId="4" borderId="0" xfId="0" applyFont="1" applyFill="1"/>
    <xf numFmtId="49" fontId="0" fillId="4" borderId="20" xfId="0" applyNumberFormat="1" applyFill="1" applyBorder="1"/>
    <xf numFmtId="49" fontId="7" fillId="4" borderId="3" xfId="30" applyNumberFormat="1" applyFont="1" applyFill="1" applyBorder="1" applyAlignment="1" applyProtection="1">
      <alignment horizontal="left" vertical="center"/>
      <protection/>
    </xf>
    <xf numFmtId="49" fontId="40" fillId="4" borderId="3" xfId="30" applyNumberFormat="1" applyFont="1" applyFill="1" applyBorder="1" applyAlignment="1" applyProtection="1">
      <alignment horizontal="left" vertical="center"/>
      <protection/>
    </xf>
    <xf numFmtId="49" fontId="7" fillId="4" borderId="3" xfId="30" applyNumberFormat="1" applyFont="1" applyFill="1" applyBorder="1" applyAlignment="1" applyProtection="1">
      <alignment horizontal="center" vertical="center"/>
      <protection/>
    </xf>
    <xf numFmtId="49" fontId="7" fillId="4" borderId="3" xfId="30" applyNumberFormat="1" applyFont="1" applyFill="1" applyBorder="1" applyAlignment="1" applyProtection="1">
      <alignment horizontal="right" vertical="center"/>
      <protection/>
    </xf>
    <xf numFmtId="165" fontId="7" fillId="4" borderId="3" xfId="30" applyNumberFormat="1" applyFont="1" applyFill="1" applyBorder="1" applyAlignment="1" applyProtection="1">
      <alignment horizontal="center" vertical="center"/>
      <protection/>
    </xf>
    <xf numFmtId="165" fontId="7" fillId="4" borderId="59" xfId="30" applyNumberFormat="1" applyFont="1" applyFill="1" applyBorder="1" applyAlignment="1" applyProtection="1">
      <alignment horizontal="center" vertical="center"/>
      <protection/>
    </xf>
    <xf numFmtId="49" fontId="48" fillId="0" borderId="61" xfId="0" applyNumberFormat="1" applyFont="1" applyFill="1" applyBorder="1" applyAlignment="1">
      <alignment horizontal="center" vertical="center"/>
    </xf>
    <xf numFmtId="49" fontId="48" fillId="0" borderId="62" xfId="30" applyNumberFormat="1" applyFont="1" applyFill="1" applyBorder="1" applyAlignment="1" applyProtection="1">
      <alignment horizontal="left" vertical="center"/>
      <protection/>
    </xf>
    <xf numFmtId="49" fontId="48" fillId="0" borderId="62" xfId="30" applyNumberFormat="1" applyFont="1" applyFill="1" applyBorder="1" applyAlignment="1" applyProtection="1">
      <alignment horizontal="left" vertical="center" wrapText="1"/>
      <protection/>
    </xf>
    <xf numFmtId="49" fontId="48" fillId="0" borderId="62" xfId="30" applyNumberFormat="1" applyFont="1" applyFill="1" applyBorder="1" applyAlignment="1" applyProtection="1">
      <alignment horizontal="center" vertical="center"/>
      <protection/>
    </xf>
    <xf numFmtId="4" fontId="48" fillId="0" borderId="62" xfId="30" applyNumberFormat="1" applyFont="1" applyFill="1" applyBorder="1" applyAlignment="1" applyProtection="1">
      <alignment horizontal="right" vertical="center" indent="1"/>
      <protection/>
    </xf>
    <xf numFmtId="165" fontId="48" fillId="0" borderId="62" xfId="30" applyNumberFormat="1" applyFont="1" applyFill="1" applyBorder="1" applyAlignment="1" applyProtection="1">
      <alignment horizontal="right" vertical="center" indent="1"/>
      <protection/>
    </xf>
    <xf numFmtId="165" fontId="48" fillId="0" borderId="79" xfId="30" applyNumberFormat="1" applyFont="1" applyFill="1" applyBorder="1" applyAlignment="1" applyProtection="1">
      <alignment horizontal="right" vertical="center" indent="1"/>
      <protection/>
    </xf>
    <xf numFmtId="0" fontId="48" fillId="0" borderId="0" xfId="0" applyFont="1" applyFill="1"/>
    <xf numFmtId="49" fontId="11" fillId="5" borderId="63" xfId="0" applyNumberFormat="1" applyFont="1" applyFill="1" applyBorder="1" applyAlignment="1">
      <alignment horizontal="center" vertical="center"/>
    </xf>
    <xf numFmtId="49" fontId="12" fillId="5" borderId="60" xfId="30" applyNumberFormat="1" applyFont="1" applyFill="1" applyBorder="1" applyAlignment="1" applyProtection="1">
      <alignment horizontal="left" vertical="center"/>
      <protection/>
    </xf>
    <xf numFmtId="49" fontId="12" fillId="5" borderId="60" xfId="30" applyNumberFormat="1" applyFont="1" applyFill="1" applyBorder="1" applyAlignment="1" applyProtection="1">
      <alignment horizontal="left" vertical="center" wrapText="1"/>
      <protection/>
    </xf>
    <xf numFmtId="49" fontId="12" fillId="5" borderId="60" xfId="30" applyNumberFormat="1" applyFont="1" applyFill="1" applyBorder="1" applyAlignment="1" applyProtection="1">
      <alignment horizontal="center" vertical="center"/>
      <protection/>
    </xf>
    <xf numFmtId="4" fontId="12" fillId="5" borderId="60" xfId="30" applyNumberFormat="1" applyFont="1" applyFill="1" applyBorder="1" applyAlignment="1" applyProtection="1">
      <alignment horizontal="right" vertical="center" indent="1"/>
      <protection/>
    </xf>
    <xf numFmtId="165" fontId="12" fillId="5" borderId="60" xfId="30" applyNumberFormat="1" applyFont="1" applyFill="1" applyBorder="1" applyAlignment="1" applyProtection="1">
      <alignment horizontal="right" vertical="center" indent="1"/>
      <protection/>
    </xf>
    <xf numFmtId="165" fontId="12" fillId="5" borderId="85" xfId="30" applyNumberFormat="1" applyFont="1" applyFill="1" applyBorder="1" applyAlignment="1" applyProtection="1">
      <alignment horizontal="right" vertical="center" indent="1"/>
      <protection/>
    </xf>
    <xf numFmtId="0" fontId="11" fillId="5" borderId="0" xfId="0" applyFont="1" applyFill="1"/>
    <xf numFmtId="49" fontId="9" fillId="5" borderId="63" xfId="0" applyNumberFormat="1" applyFont="1" applyFill="1" applyBorder="1" applyAlignment="1">
      <alignment horizontal="center" vertical="center"/>
    </xf>
    <xf numFmtId="49" fontId="9" fillId="5" borderId="60" xfId="30" applyNumberFormat="1" applyFont="1" applyFill="1" applyBorder="1" applyAlignment="1" applyProtection="1">
      <alignment horizontal="left" vertical="center"/>
      <protection/>
    </xf>
    <xf numFmtId="4" fontId="9" fillId="5" borderId="60" xfId="32" applyNumberFormat="1" applyFont="1" applyFill="1" applyBorder="1" applyAlignment="1">
      <alignment horizontal="center" vertical="center"/>
      <protection/>
    </xf>
    <xf numFmtId="4" fontId="9" fillId="5" borderId="60" xfId="30" applyNumberFormat="1" applyFont="1" applyFill="1" applyBorder="1" applyAlignment="1" applyProtection="1">
      <alignment horizontal="right" vertical="center" indent="1"/>
      <protection/>
    </xf>
    <xf numFmtId="165" fontId="9" fillId="5" borderId="60" xfId="30" applyNumberFormat="1" applyFont="1" applyFill="1" applyBorder="1" applyAlignment="1" applyProtection="1">
      <alignment horizontal="right" vertical="center" indent="1"/>
      <protection/>
    </xf>
    <xf numFmtId="165" fontId="9" fillId="5" borderId="85" xfId="30" applyNumberFormat="1" applyFont="1" applyFill="1" applyBorder="1" applyAlignment="1" applyProtection="1">
      <alignment horizontal="right" vertical="center" indent="1"/>
      <protection/>
    </xf>
    <xf numFmtId="0" fontId="9" fillId="5" borderId="0" xfId="0" applyFont="1" applyFill="1"/>
    <xf numFmtId="0" fontId="29" fillId="0" borderId="0" xfId="0" applyFont="1"/>
    <xf numFmtId="0" fontId="33" fillId="0" borderId="0" xfId="0" applyFont="1" applyFill="1"/>
    <xf numFmtId="0" fontId="30" fillId="0" borderId="0" xfId="0" applyFont="1" applyFill="1"/>
    <xf numFmtId="0" fontId="9" fillId="5" borderId="0" xfId="0" applyFont="1" applyFill="1" applyAlignment="1">
      <alignment vertical="center" wrapText="1"/>
    </xf>
    <xf numFmtId="0" fontId="0" fillId="0" borderId="0" xfId="0" applyFont="1"/>
    <xf numFmtId="0" fontId="0" fillId="0" borderId="0" xfId="0" applyFont="1" applyFill="1"/>
    <xf numFmtId="0" fontId="0" fillId="0" borderId="0" xfId="0" applyFont="1"/>
    <xf numFmtId="0" fontId="49" fillId="0" borderId="0" xfId="31" applyFont="1" applyFill="1" applyAlignment="1">
      <alignment horizontal="left" vertical="center"/>
      <protection/>
    </xf>
    <xf numFmtId="0" fontId="32" fillId="0" borderId="0" xfId="31" applyFont="1" applyFill="1" applyAlignment="1">
      <alignment vertical="center"/>
      <protection/>
    </xf>
    <xf numFmtId="0" fontId="46" fillId="6" borderId="0" xfId="0" applyFont="1" applyFill="1"/>
    <xf numFmtId="0" fontId="39" fillId="4" borderId="0" xfId="0" applyFont="1" applyFill="1"/>
    <xf numFmtId="0" fontId="39" fillId="6" borderId="0" xfId="0" applyFont="1" applyFill="1"/>
    <xf numFmtId="4" fontId="12" fillId="7" borderId="60" xfId="30" applyNumberFormat="1" applyFont="1" applyFill="1" applyBorder="1" applyAlignment="1" applyProtection="1">
      <alignment horizontal="right" vertical="center" indent="1"/>
      <protection/>
    </xf>
    <xf numFmtId="4" fontId="9" fillId="0" borderId="60" xfId="32" applyNumberFormat="1" applyFont="1" applyFill="1" applyBorder="1" applyAlignment="1">
      <alignment horizontal="right" vertical="center" indent="1"/>
      <protection/>
    </xf>
    <xf numFmtId="4" fontId="9" fillId="0" borderId="60" xfId="0" applyNumberFormat="1" applyFont="1" applyFill="1" applyBorder="1" applyAlignment="1">
      <alignment horizontal="left" vertical="center" wrapText="1"/>
    </xf>
    <xf numFmtId="0" fontId="50" fillId="0" borderId="60" xfId="0" applyFont="1" applyFill="1" applyBorder="1" applyAlignment="1">
      <alignment vertical="center" wrapText="1"/>
    </xf>
    <xf numFmtId="4" fontId="9" fillId="0" borderId="60" xfId="30" applyNumberFormat="1" applyFont="1" applyFill="1" applyBorder="1" applyAlignment="1" applyProtection="1">
      <alignment horizontal="left" vertical="center" wrapText="1"/>
      <protection/>
    </xf>
    <xf numFmtId="0" fontId="12" fillId="0" borderId="60" xfId="30" applyNumberFormat="1" applyFont="1" applyFill="1" applyBorder="1" applyAlignment="1" applyProtection="1">
      <alignment horizontal="left" vertical="center" wrapText="1"/>
      <protection/>
    </xf>
    <xf numFmtId="4" fontId="11" fillId="0" borderId="60" xfId="32" applyNumberFormat="1" applyFont="1" applyFill="1" applyBorder="1" applyAlignment="1">
      <alignment horizontal="center" vertical="center"/>
      <protection/>
    </xf>
    <xf numFmtId="49" fontId="11" fillId="0" borderId="97" xfId="0" applyNumberFormat="1" applyFont="1" applyFill="1" applyBorder="1" applyAlignment="1">
      <alignment horizontal="center" vertical="center"/>
    </xf>
    <xf numFmtId="49" fontId="50" fillId="0" borderId="63" xfId="0" applyNumberFormat="1" applyFont="1" applyFill="1" applyBorder="1" applyAlignment="1">
      <alignment horizontal="center" vertical="center"/>
    </xf>
    <xf numFmtId="49" fontId="51" fillId="0" borderId="60" xfId="30" applyNumberFormat="1" applyFont="1" applyFill="1" applyBorder="1" applyAlignment="1" applyProtection="1">
      <alignment horizontal="left" vertical="center"/>
      <protection/>
    </xf>
    <xf numFmtId="49" fontId="51" fillId="0" borderId="60" xfId="30" applyNumberFormat="1" applyFont="1" applyFill="1" applyBorder="1" applyAlignment="1" applyProtection="1">
      <alignment horizontal="left" vertical="center" wrapText="1"/>
      <protection/>
    </xf>
    <xf numFmtId="49" fontId="51" fillId="0" borderId="60" xfId="30" applyNumberFormat="1" applyFont="1" applyFill="1" applyBorder="1" applyAlignment="1" applyProtection="1">
      <alignment horizontal="center" vertical="center"/>
      <protection/>
    </xf>
    <xf numFmtId="4" fontId="51" fillId="0" borderId="60" xfId="30" applyNumberFormat="1" applyFont="1" applyFill="1" applyBorder="1" applyAlignment="1" applyProtection="1">
      <alignment horizontal="right" vertical="center" indent="1"/>
      <protection/>
    </xf>
    <xf numFmtId="165" fontId="51" fillId="0" borderId="60" xfId="30" applyNumberFormat="1" applyFont="1" applyFill="1" applyBorder="1" applyAlignment="1" applyProtection="1">
      <alignment horizontal="right" vertical="center" indent="1"/>
      <protection/>
    </xf>
    <xf numFmtId="165" fontId="51" fillId="0" borderId="85" xfId="30" applyNumberFormat="1" applyFont="1" applyFill="1" applyBorder="1" applyAlignment="1" applyProtection="1">
      <alignment horizontal="right" vertical="center" indent="1"/>
      <protection/>
    </xf>
    <xf numFmtId="0" fontId="50" fillId="0" borderId="0" xfId="0" applyFont="1" applyFill="1"/>
    <xf numFmtId="0" fontId="52" fillId="0" borderId="0" xfId="0" applyFont="1" applyFill="1"/>
    <xf numFmtId="0" fontId="9" fillId="0" borderId="0" xfId="0" applyFont="1" applyFill="1"/>
    <xf numFmtId="0" fontId="10" fillId="0" borderId="98" xfId="29" applyFont="1" applyFill="1" applyBorder="1" applyAlignment="1" applyProtection="1">
      <alignment horizontal="left" vertical="center"/>
      <protection/>
    </xf>
    <xf numFmtId="168" fontId="24" fillId="0" borderId="98" xfId="29" applyNumberFormat="1" applyFont="1" applyFill="1" applyBorder="1" applyAlignment="1" applyProtection="1">
      <alignment horizontal="right" vertical="center"/>
      <protection/>
    </xf>
    <xf numFmtId="0" fontId="10" fillId="0" borderId="99" xfId="29" applyFont="1" applyFill="1" applyBorder="1" applyAlignment="1" applyProtection="1">
      <alignment horizontal="left" vertical="center"/>
      <protection/>
    </xf>
    <xf numFmtId="0" fontId="10" fillId="0" borderId="100" xfId="29" applyFont="1" applyFill="1" applyBorder="1" applyAlignment="1" applyProtection="1">
      <alignment horizontal="center" vertical="center"/>
      <protection/>
    </xf>
    <xf numFmtId="0" fontId="10" fillId="0" borderId="54" xfId="29" applyFont="1" applyFill="1" applyBorder="1" applyAlignment="1" applyProtection="1">
      <alignment horizontal="left" vertical="center"/>
      <protection/>
    </xf>
    <xf numFmtId="167" fontId="11" fillId="0" borderId="53" xfId="29" applyNumberFormat="1" applyFont="1" applyFill="1" applyBorder="1" applyAlignment="1" applyProtection="1">
      <alignment horizontal="right" vertical="center"/>
      <protection/>
    </xf>
    <xf numFmtId="0" fontId="10" fillId="0" borderId="52" xfId="29" applyFont="1" applyFill="1" applyBorder="1" applyAlignment="1" applyProtection="1">
      <alignment horizontal="left" vertical="center"/>
      <protection/>
    </xf>
    <xf numFmtId="0" fontId="10" fillId="0" borderId="101" xfId="29" applyFont="1" applyFill="1" applyBorder="1" applyAlignment="1" applyProtection="1">
      <alignment horizontal="left" vertical="center"/>
      <protection/>
    </xf>
    <xf numFmtId="0" fontId="10" fillId="0" borderId="102" xfId="29" applyFont="1" applyFill="1" applyBorder="1" applyAlignment="1" applyProtection="1">
      <alignment horizontal="center" vertical="center"/>
      <protection/>
    </xf>
    <xf numFmtId="168" fontId="24" fillId="0" borderId="21" xfId="29" applyNumberFormat="1" applyFont="1" applyFill="1" applyBorder="1" applyAlignment="1" applyProtection="1">
      <alignment horizontal="right" vertical="center"/>
      <protection/>
    </xf>
    <xf numFmtId="0" fontId="22" fillId="0" borderId="103" xfId="29" applyFont="1" applyFill="1" applyBorder="1" applyAlignment="1" applyProtection="1">
      <alignment horizontal="left" vertical="center"/>
      <protection/>
    </xf>
    <xf numFmtId="0" fontId="10" fillId="0" borderId="104" xfId="29" applyFont="1" applyFill="1" applyBorder="1" applyAlignment="1" applyProtection="1">
      <alignment horizontal="left" vertical="center"/>
      <protection/>
    </xf>
    <xf numFmtId="0" fontId="10" fillId="0" borderId="105" xfId="29" applyFont="1" applyFill="1" applyBorder="1" applyAlignment="1" applyProtection="1">
      <alignment horizontal="left" vertical="center"/>
      <protection/>
    </xf>
    <xf numFmtId="168" fontId="24" fillId="0" borderId="106" xfId="29" applyNumberFormat="1" applyFont="1" applyFill="1" applyBorder="1" applyAlignment="1" applyProtection="1">
      <alignment horizontal="right" vertical="center"/>
      <protection/>
    </xf>
    <xf numFmtId="0" fontId="10" fillId="0" borderId="107" xfId="29" applyFont="1" applyFill="1" applyBorder="1" applyAlignment="1" applyProtection="1">
      <alignment horizontal="left" vertical="center"/>
      <protection/>
    </xf>
    <xf numFmtId="0" fontId="10" fillId="0" borderId="108" xfId="29" applyFont="1" applyFill="1" applyBorder="1" applyAlignment="1" applyProtection="1">
      <alignment horizontal="center" vertical="center"/>
      <protection/>
    </xf>
    <xf numFmtId="167" fontId="11" fillId="0" borderId="109" xfId="29" applyNumberFormat="1" applyFont="1" applyFill="1" applyBorder="1" applyAlignment="1" applyProtection="1">
      <alignment horizontal="right" vertical="center"/>
      <protection/>
    </xf>
    <xf numFmtId="0" fontId="10" fillId="0" borderId="43" xfId="29" applyFont="1" applyFill="1" applyBorder="1" applyAlignment="1" applyProtection="1">
      <alignment horizontal="center" vertical="center"/>
      <protection/>
    </xf>
    <xf numFmtId="0" fontId="10" fillId="0" borderId="96" xfId="29" applyFont="1" applyFill="1" applyBorder="1" applyAlignment="1" applyProtection="1">
      <alignment horizontal="left" vertical="center"/>
      <protection/>
    </xf>
    <xf numFmtId="0" fontId="53" fillId="0" borderId="39" xfId="29" applyFont="1" applyFill="1" applyBorder="1" applyAlignment="1" applyProtection="1">
      <alignment horizontal="left" vertical="center"/>
      <protection/>
    </xf>
    <xf numFmtId="0" fontId="44" fillId="0" borderId="0" xfId="0" applyFont="1" applyFill="1"/>
    <xf numFmtId="0" fontId="12" fillId="0" borderId="60" xfId="30" applyNumberFormat="1" applyFont="1" applyFill="1" applyBorder="1" applyAlignment="1" applyProtection="1">
      <alignment horizontal="center" vertical="center"/>
      <protection/>
    </xf>
    <xf numFmtId="172" fontId="6" fillId="2" borderId="13" xfId="30" applyNumberFormat="1" applyFont="1" applyFill="1" applyBorder="1" applyAlignment="1" applyProtection="1">
      <alignment horizontal="center" vertical="center"/>
      <protection/>
    </xf>
    <xf numFmtId="172" fontId="7" fillId="3" borderId="67" xfId="30" applyNumberFormat="1" applyFont="1" applyFill="1" applyBorder="1" applyAlignment="1" applyProtection="1">
      <alignment horizontal="center" vertical="center"/>
      <protection/>
    </xf>
    <xf numFmtId="172" fontId="7" fillId="0" borderId="73" xfId="30" applyNumberFormat="1" applyFont="1" applyFill="1" applyBorder="1" applyAlignment="1" applyProtection="1">
      <alignment horizontal="center" vertical="center"/>
      <protection/>
    </xf>
    <xf numFmtId="172" fontId="7" fillId="3" borderId="77" xfId="30" applyNumberFormat="1" applyFont="1" applyFill="1" applyBorder="1" applyAlignment="1" applyProtection="1">
      <alignment horizontal="center" vertical="center"/>
      <protection/>
    </xf>
    <xf numFmtId="172" fontId="7" fillId="0" borderId="78" xfId="30" applyNumberFormat="1" applyFont="1" applyFill="1" applyBorder="1" applyAlignment="1" applyProtection="1">
      <alignment horizontal="center" vertical="center"/>
      <protection/>
    </xf>
    <xf numFmtId="172" fontId="7" fillId="3" borderId="77" xfId="30" applyNumberFormat="1" applyFont="1" applyFill="1" applyBorder="1" applyAlignment="1" applyProtection="1">
      <alignment horizontal="right" vertical="center" indent="1"/>
      <protection/>
    </xf>
    <xf numFmtId="172" fontId="12" fillId="0" borderId="79" xfId="30" applyNumberFormat="1" applyFont="1" applyFill="1" applyBorder="1" applyAlignment="1" applyProtection="1">
      <alignment horizontal="right" vertical="center" indent="1"/>
      <protection/>
    </xf>
    <xf numFmtId="172" fontId="12" fillId="0" borderId="85" xfId="30" applyNumberFormat="1" applyFont="1" applyFill="1" applyBorder="1" applyAlignment="1" applyProtection="1">
      <alignment horizontal="right" vertical="center" indent="1"/>
      <protection/>
    </xf>
    <xf numFmtId="172" fontId="12" fillId="0" borderId="89" xfId="30" applyNumberFormat="1" applyFont="1" applyFill="1" applyBorder="1" applyAlignment="1" applyProtection="1">
      <alignment horizontal="right" vertical="center" indent="1"/>
      <protection/>
    </xf>
    <xf numFmtId="172" fontId="9" fillId="0" borderId="85" xfId="30" applyNumberFormat="1" applyFont="1" applyFill="1" applyBorder="1" applyAlignment="1" applyProtection="1">
      <alignment horizontal="right" vertical="center" indent="1"/>
      <protection/>
    </xf>
    <xf numFmtId="172" fontId="12" fillId="0" borderId="86" xfId="30" applyNumberFormat="1" applyFont="1" applyFill="1" applyBorder="1" applyAlignment="1" applyProtection="1">
      <alignment horizontal="right" vertical="center" indent="1"/>
      <protection/>
    </xf>
    <xf numFmtId="172" fontId="12" fillId="0" borderId="87" xfId="30" applyNumberFormat="1" applyFont="1" applyFill="1" applyBorder="1" applyAlignment="1" applyProtection="1">
      <alignment horizontal="right" vertical="center" indent="1"/>
      <protection/>
    </xf>
    <xf numFmtId="172" fontId="35" fillId="0" borderId="79" xfId="30" applyNumberFormat="1" applyFont="1" applyFill="1" applyBorder="1" applyAlignment="1" applyProtection="1">
      <alignment horizontal="right" vertical="center" indent="1"/>
      <protection/>
    </xf>
    <xf numFmtId="172" fontId="2" fillId="0" borderId="78" xfId="30" applyNumberFormat="1" applyFont="1" applyBorder="1" applyAlignment="1">
      <alignment vertical="center"/>
      <protection/>
    </xf>
    <xf numFmtId="172" fontId="0" fillId="0" borderId="0" xfId="0" applyNumberFormat="1"/>
    <xf numFmtId="169" fontId="18" fillId="0" borderId="43" xfId="29" applyNumberFormat="1" applyFont="1" applyFill="1" applyBorder="1" applyAlignment="1" applyProtection="1">
      <alignment horizontal="right" vertical="center"/>
      <protection/>
    </xf>
    <xf numFmtId="0" fontId="10" fillId="0" borderId="110" xfId="29" applyFont="1" applyFill="1" applyBorder="1" applyAlignment="1" applyProtection="1">
      <alignment horizontal="left" vertical="center"/>
      <protection/>
    </xf>
    <xf numFmtId="0" fontId="18" fillId="0" borderId="111" xfId="29" applyFont="1" applyBorder="1" applyAlignment="1" applyProtection="1">
      <alignment horizontal="left" vertical="center"/>
      <protection/>
    </xf>
    <xf numFmtId="0" fontId="46" fillId="4" borderId="0" xfId="0" applyFont="1" applyFill="1"/>
    <xf numFmtId="49" fontId="14" fillId="0" borderId="82" xfId="30" applyNumberFormat="1" applyFont="1" applyFill="1" applyBorder="1" applyAlignment="1" applyProtection="1">
      <alignment horizontal="left" vertical="center"/>
      <protection/>
    </xf>
    <xf numFmtId="0" fontId="29" fillId="0" borderId="0" xfId="0" applyFont="1"/>
    <xf numFmtId="0" fontId="54" fillId="0" borderId="0" xfId="35" applyFont="1" applyFill="1">
      <alignment/>
      <protection/>
    </xf>
    <xf numFmtId="49" fontId="9" fillId="0" borderId="91" xfId="30" applyNumberFormat="1" applyFont="1" applyFill="1" applyBorder="1" applyAlignment="1" applyProtection="1">
      <alignment horizontal="left" vertical="center" wrapText="1"/>
      <protection/>
    </xf>
    <xf numFmtId="4" fontId="9" fillId="0" borderId="91" xfId="32" applyNumberFormat="1" applyFont="1" applyFill="1" applyBorder="1" applyAlignment="1">
      <alignment horizontal="center" vertical="center"/>
      <protection/>
    </xf>
    <xf numFmtId="4" fontId="29" fillId="0" borderId="0" xfId="0" applyNumberFormat="1" applyFont="1" applyAlignment="1">
      <alignment vertical="center"/>
    </xf>
    <xf numFmtId="4" fontId="29" fillId="0" borderId="0" xfId="0" applyNumberFormat="1" applyFont="1" applyAlignment="1">
      <alignment horizontal="center" vertical="center"/>
    </xf>
    <xf numFmtId="0" fontId="55" fillId="0" borderId="0" xfId="0" applyFont="1" applyFill="1" applyAlignment="1">
      <alignment horizontal="center"/>
    </xf>
    <xf numFmtId="0" fontId="44" fillId="8" borderId="0" xfId="0" applyFont="1" applyFill="1"/>
    <xf numFmtId="0" fontId="56" fillId="0" borderId="0" xfId="0" applyFont="1" applyFill="1"/>
    <xf numFmtId="0" fontId="44" fillId="8" borderId="0" xfId="0" applyFont="1" applyFill="1"/>
    <xf numFmtId="0" fontId="9" fillId="8" borderId="0" xfId="0" applyFont="1" applyFill="1"/>
    <xf numFmtId="0" fontId="57" fillId="0" borderId="0" xfId="0" applyFont="1" applyAlignment="1">
      <alignment horizontal="left" indent="4"/>
    </xf>
    <xf numFmtId="49" fontId="44" fillId="8" borderId="63" xfId="0" applyNumberFormat="1" applyFont="1" applyFill="1" applyBorder="1" applyAlignment="1">
      <alignment horizontal="center" vertical="center"/>
    </xf>
    <xf numFmtId="49" fontId="44" fillId="8" borderId="60" xfId="30" applyNumberFormat="1" applyFont="1" applyFill="1" applyBorder="1" applyAlignment="1" applyProtection="1">
      <alignment horizontal="left" vertical="center"/>
      <protection/>
    </xf>
    <xf numFmtId="4" fontId="44" fillId="8" borderId="60" xfId="32" applyNumberFormat="1" applyFont="1" applyFill="1" applyBorder="1" applyAlignment="1">
      <alignment horizontal="center" vertical="center"/>
      <protection/>
    </xf>
    <xf numFmtId="4" fontId="44" fillId="8" borderId="60" xfId="30" applyNumberFormat="1" applyFont="1" applyFill="1" applyBorder="1" applyAlignment="1" applyProtection="1">
      <alignment horizontal="right" vertical="center" indent="1"/>
      <protection/>
    </xf>
    <xf numFmtId="165" fontId="44" fillId="8" borderId="60" xfId="30" applyNumberFormat="1" applyFont="1" applyFill="1" applyBorder="1" applyAlignment="1" applyProtection="1">
      <alignment horizontal="right" vertical="center" indent="1"/>
      <protection/>
    </xf>
    <xf numFmtId="165" fontId="44" fillId="8" borderId="85" xfId="30" applyNumberFormat="1" applyFont="1" applyFill="1" applyBorder="1" applyAlignment="1" applyProtection="1">
      <alignment horizontal="right" vertical="center" indent="1"/>
      <protection/>
    </xf>
    <xf numFmtId="0" fontId="44" fillId="8" borderId="0" xfId="0" applyFont="1" applyFill="1"/>
    <xf numFmtId="4" fontId="12" fillId="8" borderId="60" xfId="30" applyNumberFormat="1" applyFont="1" applyFill="1" applyBorder="1" applyAlignment="1" applyProtection="1">
      <alignment horizontal="right" vertical="center" indent="1"/>
      <protection/>
    </xf>
    <xf numFmtId="49" fontId="9" fillId="8" borderId="60" xfId="30" applyNumberFormat="1" applyFont="1" applyFill="1" applyBorder="1" applyAlignment="1" applyProtection="1">
      <alignment horizontal="left" vertical="center" wrapText="1"/>
      <protection/>
    </xf>
    <xf numFmtId="4" fontId="9" fillId="8" borderId="60" xfId="32" applyNumberFormat="1" applyFont="1" applyFill="1" applyBorder="1" applyAlignment="1">
      <alignment horizontal="center" vertical="center"/>
      <protection/>
    </xf>
    <xf numFmtId="0" fontId="29" fillId="0" borderId="0" xfId="0" applyFont="1" applyAlignment="1">
      <alignment horizontal="center"/>
    </xf>
    <xf numFmtId="49" fontId="43" fillId="8" borderId="39" xfId="29" applyNumberFormat="1" applyFont="1" applyFill="1" applyBorder="1" applyAlignment="1" applyProtection="1">
      <alignment horizontal="left" vertical="center" wrapText="1"/>
      <protection/>
    </xf>
    <xf numFmtId="0" fontId="0" fillId="0" borderId="112" xfId="29" applyFont="1" applyBorder="1" applyAlignment="1" applyProtection="1">
      <alignment horizontal="left"/>
      <protection/>
    </xf>
    <xf numFmtId="0" fontId="0" fillId="0" borderId="113" xfId="29" applyFont="1" applyBorder="1" applyAlignment="1" applyProtection="1">
      <alignment horizontal="left"/>
      <protection/>
    </xf>
    <xf numFmtId="0" fontId="16" fillId="0" borderId="113" xfId="29" applyFont="1" applyBorder="1" applyAlignment="1" applyProtection="1">
      <alignment horizontal="left"/>
      <protection/>
    </xf>
    <xf numFmtId="0" fontId="0" fillId="0" borderId="114" xfId="29" applyFont="1" applyBorder="1" applyAlignment="1" applyProtection="1">
      <alignment horizontal="left"/>
      <protection/>
    </xf>
    <xf numFmtId="0" fontId="0" fillId="0" borderId="115" xfId="29" applyFont="1" applyBorder="1" applyAlignment="1" applyProtection="1">
      <alignment horizontal="left"/>
      <protection/>
    </xf>
    <xf numFmtId="0" fontId="0" fillId="0" borderId="116" xfId="29" applyFont="1" applyBorder="1" applyAlignment="1" applyProtection="1">
      <alignment horizontal="left"/>
      <protection/>
    </xf>
    <xf numFmtId="0" fontId="10" fillId="0" borderId="18" xfId="29" applyFont="1" applyBorder="1" applyAlignment="1" applyProtection="1">
      <alignment horizontal="left" vertical="center"/>
      <protection/>
    </xf>
    <xf numFmtId="0" fontId="10" fillId="0" borderId="78" xfId="29" applyFont="1" applyBorder="1" applyAlignment="1" applyProtection="1">
      <alignment horizontal="left" vertical="center"/>
      <protection/>
    </xf>
    <xf numFmtId="0" fontId="10" fillId="0" borderId="18" xfId="29" applyFont="1" applyBorder="1" applyAlignment="1" applyProtection="1">
      <alignment horizontal="left" vertical="top"/>
      <protection/>
    </xf>
    <xf numFmtId="0" fontId="10" fillId="0" borderId="78" xfId="29" applyFont="1" applyBorder="1" applyAlignment="1" applyProtection="1">
      <alignment horizontal="left" vertical="top"/>
      <protection/>
    </xf>
    <xf numFmtId="0" fontId="10" fillId="0" borderId="116" xfId="29" applyFont="1" applyBorder="1" applyAlignment="1" applyProtection="1">
      <alignment horizontal="left" vertical="center"/>
      <protection/>
    </xf>
    <xf numFmtId="0" fontId="10" fillId="0" borderId="115" xfId="29" applyFont="1" applyBorder="1" applyAlignment="1" applyProtection="1">
      <alignment horizontal="left" vertical="center"/>
      <protection/>
    </xf>
    <xf numFmtId="0" fontId="10" fillId="0" borderId="117" xfId="29" applyFont="1" applyBorder="1" applyAlignment="1" applyProtection="1">
      <alignment horizontal="left" vertical="center"/>
      <protection/>
    </xf>
    <xf numFmtId="0" fontId="10" fillId="0" borderId="118" xfId="29" applyFont="1" applyBorder="1" applyAlignment="1" applyProtection="1">
      <alignment horizontal="left" vertical="center"/>
      <protection/>
    </xf>
    <xf numFmtId="0" fontId="10" fillId="0" borderId="119" xfId="29" applyFont="1" applyBorder="1" applyAlignment="1" applyProtection="1">
      <alignment horizontal="left" vertical="center"/>
      <protection/>
    </xf>
    <xf numFmtId="0" fontId="10" fillId="0" borderId="120" xfId="29" applyFont="1" applyBorder="1" applyAlignment="1" applyProtection="1">
      <alignment horizontal="left" vertical="center"/>
      <protection/>
    </xf>
    <xf numFmtId="166" fontId="0" fillId="0" borderId="121" xfId="29" applyNumberFormat="1" applyFont="1" applyBorder="1" applyAlignment="1" applyProtection="1">
      <alignment horizontal="right" vertical="center"/>
      <protection/>
    </xf>
    <xf numFmtId="166" fontId="0" fillId="0" borderId="122" xfId="29" applyNumberFormat="1" applyFont="1" applyBorder="1" applyAlignment="1" applyProtection="1">
      <alignment horizontal="right" vertical="center"/>
      <protection/>
    </xf>
    <xf numFmtId="0" fontId="21" fillId="0" borderId="119" xfId="29" applyFont="1" applyFill="1" applyBorder="1" applyAlignment="1" applyProtection="1">
      <alignment horizontal="left" vertical="center"/>
      <protection/>
    </xf>
    <xf numFmtId="0" fontId="10" fillId="0" borderId="123" xfId="29" applyFont="1" applyFill="1" applyBorder="1" applyAlignment="1" applyProtection="1">
      <alignment horizontal="center" vertical="center"/>
      <protection/>
    </xf>
    <xf numFmtId="0" fontId="10" fillId="0" borderId="124" xfId="29" applyFont="1" applyFill="1" applyBorder="1" applyAlignment="1" applyProtection="1">
      <alignment horizontal="left" vertical="center"/>
      <protection/>
    </xf>
    <xf numFmtId="0" fontId="10" fillId="0" borderId="118" xfId="29" applyFont="1" applyFill="1" applyBorder="1" applyAlignment="1" applyProtection="1">
      <alignment horizontal="left" vertical="center"/>
      <protection/>
    </xf>
    <xf numFmtId="0" fontId="10" fillId="0" borderId="116" xfId="29" applyFont="1" applyFill="1" applyBorder="1" applyAlignment="1" applyProtection="1">
      <alignment horizontal="left" vertical="center"/>
      <protection/>
    </xf>
    <xf numFmtId="0" fontId="10" fillId="0" borderId="120" xfId="29" applyFont="1" applyFill="1" applyBorder="1" applyAlignment="1" applyProtection="1">
      <alignment horizontal="left" vertical="top"/>
      <protection/>
    </xf>
    <xf numFmtId="0" fontId="10" fillId="0" borderId="125" xfId="29" applyFont="1" applyFill="1" applyBorder="1" applyAlignment="1" applyProtection="1">
      <alignment horizontal="center" vertical="center"/>
      <protection/>
    </xf>
    <xf numFmtId="0" fontId="10" fillId="0" borderId="78" xfId="29" applyFont="1" applyFill="1" applyBorder="1" applyAlignment="1" applyProtection="1">
      <alignment horizontal="left" vertical="top"/>
      <protection/>
    </xf>
    <xf numFmtId="0" fontId="10" fillId="0" borderId="126" xfId="29" applyFont="1" applyFill="1" applyBorder="1" applyAlignment="1" applyProtection="1">
      <alignment horizontal="center" vertical="center"/>
      <protection/>
    </xf>
    <xf numFmtId="0" fontId="15" fillId="0" borderId="127" xfId="29" applyFont="1" applyFill="1" applyBorder="1" applyAlignment="1" applyProtection="1">
      <alignment horizontal="left" vertical="top"/>
      <protection locked="0"/>
    </xf>
    <xf numFmtId="0" fontId="10" fillId="0" borderId="128" xfId="29" applyFont="1" applyFill="1" applyBorder="1" applyAlignment="1" applyProtection="1">
      <alignment horizontal="center" vertical="center"/>
      <protection/>
    </xf>
    <xf numFmtId="0" fontId="15" fillId="0" borderId="129" xfId="29" applyFont="1" applyFill="1" applyBorder="1" applyAlignment="1" applyProtection="1">
      <alignment horizontal="left" vertical="top"/>
      <protection locked="0"/>
    </xf>
    <xf numFmtId="0" fontId="10" fillId="0" borderId="130" xfId="29" applyFont="1" applyFill="1" applyBorder="1" applyAlignment="1" applyProtection="1">
      <alignment horizontal="left" vertical="top"/>
      <protection/>
    </xf>
    <xf numFmtId="0" fontId="15" fillId="0" borderId="122" xfId="29" applyFont="1" applyFill="1" applyBorder="1" applyAlignment="1" applyProtection="1">
      <alignment horizontal="left" vertical="top"/>
      <protection locked="0"/>
    </xf>
    <xf numFmtId="0" fontId="10" fillId="0" borderId="18" xfId="29" applyFont="1" applyFill="1" applyBorder="1" applyAlignment="1" applyProtection="1">
      <alignment horizontal="left" vertical="top"/>
      <protection/>
    </xf>
    <xf numFmtId="0" fontId="15" fillId="0" borderId="120" xfId="29" applyFont="1" applyFill="1" applyBorder="1" applyAlignment="1" applyProtection="1">
      <alignment horizontal="left" vertical="top"/>
      <protection locked="0"/>
    </xf>
    <xf numFmtId="0" fontId="15" fillId="0" borderId="18" xfId="29" applyFont="1" applyFill="1" applyBorder="1" applyAlignment="1" applyProtection="1">
      <alignment horizontal="left" vertical="top"/>
      <protection locked="0"/>
    </xf>
    <xf numFmtId="0" fontId="15" fillId="0" borderId="78" xfId="29" applyFont="1" applyFill="1" applyBorder="1" applyAlignment="1" applyProtection="1">
      <alignment horizontal="left" vertical="top"/>
      <protection locked="0"/>
    </xf>
    <xf numFmtId="0" fontId="15" fillId="0" borderId="131" xfId="29" applyFont="1" applyFill="1" applyBorder="1" applyAlignment="1" applyProtection="1">
      <alignment horizontal="left" vertical="top"/>
      <protection locked="0"/>
    </xf>
    <xf numFmtId="0" fontId="0" fillId="0" borderId="0" xfId="0" applyBorder="1"/>
    <xf numFmtId="0" fontId="0" fillId="0" borderId="78" xfId="0" applyBorder="1"/>
    <xf numFmtId="0" fontId="10" fillId="0" borderId="132" xfId="29" applyFont="1" applyFill="1" applyBorder="1" applyAlignment="1" applyProtection="1">
      <alignment horizontal="left"/>
      <protection locked="0"/>
    </xf>
    <xf numFmtId="0" fontId="10" fillId="0" borderId="0" xfId="29" applyFont="1" applyFill="1" applyBorder="1" applyAlignment="1" applyProtection="1">
      <alignment horizontal="left" vertical="top"/>
      <protection locked="0"/>
    </xf>
    <xf numFmtId="0" fontId="11" fillId="0" borderId="0" xfId="29" applyFont="1" applyFill="1" applyBorder="1" applyAlignment="1" applyProtection="1">
      <alignment horizontal="left" vertical="top"/>
      <protection locked="0"/>
    </xf>
    <xf numFmtId="0" fontId="0" fillId="0" borderId="113" xfId="0" applyBorder="1"/>
    <xf numFmtId="0" fontId="47" fillId="0" borderId="113" xfId="0" applyFont="1" applyBorder="1"/>
    <xf numFmtId="0" fontId="18" fillId="0" borderId="133" xfId="29" applyFont="1" applyBorder="1" applyAlignment="1" applyProtection="1">
      <alignment horizontal="left" vertical="center"/>
      <protection/>
    </xf>
    <xf numFmtId="168" fontId="24" fillId="0" borderId="54" xfId="29" applyNumberFormat="1" applyFont="1" applyFill="1" applyBorder="1" applyAlignment="1" applyProtection="1">
      <alignment horizontal="right" vertical="center"/>
      <protection locked="0"/>
    </xf>
    <xf numFmtId="168" fontId="24" fillId="0" borderId="50" xfId="29" applyNumberFormat="1" applyFont="1" applyFill="1" applyBorder="1" applyAlignment="1" applyProtection="1">
      <alignment horizontal="right" vertical="center"/>
      <protection locked="0"/>
    </xf>
    <xf numFmtId="0" fontId="18" fillId="0" borderId="0" xfId="29" applyFont="1" applyBorder="1" applyAlignment="1" applyProtection="1">
      <alignment horizontal="left" vertical="center"/>
      <protection/>
    </xf>
    <xf numFmtId="0" fontId="10" fillId="0" borderId="0" xfId="29" applyFont="1" applyBorder="1" applyAlignment="1" applyProtection="1">
      <alignment horizontal="left" vertical="center"/>
      <protection/>
    </xf>
    <xf numFmtId="49" fontId="5" fillId="0" borderId="0" xfId="30" applyNumberFormat="1" applyFont="1" applyFill="1" applyBorder="1" applyAlignment="1" applyProtection="1">
      <alignment horizontal="left" vertical="center"/>
      <protection/>
    </xf>
    <xf numFmtId="49" fontId="5" fillId="0" borderId="66" xfId="30" applyNumberFormat="1" applyFont="1" applyFill="1" applyBorder="1" applyAlignment="1" applyProtection="1">
      <alignment horizontal="left" vertical="center"/>
      <protection/>
    </xf>
    <xf numFmtId="0" fontId="13" fillId="0" borderId="30" xfId="29" applyFont="1" applyBorder="1" applyAlignment="1" applyProtection="1">
      <alignment horizontal="left" vertical="center"/>
      <protection/>
    </xf>
    <xf numFmtId="0" fontId="13" fillId="0" borderId="30" xfId="29" applyFont="1" applyBorder="1" applyAlignment="1" applyProtection="1">
      <alignment horizontal="left" vertical="center" wrapText="1"/>
      <protection/>
    </xf>
    <xf numFmtId="0" fontId="13" fillId="0" borderId="33" xfId="29" applyFont="1" applyFill="1" applyBorder="1" applyAlignment="1" applyProtection="1">
      <alignment horizontal="left" vertical="center"/>
      <protection/>
    </xf>
    <xf numFmtId="0" fontId="13" fillId="0" borderId="31" xfId="29" applyFont="1" applyFill="1" applyBorder="1" applyAlignment="1" applyProtection="1">
      <alignment horizontal="left" vertical="center"/>
      <protection/>
    </xf>
    <xf numFmtId="0" fontId="13" fillId="0" borderId="134" xfId="29" applyFont="1" applyFill="1" applyBorder="1" applyAlignment="1" applyProtection="1">
      <alignment horizontal="left" vertical="center"/>
      <protection/>
    </xf>
    <xf numFmtId="0" fontId="13" fillId="0" borderId="32" xfId="29" applyFont="1" applyFill="1" applyBorder="1" applyAlignment="1" applyProtection="1">
      <alignment horizontal="left" vertical="center"/>
      <protection/>
    </xf>
    <xf numFmtId="0" fontId="13" fillId="0" borderId="0" xfId="29" applyFont="1" applyFill="1" applyBorder="1" applyAlignment="1" applyProtection="1">
      <alignment horizontal="left" vertical="center"/>
      <protection/>
    </xf>
    <xf numFmtId="0" fontId="13" fillId="0" borderId="120" xfId="29" applyFont="1" applyFill="1" applyBorder="1" applyAlignment="1" applyProtection="1">
      <alignment horizontal="left" vertical="center"/>
      <protection/>
    </xf>
    <xf numFmtId="168" fontId="37" fillId="0" borderId="39" xfId="29" applyNumberFormat="1" applyFont="1" applyFill="1" applyBorder="1" applyAlignment="1" applyProtection="1">
      <alignment horizontal="right" vertical="center"/>
      <protection/>
    </xf>
    <xf numFmtId="168" fontId="37" fillId="8" borderId="39" xfId="29" applyNumberFormat="1" applyFont="1" applyFill="1" applyBorder="1" applyAlignment="1" applyProtection="1">
      <alignment horizontal="right" vertical="center"/>
      <protection/>
    </xf>
    <xf numFmtId="0" fontId="43" fillId="0" borderId="39" xfId="29" applyFont="1" applyFill="1" applyBorder="1" applyAlignment="1" applyProtection="1">
      <alignment horizontal="left" vertical="center"/>
      <protection/>
    </xf>
    <xf numFmtId="49" fontId="43" fillId="8" borderId="39" xfId="29" applyNumberFormat="1" applyFont="1" applyFill="1" applyBorder="1" applyAlignment="1" applyProtection="1">
      <alignment horizontal="left" vertical="center"/>
      <protection/>
    </xf>
    <xf numFmtId="0" fontId="13" fillId="0" borderId="50" xfId="29" applyFont="1" applyFill="1" applyBorder="1" applyAlignment="1" applyProtection="1">
      <alignment horizontal="left" vertical="center"/>
      <protection/>
    </xf>
    <xf numFmtId="0" fontId="13" fillId="0" borderId="33" xfId="29" applyFont="1" applyFill="1" applyBorder="1" applyAlignment="1" applyProtection="1">
      <alignment horizontal="left" vertical="center"/>
      <protection locked="0"/>
    </xf>
    <xf numFmtId="168" fontId="11" fillId="0" borderId="55" xfId="29" applyNumberFormat="1" applyFont="1" applyFill="1" applyBorder="1" applyAlignment="1" applyProtection="1">
      <alignment horizontal="right" vertical="center"/>
      <protection locked="0"/>
    </xf>
    <xf numFmtId="168" fontId="11" fillId="0" borderId="132" xfId="29" applyNumberFormat="1" applyFont="1" applyFill="1" applyBorder="1" applyAlignment="1" applyProtection="1">
      <alignment horizontal="right" vertical="center"/>
      <protection locked="0"/>
    </xf>
    <xf numFmtId="0" fontId="29" fillId="0" borderId="0" xfId="0" applyFont="1"/>
    <xf numFmtId="0" fontId="29" fillId="0" borderId="0" xfId="0" applyFont="1" applyFill="1"/>
    <xf numFmtId="4" fontId="33" fillId="0" borderId="0" xfId="0" applyNumberFormat="1" applyFont="1" applyFill="1" applyAlignment="1">
      <alignment vertical="center"/>
    </xf>
    <xf numFmtId="4" fontId="33" fillId="0" borderId="0" xfId="0" applyNumberFormat="1" applyFont="1" applyFill="1" applyAlignment="1">
      <alignment horizontal="center" vertical="center"/>
    </xf>
    <xf numFmtId="4" fontId="24" fillId="0" borderId="60" xfId="31" applyNumberFormat="1" applyFont="1" applyFill="1" applyBorder="1" applyAlignment="1">
      <alignment horizontal="right" vertical="center" indent="1"/>
      <protection/>
    </xf>
    <xf numFmtId="165" fontId="32" fillId="0" borderId="0" xfId="31" applyNumberFormat="1" applyFont="1" applyFill="1" applyBorder="1" applyAlignment="1">
      <alignment vertical="center"/>
      <protection/>
    </xf>
    <xf numFmtId="0" fontId="32" fillId="0" borderId="0" xfId="31" applyFont="1" applyFill="1" applyBorder="1" applyAlignment="1">
      <alignment vertical="center"/>
      <protection/>
    </xf>
    <xf numFmtId="172" fontId="33" fillId="0" borderId="0" xfId="0" applyNumberFormat="1" applyFont="1" applyFill="1" applyAlignment="1">
      <alignment vertical="center"/>
    </xf>
    <xf numFmtId="4" fontId="11" fillId="0" borderId="62" xfId="0" applyNumberFormat="1" applyFont="1" applyFill="1" applyBorder="1" applyAlignment="1">
      <alignment horizontal="right" vertical="center" indent="1"/>
    </xf>
    <xf numFmtId="172" fontId="34" fillId="0" borderId="0" xfId="31" applyNumberFormat="1" applyFont="1" applyFill="1" applyBorder="1" applyAlignment="1">
      <alignment horizontal="left" vertical="center"/>
      <protection/>
    </xf>
    <xf numFmtId="4" fontId="11" fillId="0" borderId="65" xfId="0" applyNumberFormat="1" applyFont="1" applyFill="1" applyBorder="1" applyAlignment="1">
      <alignment horizontal="right" vertical="center" indent="1"/>
    </xf>
    <xf numFmtId="172" fontId="34" fillId="0" borderId="0" xfId="31" applyNumberFormat="1" applyFont="1" applyFill="1" applyBorder="1" applyAlignment="1">
      <alignment horizontal="left"/>
      <protection/>
    </xf>
    <xf numFmtId="0" fontId="34" fillId="0" borderId="0" xfId="31" applyFont="1" applyFill="1" applyAlignment="1">
      <alignment horizontal="left"/>
      <protection/>
    </xf>
    <xf numFmtId="0" fontId="11" fillId="0" borderId="60" xfId="31" applyFont="1" applyFill="1" applyBorder="1" applyAlignment="1">
      <alignment vertical="center" wrapText="1"/>
      <protection/>
    </xf>
    <xf numFmtId="49" fontId="11" fillId="0" borderId="62" xfId="0" applyNumberFormat="1" applyFont="1" applyFill="1" applyBorder="1" applyAlignment="1">
      <alignment horizontal="center" vertical="center"/>
    </xf>
    <xf numFmtId="0" fontId="11" fillId="0" borderId="62" xfId="0" applyFont="1" applyFill="1" applyBorder="1" applyAlignment="1">
      <alignment vertical="center" wrapText="1"/>
    </xf>
    <xf numFmtId="0" fontId="11" fillId="0" borderId="62" xfId="0" applyFont="1" applyFill="1" applyBorder="1" applyAlignment="1">
      <alignment horizontal="center" vertical="center"/>
    </xf>
    <xf numFmtId="49" fontId="11" fillId="0" borderId="60" xfId="33" applyNumberFormat="1" applyFont="1" applyFill="1" applyBorder="1" applyAlignment="1">
      <alignment horizontal="left" vertical="center"/>
      <protection/>
    </xf>
    <xf numFmtId="0" fontId="11" fillId="0" borderId="60" xfId="33" applyFont="1" applyFill="1" applyBorder="1" applyAlignment="1">
      <alignment vertical="center" wrapText="1"/>
      <protection/>
    </xf>
    <xf numFmtId="172" fontId="11" fillId="0" borderId="60" xfId="33" applyNumberFormat="1" applyFont="1" applyFill="1" applyBorder="1" applyAlignment="1">
      <alignment horizontal="right" vertical="center" indent="1"/>
      <protection/>
    </xf>
    <xf numFmtId="172" fontId="11" fillId="0" borderId="85" xfId="33" applyNumberFormat="1" applyFont="1" applyFill="1" applyBorder="1" applyAlignment="1">
      <alignment horizontal="right" vertical="center" indent="1"/>
      <protection/>
    </xf>
    <xf numFmtId="4" fontId="30" fillId="0" borderId="0" xfId="33" applyNumberFormat="1" applyFont="1" applyFill="1">
      <alignment/>
      <protection/>
    </xf>
    <xf numFmtId="49" fontId="11" fillId="0" borderId="63" xfId="33" applyNumberFormat="1" applyFont="1" applyFill="1" applyBorder="1" applyAlignment="1">
      <alignment horizontal="center" vertical="center"/>
      <protection/>
    </xf>
    <xf numFmtId="4" fontId="30" fillId="0" borderId="0" xfId="0" applyNumberFormat="1" applyFont="1" applyFill="1" applyAlignment="1">
      <alignment vertical="center"/>
    </xf>
    <xf numFmtId="4" fontId="30" fillId="0" borderId="0" xfId="0" applyNumberFormat="1" applyFont="1" applyFill="1" applyAlignment="1">
      <alignment horizontal="center" vertical="center"/>
    </xf>
    <xf numFmtId="4" fontId="30" fillId="0" borderId="0" xfId="0" applyNumberFormat="1" applyFont="1" applyFill="1" applyAlignment="1">
      <alignment horizontal="left" vertical="center"/>
    </xf>
    <xf numFmtId="0" fontId="33" fillId="5" borderId="0" xfId="0" applyFont="1" applyFill="1" applyAlignment="1">
      <alignment vertical="center" wrapText="1"/>
    </xf>
    <xf numFmtId="4" fontId="30" fillId="0" borderId="0" xfId="0" applyNumberFormat="1" applyFont="1" applyFill="1"/>
    <xf numFmtId="4" fontId="30" fillId="5" borderId="0" xfId="0" applyNumberFormat="1" applyFont="1" applyFill="1" applyAlignment="1">
      <alignment vertical="center"/>
    </xf>
    <xf numFmtId="4" fontId="30" fillId="5" borderId="0" xfId="0" applyNumberFormat="1" applyFont="1" applyFill="1" applyAlignment="1">
      <alignment horizontal="center" vertical="center"/>
    </xf>
    <xf numFmtId="0" fontId="30" fillId="5" borderId="0" xfId="0" applyFont="1" applyFill="1"/>
    <xf numFmtId="4" fontId="33" fillId="5" borderId="0" xfId="0" applyNumberFormat="1" applyFont="1" applyFill="1" applyAlignment="1">
      <alignment vertical="center"/>
    </xf>
    <xf numFmtId="4" fontId="33" fillId="5" borderId="0" xfId="0" applyNumberFormat="1" applyFont="1" applyFill="1" applyAlignment="1">
      <alignment horizontal="center" vertical="center"/>
    </xf>
    <xf numFmtId="0" fontId="33" fillId="5" borderId="0" xfId="0" applyFont="1" applyFill="1"/>
    <xf numFmtId="0" fontId="30" fillId="0" borderId="0" xfId="0" applyFont="1" applyFill="1" applyAlignment="1">
      <alignment horizontal="center"/>
    </xf>
    <xf numFmtId="49" fontId="44" fillId="8" borderId="60" xfId="30" applyNumberFormat="1" applyFont="1" applyFill="1" applyBorder="1" applyAlignment="1" applyProtection="1">
      <alignment horizontal="left" vertical="center" wrapText="1"/>
      <protection/>
    </xf>
    <xf numFmtId="49" fontId="44" fillId="8" borderId="60" xfId="30" applyNumberFormat="1" applyFont="1" applyFill="1" applyBorder="1" applyAlignment="1" applyProtection="1">
      <alignment horizontal="center" vertical="center"/>
      <protection/>
    </xf>
    <xf numFmtId="0" fontId="30" fillId="8" borderId="0" xfId="0" applyFont="1" applyFill="1"/>
    <xf numFmtId="49" fontId="24" fillId="0" borderId="60" xfId="31" applyNumberFormat="1" applyFont="1" applyFill="1" applyBorder="1" applyAlignment="1">
      <alignment horizontal="left" vertical="center"/>
      <protection/>
    </xf>
    <xf numFmtId="0" fontId="24" fillId="0" borderId="60" xfId="31" applyFont="1" applyFill="1" applyBorder="1" applyAlignment="1">
      <alignment vertical="center" wrapText="1"/>
      <protection/>
    </xf>
    <xf numFmtId="49" fontId="24" fillId="0" borderId="60" xfId="31" applyNumberFormat="1" applyFont="1" applyFill="1" applyBorder="1" applyAlignment="1">
      <alignment horizontal="center" vertical="center" shrinkToFit="1"/>
      <protection/>
    </xf>
    <xf numFmtId="171" fontId="24" fillId="0" borderId="60" xfId="31" applyNumberFormat="1" applyFont="1" applyFill="1" applyBorder="1" applyAlignment="1">
      <alignment horizontal="right" vertical="center" indent="1"/>
      <protection/>
    </xf>
    <xf numFmtId="171" fontId="24" fillId="0" borderId="85" xfId="31" applyNumberFormat="1" applyFont="1" applyFill="1" applyBorder="1" applyAlignment="1">
      <alignment horizontal="right" vertical="center" indent="1"/>
      <protection/>
    </xf>
    <xf numFmtId="171" fontId="32" fillId="0" borderId="0" xfId="31" applyNumberFormat="1" applyFont="1" applyFill="1" applyBorder="1" applyAlignment="1">
      <alignment horizontal="right" vertical="center" indent="1"/>
      <protection/>
    </xf>
    <xf numFmtId="0" fontId="32" fillId="0" borderId="0" xfId="31" applyFont="1" applyFill="1" applyBorder="1">
      <alignment/>
      <protection/>
    </xf>
    <xf numFmtId="0" fontId="32" fillId="0" borderId="0" xfId="31" applyFont="1" applyFill="1">
      <alignment/>
      <protection/>
    </xf>
    <xf numFmtId="0" fontId="24" fillId="0" borderId="0" xfId="31" applyFont="1" applyFill="1">
      <alignment/>
      <protection/>
    </xf>
    <xf numFmtId="0" fontId="32" fillId="0" borderId="0" xfId="31" applyFont="1" applyFill="1" applyBorder="1" applyAlignment="1">
      <alignment horizontal="right" vertical="center" indent="1"/>
      <protection/>
    </xf>
    <xf numFmtId="0" fontId="0" fillId="0" borderId="0" xfId="33" applyFont="1" applyFill="1">
      <alignment/>
      <protection/>
    </xf>
    <xf numFmtId="49" fontId="11" fillId="0" borderId="63" xfId="31" applyNumberFormat="1" applyFont="1" applyFill="1" applyBorder="1" applyAlignment="1">
      <alignment horizontal="center" vertical="center"/>
      <protection/>
    </xf>
    <xf numFmtId="49" fontId="11" fillId="0" borderId="60" xfId="31" applyNumberFormat="1" applyFont="1" applyFill="1" applyBorder="1" applyAlignment="1">
      <alignment horizontal="left" vertical="center"/>
      <protection/>
    </xf>
    <xf numFmtId="172" fontId="11" fillId="0" borderId="60" xfId="31" applyNumberFormat="1" applyFont="1" applyFill="1" applyBorder="1" applyAlignment="1">
      <alignment horizontal="right" vertical="center" indent="1"/>
      <protection/>
    </xf>
    <xf numFmtId="172" fontId="11" fillId="0" borderId="85" xfId="31" applyNumberFormat="1" applyFont="1" applyFill="1" applyBorder="1" applyAlignment="1">
      <alignment horizontal="right" vertical="center" indent="1"/>
      <protection/>
    </xf>
    <xf numFmtId="172" fontId="30" fillId="0" borderId="0" xfId="31" applyNumberFormat="1" applyFont="1" applyFill="1" applyBorder="1">
      <alignment/>
      <protection/>
    </xf>
    <xf numFmtId="172" fontId="30" fillId="0" borderId="0" xfId="31" applyNumberFormat="1" applyFont="1" applyFill="1">
      <alignment/>
      <protection/>
    </xf>
    <xf numFmtId="4" fontId="30" fillId="0" borderId="0" xfId="31" applyNumberFormat="1" applyFont="1" applyFill="1">
      <alignment/>
      <protection/>
    </xf>
    <xf numFmtId="0" fontId="0" fillId="0" borderId="0" xfId="31" applyFont="1" applyFill="1">
      <alignment/>
      <protection/>
    </xf>
    <xf numFmtId="165" fontId="24" fillId="0" borderId="60" xfId="31" applyNumberFormat="1" applyFont="1" applyFill="1" applyBorder="1" applyAlignment="1">
      <alignment horizontal="right" vertical="center" indent="1"/>
      <protection/>
    </xf>
    <xf numFmtId="165" fontId="24" fillId="0" borderId="85" xfId="31" applyNumberFormat="1" applyFont="1" applyFill="1" applyBorder="1" applyAlignment="1">
      <alignment horizontal="right" vertical="center" indent="1"/>
      <protection/>
    </xf>
    <xf numFmtId="0" fontId="33" fillId="4" borderId="0" xfId="0" applyFont="1" applyFill="1"/>
    <xf numFmtId="165" fontId="30" fillId="0" borderId="0" xfId="30" applyNumberFormat="1" applyFont="1" applyFill="1" applyBorder="1" applyAlignment="1" applyProtection="1">
      <alignment horizontal="right" vertical="center"/>
      <protection/>
    </xf>
    <xf numFmtId="0" fontId="44" fillId="8" borderId="60" xfId="30" applyNumberFormat="1" applyFont="1" applyFill="1" applyBorder="1" applyAlignment="1" applyProtection="1">
      <alignment horizontal="left" vertical="center" wrapText="1"/>
      <protection/>
    </xf>
    <xf numFmtId="49" fontId="11" fillId="0" borderId="62" xfId="0" applyNumberFormat="1" applyFont="1" applyBorder="1" applyAlignment="1">
      <alignment horizontal="center" vertical="center"/>
    </xf>
    <xf numFmtId="4" fontId="30" fillId="0" borderId="0" xfId="0" applyNumberFormat="1" applyFont="1" applyAlignment="1">
      <alignment vertical="center"/>
    </xf>
    <xf numFmtId="4" fontId="11" fillId="0" borderId="60" xfId="34" applyNumberFormat="1" applyFont="1" applyFill="1" applyBorder="1" applyAlignment="1">
      <alignment horizontal="right" vertical="center" indent="1"/>
      <protection/>
    </xf>
    <xf numFmtId="4" fontId="30" fillId="0" borderId="0" xfId="0" applyNumberFormat="1" applyFont="1" applyFill="1" applyBorder="1" applyAlignment="1">
      <alignment vertical="center"/>
    </xf>
    <xf numFmtId="172" fontId="33" fillId="0" borderId="0" xfId="35" applyNumberFormat="1" applyFont="1" applyFill="1" applyBorder="1">
      <alignment/>
      <protection/>
    </xf>
    <xf numFmtId="4" fontId="33" fillId="0" borderId="0" xfId="35" applyNumberFormat="1" applyFont="1" applyFill="1">
      <alignment/>
      <protection/>
    </xf>
    <xf numFmtId="49" fontId="24" fillId="0" borderId="63" xfId="34" applyNumberFormat="1" applyFont="1" applyFill="1" applyBorder="1" applyAlignment="1">
      <alignment horizontal="center" vertical="center"/>
      <protection/>
    </xf>
    <xf numFmtId="49" fontId="24" fillId="0" borderId="60" xfId="34" applyNumberFormat="1" applyFont="1" applyFill="1" applyBorder="1" applyAlignment="1">
      <alignment horizontal="left" vertical="center"/>
      <protection/>
    </xf>
    <xf numFmtId="0" fontId="24" fillId="0" borderId="60" xfId="34" applyFont="1" applyFill="1" applyBorder="1" applyAlignment="1">
      <alignment vertical="center" wrapText="1"/>
      <protection/>
    </xf>
    <xf numFmtId="49" fontId="24" fillId="0" borderId="60" xfId="34" applyNumberFormat="1" applyFont="1" applyFill="1" applyBorder="1" applyAlignment="1">
      <alignment horizontal="center" vertical="center" shrinkToFit="1"/>
      <protection/>
    </xf>
    <xf numFmtId="4" fontId="24" fillId="0" borderId="60" xfId="34" applyNumberFormat="1" applyFont="1" applyFill="1" applyBorder="1" applyAlignment="1">
      <alignment horizontal="right" vertical="center" indent="1"/>
      <protection/>
    </xf>
    <xf numFmtId="171" fontId="32" fillId="0" borderId="0" xfId="34" applyNumberFormat="1" applyFont="1" applyFill="1" applyBorder="1" applyAlignment="1">
      <alignment vertical="center"/>
      <protection/>
    </xf>
    <xf numFmtId="0" fontId="32" fillId="0" borderId="0" xfId="34" applyFont="1" applyFill="1" applyBorder="1" applyAlignment="1">
      <alignment vertical="center"/>
      <protection/>
    </xf>
    <xf numFmtId="0" fontId="32" fillId="0" borderId="0" xfId="34" applyFont="1" applyFill="1" applyAlignment="1">
      <alignment vertical="center"/>
      <protection/>
    </xf>
    <xf numFmtId="0" fontId="24" fillId="0" borderId="0" xfId="34" applyFont="1" applyFill="1" applyAlignment="1">
      <alignment vertical="center"/>
      <protection/>
    </xf>
    <xf numFmtId="171" fontId="24" fillId="0" borderId="60" xfId="34" applyNumberFormat="1" applyFont="1" applyFill="1" applyBorder="1" applyAlignment="1">
      <alignment horizontal="right" vertical="center" indent="1"/>
      <protection/>
    </xf>
    <xf numFmtId="171" fontId="24" fillId="0" borderId="85" xfId="34" applyNumberFormat="1" applyFont="1" applyFill="1" applyBorder="1" applyAlignment="1">
      <alignment horizontal="right" vertical="center" indent="1"/>
      <protection/>
    </xf>
    <xf numFmtId="165" fontId="33" fillId="0" borderId="0" xfId="0" applyNumberFormat="1" applyFont="1" applyFill="1" applyBorder="1" applyAlignment="1">
      <alignment vertical="center"/>
    </xf>
    <xf numFmtId="0" fontId="33" fillId="0" borderId="0" xfId="0" applyFont="1" applyFill="1" applyBorder="1" applyAlignment="1">
      <alignment vertical="center"/>
    </xf>
    <xf numFmtId="49" fontId="11" fillId="0" borderId="65" xfId="0" applyNumberFormat="1" applyFont="1" applyBorder="1" applyAlignment="1">
      <alignment horizontal="center" vertical="center"/>
    </xf>
    <xf numFmtId="49" fontId="25" fillId="0" borderId="61" xfId="0" applyNumberFormat="1" applyFont="1" applyFill="1" applyBorder="1" applyAlignment="1">
      <alignment horizontal="center" vertical="center"/>
    </xf>
    <xf numFmtId="49" fontId="46" fillId="4" borderId="92" xfId="0" applyNumberFormat="1" applyFont="1" applyFill="1" applyBorder="1"/>
    <xf numFmtId="0" fontId="46" fillId="4" borderId="93" xfId="30" applyFont="1" applyFill="1" applyBorder="1" applyAlignment="1">
      <alignment vertical="center"/>
      <protection/>
    </xf>
    <xf numFmtId="0" fontId="39" fillId="4" borderId="93" xfId="30" applyFont="1" applyFill="1" applyBorder="1" applyAlignment="1">
      <alignment vertical="center"/>
      <protection/>
    </xf>
    <xf numFmtId="0" fontId="46" fillId="4" borderId="93" xfId="30" applyFont="1" applyFill="1" applyBorder="1" applyAlignment="1">
      <alignment horizontal="center" vertical="center"/>
      <protection/>
    </xf>
    <xf numFmtId="4" fontId="39" fillId="4" borderId="93" xfId="30" applyNumberFormat="1" applyFont="1" applyFill="1" applyBorder="1" applyAlignment="1" applyProtection="1">
      <alignment horizontal="right" vertical="center"/>
      <protection/>
    </xf>
    <xf numFmtId="165" fontId="46" fillId="4" borderId="93" xfId="30" applyNumberFormat="1" applyFont="1" applyFill="1" applyBorder="1" applyAlignment="1">
      <alignment vertical="center"/>
      <protection/>
    </xf>
    <xf numFmtId="165" fontId="46" fillId="4" borderId="94" xfId="30" applyNumberFormat="1" applyFont="1" applyFill="1" applyBorder="1" applyAlignment="1">
      <alignment vertical="center"/>
      <protection/>
    </xf>
    <xf numFmtId="0" fontId="29" fillId="4" borderId="0" xfId="0" applyFont="1" applyFill="1"/>
    <xf numFmtId="4" fontId="29" fillId="0" borderId="0" xfId="0" applyNumberFormat="1" applyFont="1" applyAlignment="1">
      <alignment vertical="center"/>
    </xf>
    <xf numFmtId="4" fontId="29" fillId="0" borderId="0" xfId="0" applyNumberFormat="1" applyFont="1" applyAlignment="1">
      <alignment horizontal="center" vertical="center"/>
    </xf>
    <xf numFmtId="4" fontId="29" fillId="0" borderId="0" xfId="0" applyNumberFormat="1" applyFont="1" applyFill="1" applyAlignment="1">
      <alignment vertical="center"/>
    </xf>
    <xf numFmtId="4" fontId="29" fillId="0" borderId="0" xfId="0" applyNumberFormat="1" applyFont="1" applyFill="1" applyAlignment="1">
      <alignment horizontal="center" vertical="center"/>
    </xf>
    <xf numFmtId="49" fontId="11" fillId="0" borderId="61" xfId="33" applyNumberFormat="1" applyFont="1" applyFill="1" applyBorder="1" applyAlignment="1">
      <alignment horizontal="center" vertical="center"/>
      <protection/>
    </xf>
    <xf numFmtId="49" fontId="11" fillId="0" borderId="62" xfId="33" applyNumberFormat="1" applyFont="1" applyFill="1" applyBorder="1" applyAlignment="1">
      <alignment horizontal="left" vertical="center"/>
      <protection/>
    </xf>
    <xf numFmtId="0" fontId="11" fillId="0" borderId="62" xfId="33" applyFont="1" applyFill="1" applyBorder="1" applyAlignment="1">
      <alignment vertical="center" wrapText="1"/>
      <protection/>
    </xf>
    <xf numFmtId="172" fontId="11" fillId="0" borderId="62" xfId="33" applyNumberFormat="1" applyFont="1" applyFill="1" applyBorder="1" applyAlignment="1">
      <alignment horizontal="right" vertical="center" indent="1"/>
      <protection/>
    </xf>
    <xf numFmtId="172" fontId="11" fillId="0" borderId="79" xfId="33" applyNumberFormat="1" applyFont="1" applyFill="1" applyBorder="1" applyAlignment="1">
      <alignment horizontal="right" vertical="center" indent="1"/>
      <protection/>
    </xf>
    <xf numFmtId="49" fontId="44" fillId="8" borderId="81" xfId="0" applyNumberFormat="1" applyFont="1" applyFill="1" applyBorder="1" applyAlignment="1">
      <alignment horizontal="center" vertical="center"/>
    </xf>
    <xf numFmtId="49" fontId="9" fillId="8" borderId="82" xfId="30" applyNumberFormat="1" applyFont="1" applyFill="1" applyBorder="1" applyAlignment="1" applyProtection="1">
      <alignment horizontal="left" vertical="center"/>
      <protection/>
    </xf>
    <xf numFmtId="49" fontId="44" fillId="8" borderId="82" xfId="30" applyNumberFormat="1" applyFont="1" applyFill="1" applyBorder="1" applyAlignment="1" applyProtection="1">
      <alignment horizontal="left" vertical="center" wrapText="1"/>
      <protection/>
    </xf>
    <xf numFmtId="49" fontId="44" fillId="8" borderId="82" xfId="30" applyNumberFormat="1" applyFont="1" applyFill="1" applyBorder="1" applyAlignment="1" applyProtection="1">
      <alignment horizontal="center" vertical="center"/>
      <protection/>
    </xf>
    <xf numFmtId="4" fontId="44" fillId="8" borderId="82" xfId="30" applyNumberFormat="1" applyFont="1" applyFill="1" applyBorder="1" applyAlignment="1" applyProtection="1">
      <alignment horizontal="right" vertical="center" indent="1"/>
      <protection/>
    </xf>
    <xf numFmtId="165" fontId="44" fillId="8" borderId="82" xfId="30" applyNumberFormat="1" applyFont="1" applyFill="1" applyBorder="1" applyAlignment="1" applyProtection="1">
      <alignment horizontal="right" vertical="center" indent="1"/>
      <protection/>
    </xf>
    <xf numFmtId="165" fontId="44" fillId="8" borderId="88" xfId="30" applyNumberFormat="1" applyFont="1" applyFill="1" applyBorder="1" applyAlignment="1" applyProtection="1">
      <alignment horizontal="right" vertical="center" indent="1"/>
      <protection/>
    </xf>
    <xf numFmtId="0" fontId="25" fillId="0" borderId="0" xfId="0" applyFont="1" applyFill="1" applyAlignment="1">
      <alignment horizontal="center"/>
    </xf>
    <xf numFmtId="172" fontId="11" fillId="0" borderId="85" xfId="0" applyNumberFormat="1" applyFont="1" applyFill="1" applyBorder="1" applyAlignment="1">
      <alignment horizontal="right" vertical="center" indent="1"/>
    </xf>
    <xf numFmtId="4" fontId="24" fillId="0" borderId="65" xfId="31" applyNumberFormat="1" applyFont="1" applyFill="1" applyBorder="1" applyAlignment="1">
      <alignment horizontal="right" vertical="center" indent="1"/>
      <protection/>
    </xf>
    <xf numFmtId="49" fontId="11" fillId="0" borderId="65" xfId="0" applyNumberFormat="1" applyFont="1" applyFill="1" applyBorder="1" applyAlignment="1">
      <alignment horizontal="center" vertical="center"/>
    </xf>
    <xf numFmtId="0" fontId="11" fillId="0" borderId="65" xfId="0" applyFont="1" applyFill="1" applyBorder="1" applyAlignment="1">
      <alignment vertical="center" wrapText="1"/>
    </xf>
    <xf numFmtId="0" fontId="11" fillId="0" borderId="65" xfId="0" applyFont="1" applyFill="1" applyBorder="1" applyAlignment="1">
      <alignment horizontal="center" vertical="center"/>
    </xf>
    <xf numFmtId="4" fontId="24" fillId="0" borderId="62" xfId="34" applyNumberFormat="1" applyFont="1" applyFill="1" applyBorder="1" applyAlignment="1">
      <alignment horizontal="right" vertical="center" indent="1"/>
      <protection/>
    </xf>
    <xf numFmtId="4" fontId="44" fillId="8" borderId="0" xfId="0" applyNumberFormat="1" applyFont="1" applyFill="1" applyAlignment="1">
      <alignment vertical="center"/>
    </xf>
    <xf numFmtId="4" fontId="44" fillId="8" borderId="0" xfId="0" applyNumberFormat="1" applyFont="1" applyFill="1" applyAlignment="1">
      <alignment horizontal="center" vertical="center"/>
    </xf>
    <xf numFmtId="4" fontId="30" fillId="0" borderId="0" xfId="0" applyNumberFormat="1" applyFont="1" applyFill="1" applyAlignment="1">
      <alignment horizontal="center" vertical="center" wrapText="1"/>
    </xf>
    <xf numFmtId="0" fontId="29" fillId="0" borderId="0" xfId="0" applyFont="1" applyAlignment="1">
      <alignment horizontal="center"/>
    </xf>
    <xf numFmtId="0" fontId="29" fillId="0" borderId="0" xfId="0" applyFont="1" applyFill="1" applyAlignment="1">
      <alignment horizontal="center"/>
    </xf>
    <xf numFmtId="0" fontId="30" fillId="8" borderId="0" xfId="0" applyFont="1" applyFill="1" applyAlignment="1">
      <alignment horizontal="center"/>
    </xf>
    <xf numFmtId="49" fontId="9" fillId="8" borderId="63" xfId="0" applyNumberFormat="1" applyFont="1" applyFill="1" applyBorder="1" applyAlignment="1">
      <alignment horizontal="center" vertical="center"/>
    </xf>
    <xf numFmtId="49" fontId="9" fillId="8" borderId="60" xfId="30" applyNumberFormat="1" applyFont="1" applyFill="1" applyBorder="1" applyAlignment="1" applyProtection="1">
      <alignment horizontal="left" vertical="center"/>
      <protection/>
    </xf>
    <xf numFmtId="4" fontId="9" fillId="8" borderId="60" xfId="23" applyNumberFormat="1" applyFont="1" applyFill="1" applyBorder="1" applyAlignment="1">
      <alignment horizontal="center" vertical="center" wrapText="1"/>
      <protection/>
    </xf>
    <xf numFmtId="4" fontId="9" fillId="8" borderId="60" xfId="30" applyNumberFormat="1" applyFont="1" applyFill="1" applyBorder="1" applyAlignment="1" applyProtection="1">
      <alignment horizontal="right" vertical="center" indent="1"/>
      <protection/>
    </xf>
    <xf numFmtId="165" fontId="9" fillId="8" borderId="60" xfId="30" applyNumberFormat="1" applyFont="1" applyFill="1" applyBorder="1" applyAlignment="1" applyProtection="1">
      <alignment horizontal="right" vertical="center" indent="1"/>
      <protection/>
    </xf>
    <xf numFmtId="165" fontId="9" fillId="8" borderId="85" xfId="30" applyNumberFormat="1" applyFont="1" applyFill="1" applyBorder="1" applyAlignment="1" applyProtection="1">
      <alignment horizontal="right" vertical="center" indent="1"/>
      <protection/>
    </xf>
    <xf numFmtId="0" fontId="33" fillId="8" borderId="0" xfId="0" applyFont="1" applyFill="1"/>
    <xf numFmtId="4" fontId="44" fillId="8" borderId="60" xfId="23" applyNumberFormat="1" applyFont="1" applyFill="1" applyBorder="1" applyAlignment="1">
      <alignment horizontal="center" vertical="center" wrapText="1"/>
      <protection/>
    </xf>
    <xf numFmtId="49" fontId="41" fillId="4" borderId="92" xfId="0" applyNumberFormat="1" applyFont="1" applyFill="1" applyBorder="1"/>
    <xf numFmtId="0" fontId="41" fillId="4" borderId="93" xfId="30" applyFont="1" applyFill="1" applyBorder="1" applyAlignment="1">
      <alignment vertical="center"/>
      <protection/>
    </xf>
    <xf numFmtId="0" fontId="40" fillId="4" borderId="93" xfId="30" applyFont="1" applyFill="1" applyBorder="1" applyAlignment="1">
      <alignment vertical="center"/>
      <protection/>
    </xf>
    <xf numFmtId="0" fontId="41" fillId="4" borderId="93" xfId="30" applyFont="1" applyFill="1" applyBorder="1" applyAlignment="1">
      <alignment horizontal="center" vertical="center"/>
      <protection/>
    </xf>
    <xf numFmtId="0" fontId="41" fillId="4" borderId="93" xfId="30" applyFont="1" applyFill="1" applyBorder="1" applyAlignment="1">
      <alignment horizontal="right" vertical="center" indent="1"/>
      <protection/>
    </xf>
    <xf numFmtId="164" fontId="40" fillId="4" borderId="93" xfId="30" applyNumberFormat="1" applyFont="1" applyFill="1" applyBorder="1" applyAlignment="1" applyProtection="1">
      <alignment horizontal="right" vertical="center" indent="1"/>
      <protection/>
    </xf>
    <xf numFmtId="165" fontId="41" fillId="4" borderId="93" xfId="30" applyNumberFormat="1" applyFont="1" applyFill="1" applyBorder="1" applyAlignment="1">
      <alignment horizontal="right" vertical="center" indent="1"/>
      <protection/>
    </xf>
    <xf numFmtId="165" fontId="41" fillId="4" borderId="94" xfId="30" applyNumberFormat="1" applyFont="1" applyFill="1" applyBorder="1" applyAlignment="1">
      <alignment horizontal="right" vertical="center" indent="1"/>
      <protection/>
    </xf>
    <xf numFmtId="4" fontId="41" fillId="4" borderId="0" xfId="0" applyNumberFormat="1" applyFont="1" applyFill="1" applyAlignment="1">
      <alignment vertical="center"/>
    </xf>
    <xf numFmtId="4" fontId="41" fillId="4" borderId="0" xfId="0" applyNumberFormat="1" applyFont="1" applyFill="1" applyAlignment="1">
      <alignment horizontal="center" vertical="center"/>
    </xf>
    <xf numFmtId="164" fontId="39" fillId="4" borderId="3" xfId="30" applyNumberFormat="1" applyFont="1" applyFill="1" applyBorder="1" applyAlignment="1" applyProtection="1">
      <alignment horizontal="center" vertical="center"/>
      <protection/>
    </xf>
    <xf numFmtId="0" fontId="11" fillId="0" borderId="91" xfId="0" applyFont="1" applyFill="1" applyBorder="1" applyAlignment="1">
      <alignment vertical="center" wrapText="1"/>
    </xf>
    <xf numFmtId="49" fontId="11" fillId="0" borderId="61" xfId="0" applyNumberFormat="1" applyFont="1" applyBorder="1" applyAlignment="1">
      <alignment horizontal="center" vertical="center" wrapText="1"/>
    </xf>
    <xf numFmtId="0" fontId="11" fillId="0" borderId="62" xfId="0" applyFont="1" applyFill="1" applyBorder="1" applyAlignment="1">
      <alignment wrapText="1"/>
    </xf>
    <xf numFmtId="0" fontId="11" fillId="0" borderId="62" xfId="0" applyFont="1" applyBorder="1" applyAlignment="1">
      <alignment horizontal="center" vertical="center" wrapText="1"/>
    </xf>
    <xf numFmtId="4" fontId="11" fillId="0" borderId="62" xfId="0" applyNumberFormat="1" applyFont="1" applyBorder="1" applyAlignment="1">
      <alignment horizontal="right" vertical="center" wrapText="1" indent="1"/>
    </xf>
    <xf numFmtId="4" fontId="11" fillId="0" borderId="62" xfId="0" applyNumberFormat="1" applyFont="1" applyFill="1" applyBorder="1" applyAlignment="1">
      <alignment horizontal="right" vertical="center" wrapText="1" indent="1"/>
    </xf>
    <xf numFmtId="0" fontId="0" fillId="0" borderId="62" xfId="0" applyFont="1" applyBorder="1" applyAlignment="1">
      <alignment vertical="center"/>
    </xf>
    <xf numFmtId="0" fontId="0" fillId="0" borderId="79" xfId="0" applyFont="1" applyBorder="1" applyAlignment="1">
      <alignment vertical="center"/>
    </xf>
    <xf numFmtId="0" fontId="0" fillId="0" borderId="0" xfId="0" applyFont="1" applyAlignment="1">
      <alignment vertical="center"/>
    </xf>
    <xf numFmtId="0" fontId="11" fillId="0" borderId="60" xfId="0" applyFont="1" applyFill="1" applyBorder="1" applyAlignment="1">
      <alignment horizontal="center" vertical="center" wrapText="1"/>
    </xf>
    <xf numFmtId="4" fontId="11" fillId="0" borderId="60" xfId="0" applyNumberFormat="1" applyFont="1" applyFill="1" applyBorder="1" applyAlignment="1">
      <alignment horizontal="right" vertical="center" wrapText="1" indent="1"/>
    </xf>
    <xf numFmtId="0" fontId="0" fillId="0" borderId="0" xfId="0" applyFont="1" applyFill="1" applyAlignment="1">
      <alignment vertical="center"/>
    </xf>
    <xf numFmtId="0" fontId="0" fillId="0" borderId="60" xfId="0" applyFont="1" applyFill="1" applyBorder="1" applyAlignment="1">
      <alignment vertical="center"/>
    </xf>
    <xf numFmtId="0" fontId="0" fillId="0" borderId="85" xfId="0" applyFont="1" applyFill="1" applyBorder="1" applyAlignment="1">
      <alignment vertical="center"/>
    </xf>
    <xf numFmtId="174" fontId="44" fillId="8" borderId="60" xfId="30" applyNumberFormat="1" applyFont="1" applyFill="1" applyBorder="1" applyAlignment="1" applyProtection="1">
      <alignment horizontal="left" vertical="center" wrapText="1"/>
      <protection/>
    </xf>
    <xf numFmtId="0" fontId="41" fillId="4" borderId="0" xfId="0" applyFont="1" applyFill="1"/>
    <xf numFmtId="49" fontId="9" fillId="0" borderId="84" xfId="30" applyNumberFormat="1" applyFont="1" applyFill="1" applyBorder="1" applyAlignment="1" applyProtection="1">
      <alignment horizontal="left" vertical="center" wrapText="1"/>
      <protection/>
    </xf>
    <xf numFmtId="49" fontId="44" fillId="0" borderId="60" xfId="30" applyNumberFormat="1" applyFont="1" applyFill="1" applyBorder="1" applyAlignment="1" applyProtection="1">
      <alignment horizontal="left" vertical="center"/>
      <protection/>
    </xf>
    <xf numFmtId="49" fontId="44" fillId="0" borderId="63" xfId="0" applyNumberFormat="1" applyFont="1" applyFill="1" applyBorder="1" applyAlignment="1">
      <alignment horizontal="center" vertical="center"/>
    </xf>
    <xf numFmtId="4" fontId="44" fillId="0" borderId="60" xfId="30" applyNumberFormat="1" applyFont="1" applyFill="1" applyBorder="1" applyAlignment="1" applyProtection="1">
      <alignment horizontal="right" vertical="center" indent="1"/>
      <protection/>
    </xf>
    <xf numFmtId="165" fontId="44" fillId="0" borderId="60" xfId="30" applyNumberFormat="1" applyFont="1" applyFill="1" applyBorder="1" applyAlignment="1" applyProtection="1">
      <alignment horizontal="right" vertical="center" indent="1"/>
      <protection/>
    </xf>
    <xf numFmtId="172" fontId="44" fillId="0" borderId="85" xfId="30" applyNumberFormat="1" applyFont="1" applyFill="1" applyBorder="1" applyAlignment="1" applyProtection="1">
      <alignment horizontal="right" vertical="center" indent="1"/>
      <protection/>
    </xf>
    <xf numFmtId="0" fontId="44" fillId="0" borderId="0" xfId="0" applyFont="1" applyFill="1"/>
    <xf numFmtId="2" fontId="9" fillId="0" borderId="60" xfId="30" applyNumberFormat="1" applyFont="1" applyFill="1" applyBorder="1" applyAlignment="1" applyProtection="1">
      <alignment horizontal="left" vertical="center" wrapText="1"/>
      <protection/>
    </xf>
    <xf numFmtId="4" fontId="11" fillId="0" borderId="0" xfId="0" applyNumberFormat="1" applyFont="1" applyAlignment="1">
      <alignment vertical="center"/>
    </xf>
    <xf numFmtId="172" fontId="41" fillId="4" borderId="94" xfId="30" applyNumberFormat="1" applyFont="1" applyFill="1" applyBorder="1" applyAlignment="1">
      <alignment horizontal="right" vertical="center" indent="1"/>
      <protection/>
    </xf>
    <xf numFmtId="0" fontId="24" fillId="0" borderId="0" xfId="31" applyFont="1" applyFill="1" applyBorder="1" applyAlignment="1">
      <alignment vertical="center"/>
      <protection/>
    </xf>
    <xf numFmtId="4" fontId="9" fillId="0" borderId="60" xfId="30" applyNumberFormat="1" applyFont="1" applyFill="1" applyBorder="1" applyAlignment="1" applyProtection="1">
      <alignment horizontal="center" vertical="center"/>
      <protection/>
    </xf>
    <xf numFmtId="0" fontId="9" fillId="0" borderId="60" xfId="30" applyNumberFormat="1" applyFont="1" applyFill="1" applyBorder="1" applyAlignment="1" applyProtection="1">
      <alignment horizontal="left" vertical="center" wrapText="1"/>
      <protection/>
    </xf>
    <xf numFmtId="4" fontId="9" fillId="0" borderId="60" xfId="30" applyNumberFormat="1" applyFont="1" applyFill="1" applyBorder="1" applyAlignment="1" applyProtection="1">
      <alignment horizontal="left" vertical="center"/>
      <protection/>
    </xf>
    <xf numFmtId="49" fontId="9" fillId="0" borderId="91" xfId="30" applyNumberFormat="1" applyFont="1" applyFill="1" applyBorder="1" applyAlignment="1" applyProtection="1">
      <alignment horizontal="center" vertical="center"/>
      <protection/>
    </xf>
    <xf numFmtId="49" fontId="72" fillId="9" borderId="63" xfId="0" applyNumberFormat="1" applyFont="1" applyFill="1" applyBorder="1" applyAlignment="1">
      <alignment horizontal="center" vertical="center"/>
    </xf>
    <xf numFmtId="49" fontId="72" fillId="9" borderId="60" xfId="30" applyNumberFormat="1" applyFont="1" applyFill="1" applyBorder="1" applyAlignment="1" applyProtection="1">
      <alignment horizontal="left" vertical="center"/>
      <protection/>
    </xf>
    <xf numFmtId="49" fontId="72" fillId="9" borderId="60" xfId="30" applyNumberFormat="1" applyFont="1" applyFill="1" applyBorder="1" applyAlignment="1" applyProtection="1">
      <alignment horizontal="left" vertical="center" wrapText="1"/>
      <protection/>
    </xf>
    <xf numFmtId="49" fontId="72" fillId="9" borderId="60" xfId="30" applyNumberFormat="1" applyFont="1" applyFill="1" applyBorder="1" applyAlignment="1" applyProtection="1">
      <alignment horizontal="center" vertical="center"/>
      <protection/>
    </xf>
    <xf numFmtId="4" fontId="72" fillId="9" borderId="60" xfId="30" applyNumberFormat="1" applyFont="1" applyFill="1" applyBorder="1" applyAlignment="1" applyProtection="1">
      <alignment horizontal="right" vertical="center" indent="1"/>
      <protection/>
    </xf>
    <xf numFmtId="165" fontId="72" fillId="9" borderId="60" xfId="30" applyNumberFormat="1" applyFont="1" applyFill="1" applyBorder="1" applyAlignment="1" applyProtection="1">
      <alignment horizontal="right" vertical="center" indent="1"/>
      <protection/>
    </xf>
    <xf numFmtId="165" fontId="72" fillId="9" borderId="85" xfId="30" applyNumberFormat="1" applyFont="1" applyFill="1" applyBorder="1" applyAlignment="1" applyProtection="1">
      <alignment horizontal="right" vertical="center" indent="1"/>
      <protection/>
    </xf>
    <xf numFmtId="0" fontId="72" fillId="9" borderId="0" xfId="0" applyFont="1" applyFill="1"/>
    <xf numFmtId="49" fontId="72" fillId="9" borderId="91" xfId="30" applyNumberFormat="1" applyFont="1" applyFill="1" applyBorder="1" applyAlignment="1" applyProtection="1">
      <alignment horizontal="left" vertical="center"/>
      <protection/>
    </xf>
    <xf numFmtId="49" fontId="72" fillId="9" borderId="91" xfId="30" applyNumberFormat="1" applyFont="1" applyFill="1" applyBorder="1" applyAlignment="1" applyProtection="1">
      <alignment horizontal="left" vertical="center" wrapText="1"/>
      <protection/>
    </xf>
    <xf numFmtId="49" fontId="72" fillId="9" borderId="91" xfId="30" applyNumberFormat="1" applyFont="1" applyFill="1" applyBorder="1" applyAlignment="1" applyProtection="1">
      <alignment horizontal="center" vertical="center"/>
      <protection/>
    </xf>
    <xf numFmtId="4" fontId="72" fillId="9" borderId="91" xfId="30" applyNumberFormat="1" applyFont="1" applyFill="1" applyBorder="1" applyAlignment="1" applyProtection="1">
      <alignment horizontal="right" vertical="center" indent="1"/>
      <protection/>
    </xf>
    <xf numFmtId="165" fontId="72" fillId="9" borderId="91" xfId="30" applyNumberFormat="1" applyFont="1" applyFill="1" applyBorder="1" applyAlignment="1" applyProtection="1">
      <alignment horizontal="right" vertical="center" indent="1"/>
      <protection/>
    </xf>
    <xf numFmtId="165" fontId="72" fillId="9" borderId="95" xfId="30" applyNumberFormat="1" applyFont="1" applyFill="1" applyBorder="1" applyAlignment="1" applyProtection="1">
      <alignment horizontal="right" vertical="center" indent="1"/>
      <protection/>
    </xf>
    <xf numFmtId="49" fontId="11" fillId="0" borderId="135" xfId="0" applyNumberFormat="1" applyFont="1" applyFill="1" applyBorder="1" applyAlignment="1">
      <alignment horizontal="center" vertical="center"/>
    </xf>
    <xf numFmtId="49" fontId="12" fillId="0" borderId="136" xfId="30" applyNumberFormat="1" applyFont="1" applyFill="1" applyBorder="1" applyAlignment="1" applyProtection="1">
      <alignment horizontal="left" vertical="center"/>
      <protection/>
    </xf>
    <xf numFmtId="49" fontId="12" fillId="0" borderId="136" xfId="30" applyNumberFormat="1" applyFont="1" applyFill="1" applyBorder="1" applyAlignment="1" applyProtection="1">
      <alignment horizontal="left" vertical="center" wrapText="1"/>
      <protection/>
    </xf>
    <xf numFmtId="49" fontId="12" fillId="0" borderId="136" xfId="30" applyNumberFormat="1" applyFont="1" applyFill="1" applyBorder="1" applyAlignment="1" applyProtection="1">
      <alignment horizontal="center" vertical="center"/>
      <protection/>
    </xf>
    <xf numFmtId="4" fontId="12" fillId="0" borderId="136" xfId="30" applyNumberFormat="1" applyFont="1" applyFill="1" applyBorder="1" applyAlignment="1" applyProtection="1">
      <alignment horizontal="right" vertical="center" indent="1"/>
      <protection/>
    </xf>
    <xf numFmtId="165" fontId="12" fillId="0" borderId="136" xfId="30" applyNumberFormat="1" applyFont="1" applyFill="1" applyBorder="1" applyAlignment="1" applyProtection="1">
      <alignment horizontal="right" vertical="center" indent="1"/>
      <protection/>
    </xf>
    <xf numFmtId="165" fontId="12" fillId="0" borderId="137" xfId="30" applyNumberFormat="1" applyFont="1" applyFill="1" applyBorder="1" applyAlignment="1" applyProtection="1">
      <alignment horizontal="right" vertical="center" indent="1"/>
      <protection/>
    </xf>
    <xf numFmtId="49" fontId="72" fillId="9" borderId="138" xfId="0" applyNumberFormat="1" applyFont="1" applyFill="1" applyBorder="1" applyAlignment="1">
      <alignment horizontal="center" vertical="center"/>
    </xf>
    <xf numFmtId="49" fontId="72" fillId="9" borderId="139" xfId="30" applyNumberFormat="1" applyFont="1" applyFill="1" applyBorder="1" applyAlignment="1" applyProtection="1">
      <alignment horizontal="left" vertical="center"/>
      <protection/>
    </xf>
    <xf numFmtId="49" fontId="72" fillId="9" borderId="139" xfId="30" applyNumberFormat="1" applyFont="1" applyFill="1" applyBorder="1" applyAlignment="1" applyProtection="1">
      <alignment horizontal="left" vertical="center" wrapText="1"/>
      <protection/>
    </xf>
    <xf numFmtId="49" fontId="72" fillId="9" borderId="139" xfId="30" applyNumberFormat="1" applyFont="1" applyFill="1" applyBorder="1" applyAlignment="1" applyProtection="1">
      <alignment horizontal="center" vertical="center"/>
      <protection/>
    </xf>
    <xf numFmtId="4" fontId="72" fillId="9" borderId="139" xfId="30" applyNumberFormat="1" applyFont="1" applyFill="1" applyBorder="1" applyAlignment="1" applyProtection="1">
      <alignment horizontal="right" vertical="center" indent="1"/>
      <protection/>
    </xf>
    <xf numFmtId="165" fontId="72" fillId="9" borderId="139" xfId="30" applyNumberFormat="1" applyFont="1" applyFill="1" applyBorder="1" applyAlignment="1" applyProtection="1">
      <alignment horizontal="right" vertical="center" indent="1"/>
      <protection/>
    </xf>
    <xf numFmtId="165" fontId="72" fillId="9" borderId="140" xfId="30" applyNumberFormat="1" applyFont="1" applyFill="1" applyBorder="1" applyAlignment="1" applyProtection="1">
      <alignment horizontal="right" vertical="center" indent="1"/>
      <protection/>
    </xf>
    <xf numFmtId="49" fontId="72" fillId="9" borderId="141" xfId="0" applyNumberFormat="1" applyFont="1" applyFill="1" applyBorder="1" applyAlignment="1">
      <alignment horizontal="center" vertical="center"/>
    </xf>
    <xf numFmtId="49" fontId="72" fillId="9" borderId="142" xfId="30" applyNumberFormat="1" applyFont="1" applyFill="1" applyBorder="1" applyAlignment="1" applyProtection="1">
      <alignment horizontal="left" vertical="center"/>
      <protection/>
    </xf>
    <xf numFmtId="49" fontId="72" fillId="9" borderId="142" xfId="30" applyNumberFormat="1" applyFont="1" applyFill="1" applyBorder="1" applyAlignment="1" applyProtection="1">
      <alignment horizontal="left" vertical="center" wrapText="1"/>
      <protection/>
    </xf>
    <xf numFmtId="49" fontId="72" fillId="9" borderId="142" xfId="30" applyNumberFormat="1" applyFont="1" applyFill="1" applyBorder="1" applyAlignment="1" applyProtection="1">
      <alignment horizontal="center" vertical="center"/>
      <protection/>
    </xf>
    <xf numFmtId="4" fontId="72" fillId="9" borderId="142" xfId="30" applyNumberFormat="1" applyFont="1" applyFill="1" applyBorder="1" applyAlignment="1" applyProtection="1">
      <alignment horizontal="right" vertical="center" indent="1"/>
      <protection/>
    </xf>
    <xf numFmtId="165" fontId="72" fillId="9" borderId="142" xfId="30" applyNumberFormat="1" applyFont="1" applyFill="1" applyBorder="1" applyAlignment="1" applyProtection="1">
      <alignment horizontal="right" vertical="center" indent="1"/>
      <protection/>
    </xf>
    <xf numFmtId="165" fontId="72" fillId="9" borderId="143" xfId="30" applyNumberFormat="1" applyFont="1" applyFill="1" applyBorder="1" applyAlignment="1" applyProtection="1">
      <alignment horizontal="right" vertical="center" indent="1"/>
      <protection/>
    </xf>
    <xf numFmtId="4" fontId="44" fillId="8" borderId="136" xfId="30" applyNumberFormat="1" applyFont="1" applyFill="1" applyBorder="1" applyAlignment="1" applyProtection="1">
      <alignment horizontal="right" vertical="center" indent="1"/>
      <protection/>
    </xf>
    <xf numFmtId="49" fontId="11" fillId="0" borderId="141" xfId="0" applyNumberFormat="1" applyFont="1" applyFill="1" applyBorder="1" applyAlignment="1">
      <alignment horizontal="center" vertical="center"/>
    </xf>
    <xf numFmtId="49" fontId="12" fillId="0" borderId="142" xfId="30" applyNumberFormat="1" applyFont="1" applyFill="1" applyBorder="1" applyAlignment="1" applyProtection="1">
      <alignment horizontal="left" vertical="center"/>
      <protection/>
    </xf>
    <xf numFmtId="49" fontId="12" fillId="0" borderId="142" xfId="30" applyNumberFormat="1" applyFont="1" applyFill="1" applyBorder="1" applyAlignment="1" applyProtection="1">
      <alignment horizontal="left" vertical="center" wrapText="1"/>
      <protection/>
    </xf>
    <xf numFmtId="49" fontId="12" fillId="0" borderId="142" xfId="30" applyNumberFormat="1" applyFont="1" applyFill="1" applyBorder="1" applyAlignment="1" applyProtection="1">
      <alignment horizontal="center" vertical="center"/>
      <protection/>
    </xf>
    <xf numFmtId="4" fontId="44" fillId="8" borderId="142" xfId="30" applyNumberFormat="1" applyFont="1" applyFill="1" applyBorder="1" applyAlignment="1" applyProtection="1">
      <alignment horizontal="right" vertical="center" indent="1"/>
      <protection/>
    </xf>
    <xf numFmtId="4" fontId="12" fillId="0" borderId="142" xfId="30" applyNumberFormat="1" applyFont="1" applyFill="1" applyBorder="1" applyAlignment="1" applyProtection="1">
      <alignment horizontal="right" vertical="center" indent="1"/>
      <protection/>
    </xf>
    <xf numFmtId="165" fontId="12" fillId="0" borderId="142" xfId="30" applyNumberFormat="1" applyFont="1" applyFill="1" applyBorder="1" applyAlignment="1" applyProtection="1">
      <alignment horizontal="right" vertical="center" indent="1"/>
      <protection/>
    </xf>
    <xf numFmtId="165" fontId="12" fillId="0" borderId="143" xfId="30" applyNumberFormat="1" applyFont="1" applyFill="1" applyBorder="1" applyAlignment="1" applyProtection="1">
      <alignment horizontal="right" vertical="center" indent="1"/>
      <protection/>
    </xf>
    <xf numFmtId="49" fontId="0" fillId="3" borderId="92" xfId="0" applyNumberFormat="1" applyFill="1" applyBorder="1"/>
    <xf numFmtId="49" fontId="7" fillId="3" borderId="0" xfId="30" applyNumberFormat="1" applyFont="1" applyFill="1" applyBorder="1" applyAlignment="1" applyProtection="1">
      <alignment horizontal="center" vertical="center"/>
      <protection/>
    </xf>
    <xf numFmtId="49" fontId="7" fillId="3" borderId="0" xfId="30" applyNumberFormat="1" applyFont="1" applyFill="1" applyBorder="1" applyAlignment="1" applyProtection="1">
      <alignment horizontal="left" vertical="center"/>
      <protection/>
    </xf>
    <xf numFmtId="165" fontId="7" fillId="3" borderId="0" xfId="30" applyNumberFormat="1" applyFont="1" applyFill="1" applyBorder="1" applyAlignment="1" applyProtection="1">
      <alignment horizontal="center" vertical="center"/>
      <protection/>
    </xf>
    <xf numFmtId="165" fontId="7" fillId="3" borderId="78" xfId="30" applyNumberFormat="1" applyFont="1" applyFill="1" applyBorder="1" applyAlignment="1" applyProtection="1">
      <alignment horizontal="center" vertical="center"/>
      <protection/>
    </xf>
    <xf numFmtId="49" fontId="0" fillId="0" borderId="92" xfId="0" applyNumberFormat="1" applyFill="1" applyBorder="1"/>
    <xf numFmtId="49" fontId="5" fillId="0" borderId="93" xfId="30" applyNumberFormat="1" applyFont="1" applyFill="1" applyBorder="1" applyAlignment="1" applyProtection="1">
      <alignment horizontal="left" vertical="center"/>
      <protection/>
    </xf>
    <xf numFmtId="0" fontId="41" fillId="0" borderId="93" xfId="30" applyNumberFormat="1" applyFont="1" applyFill="1" applyBorder="1" applyAlignment="1" applyProtection="1">
      <alignment horizontal="left" vertical="center"/>
      <protection/>
    </xf>
    <xf numFmtId="49" fontId="5" fillId="0" borderId="93" xfId="30" applyNumberFormat="1" applyFont="1" applyFill="1" applyBorder="1" applyAlignment="1" applyProtection="1">
      <alignment horizontal="center" vertical="center"/>
      <protection/>
    </xf>
    <xf numFmtId="0" fontId="12" fillId="0" borderId="93" xfId="30" applyNumberFormat="1" applyFont="1" applyFill="1" applyBorder="1" applyAlignment="1" applyProtection="1">
      <alignment horizontal="left" vertical="center"/>
      <protection/>
    </xf>
    <xf numFmtId="0" fontId="12" fillId="0" borderId="94" xfId="30" applyNumberFormat="1" applyFont="1" applyFill="1" applyBorder="1" applyAlignment="1" applyProtection="1">
      <alignment horizontal="left" vertical="center"/>
      <protection/>
    </xf>
    <xf numFmtId="49" fontId="7" fillId="10" borderId="76" xfId="30" applyNumberFormat="1" applyFont="1" applyFill="1" applyBorder="1" applyAlignment="1" applyProtection="1">
      <alignment horizontal="left" vertical="center"/>
      <protection/>
    </xf>
    <xf numFmtId="49" fontId="12" fillId="10" borderId="62" xfId="30" applyNumberFormat="1" applyFont="1" applyFill="1" applyBorder="1" applyAlignment="1" applyProtection="1">
      <alignment horizontal="left" vertical="center"/>
      <protection/>
    </xf>
    <xf numFmtId="49" fontId="12" fillId="10" borderId="60" xfId="30" applyNumberFormat="1" applyFont="1" applyFill="1" applyBorder="1" applyAlignment="1" applyProtection="1">
      <alignment horizontal="left" vertical="center"/>
      <protection/>
    </xf>
    <xf numFmtId="49" fontId="9" fillId="10" borderId="60" xfId="30" applyNumberFormat="1" applyFont="1" applyFill="1" applyBorder="1" applyAlignment="1" applyProtection="1">
      <alignment horizontal="left" vertical="center"/>
      <protection/>
    </xf>
    <xf numFmtId="49" fontId="12" fillId="10" borderId="60" xfId="30" applyNumberFormat="1" applyFont="1" applyFill="1" applyBorder="1" applyAlignment="1" applyProtection="1">
      <alignment horizontal="left" vertical="center" wrapText="1"/>
      <protection/>
    </xf>
    <xf numFmtId="0" fontId="31" fillId="10" borderId="60" xfId="31" applyFont="1" applyFill="1" applyBorder="1" applyAlignment="1">
      <alignment horizontal="left" vertical="center" wrapText="1"/>
      <protection/>
    </xf>
    <xf numFmtId="0" fontId="9" fillId="10" borderId="60" xfId="0" applyFont="1" applyFill="1" applyBorder="1" applyAlignment="1">
      <alignment horizontal="left" vertical="center" wrapText="1"/>
    </xf>
    <xf numFmtId="4" fontId="36" fillId="10" borderId="60" xfId="0" applyNumberFormat="1" applyFont="1" applyFill="1" applyBorder="1" applyAlignment="1">
      <alignment horizontal="center" vertical="center" wrapText="1"/>
    </xf>
    <xf numFmtId="49" fontId="9" fillId="10" borderId="65" xfId="30" applyNumberFormat="1" applyFont="1" applyFill="1" applyBorder="1" applyAlignment="1" applyProtection="1">
      <alignment horizontal="left" vertical="center"/>
      <protection/>
    </xf>
    <xf numFmtId="0" fontId="11" fillId="10" borderId="62" xfId="0" applyFont="1" applyFill="1" applyBorder="1" applyAlignment="1">
      <alignment vertical="center" wrapText="1"/>
    </xf>
    <xf numFmtId="4" fontId="31" fillId="10" borderId="60" xfId="31" applyNumberFormat="1" applyFont="1" applyFill="1" applyBorder="1" applyAlignment="1">
      <alignment horizontal="left"/>
      <protection/>
    </xf>
    <xf numFmtId="49" fontId="12" fillId="10" borderId="65" xfId="30" applyNumberFormat="1" applyFont="1" applyFill="1" applyBorder="1" applyAlignment="1" applyProtection="1">
      <alignment horizontal="left" vertical="center"/>
      <protection/>
    </xf>
    <xf numFmtId="0" fontId="11" fillId="10" borderId="60" xfId="33" applyFont="1" applyFill="1" applyBorder="1" applyAlignment="1">
      <alignment vertical="center" wrapText="1"/>
      <protection/>
    </xf>
    <xf numFmtId="0" fontId="24" fillId="10" borderId="60" xfId="31" applyFont="1" applyFill="1" applyBorder="1" applyAlignment="1">
      <alignment vertical="center" wrapText="1"/>
      <protection/>
    </xf>
    <xf numFmtId="0" fontId="0" fillId="10" borderId="62" xfId="0" applyFill="1" applyBorder="1" applyAlignment="1">
      <alignment horizontal="center" vertical="center"/>
    </xf>
    <xf numFmtId="0" fontId="11" fillId="10" borderId="60" xfId="0" applyFont="1" applyFill="1" applyBorder="1" applyAlignment="1">
      <alignment vertical="center" wrapText="1"/>
    </xf>
    <xf numFmtId="0" fontId="0" fillId="10" borderId="60" xfId="0" applyFill="1" applyBorder="1" applyAlignment="1">
      <alignment horizontal="center" vertical="center"/>
    </xf>
    <xf numFmtId="0" fontId="9" fillId="10" borderId="60" xfId="35" applyFont="1" applyFill="1" applyBorder="1" applyAlignment="1">
      <alignment vertical="center" wrapText="1"/>
      <protection/>
    </xf>
    <xf numFmtId="0" fontId="24" fillId="10" borderId="60" xfId="34" applyFont="1" applyFill="1" applyBorder="1" applyAlignment="1">
      <alignment vertical="center" wrapText="1"/>
      <protection/>
    </xf>
    <xf numFmtId="4" fontId="9" fillId="10" borderId="60" xfId="34" applyNumberFormat="1" applyFont="1" applyFill="1" applyBorder="1" applyAlignment="1">
      <alignment/>
      <protection/>
    </xf>
    <xf numFmtId="0" fontId="0" fillId="10" borderId="65" xfId="0" applyFill="1" applyBorder="1" applyAlignment="1">
      <alignment vertical="center" wrapText="1"/>
    </xf>
    <xf numFmtId="49" fontId="36" fillId="10" borderId="60" xfId="30" applyNumberFormat="1" applyFont="1" applyFill="1" applyBorder="1" applyAlignment="1" applyProtection="1">
      <alignment horizontal="left" vertical="center"/>
      <protection/>
    </xf>
    <xf numFmtId="49" fontId="28" fillId="10" borderId="60" xfId="30" applyNumberFormat="1" applyFont="1" applyFill="1" applyBorder="1" applyAlignment="1" applyProtection="1">
      <alignment horizontal="left" vertical="center"/>
      <protection/>
    </xf>
    <xf numFmtId="0" fontId="0" fillId="10" borderId="0" xfId="0" applyFill="1"/>
    <xf numFmtId="49" fontId="11" fillId="10" borderId="60" xfId="30" applyNumberFormat="1" applyFont="1" applyFill="1" applyBorder="1" applyAlignment="1" applyProtection="1">
      <alignment vertical="center"/>
      <protection/>
    </xf>
    <xf numFmtId="49" fontId="11" fillId="10" borderId="62" xfId="30" applyNumberFormat="1" applyFont="1" applyFill="1" applyBorder="1" applyAlignment="1" applyProtection="1">
      <alignment vertical="center"/>
      <protection/>
    </xf>
    <xf numFmtId="49" fontId="24" fillId="10" borderId="60" xfId="31" applyNumberFormat="1" applyFont="1" applyFill="1" applyBorder="1" applyAlignment="1">
      <alignment vertical="center" shrinkToFit="1"/>
      <protection/>
    </xf>
    <xf numFmtId="49" fontId="13" fillId="10" borderId="0" xfId="30" applyNumberFormat="1" applyFont="1" applyFill="1" applyBorder="1" applyAlignment="1" applyProtection="1">
      <alignment vertical="center"/>
      <protection/>
    </xf>
    <xf numFmtId="49" fontId="0" fillId="10" borderId="5" xfId="30" applyNumberFormat="1" applyFont="1" applyFill="1" applyBorder="1" applyAlignment="1" applyProtection="1">
      <alignment vertical="center"/>
      <protection/>
    </xf>
    <xf numFmtId="49" fontId="22" fillId="10" borderId="71" xfId="30" applyNumberFormat="1" applyFont="1" applyFill="1" applyBorder="1" applyAlignment="1" applyProtection="1">
      <alignment vertical="center"/>
      <protection/>
    </xf>
    <xf numFmtId="49" fontId="27" fillId="10" borderId="60" xfId="30" applyNumberFormat="1" applyFont="1" applyFill="1" applyBorder="1" applyAlignment="1" applyProtection="1">
      <alignment vertical="center"/>
      <protection/>
    </xf>
    <xf numFmtId="49" fontId="11" fillId="10" borderId="60" xfId="30" applyNumberFormat="1" applyFont="1" applyFill="1" applyBorder="1" applyAlignment="1" applyProtection="1">
      <alignment vertical="center" wrapText="1"/>
      <protection/>
    </xf>
    <xf numFmtId="49" fontId="11" fillId="10" borderId="2" xfId="30" applyNumberFormat="1" applyFont="1" applyFill="1" applyBorder="1" applyAlignment="1" applyProtection="1">
      <alignment vertical="center" wrapText="1"/>
      <protection/>
    </xf>
    <xf numFmtId="0" fontId="49" fillId="10" borderId="60" xfId="31" applyFont="1" applyFill="1" applyBorder="1" applyAlignment="1">
      <alignment vertical="center" wrapText="1"/>
      <protection/>
    </xf>
    <xf numFmtId="0" fontId="27" fillId="10" borderId="60" xfId="0" applyFont="1" applyFill="1" applyBorder="1" applyAlignment="1">
      <alignment vertical="center" wrapText="1"/>
    </xf>
    <xf numFmtId="4" fontId="59" fillId="10" borderId="60" xfId="0" applyNumberFormat="1" applyFont="1" applyFill="1" applyBorder="1" applyAlignment="1">
      <alignment vertical="center" wrapText="1"/>
    </xf>
    <xf numFmtId="49" fontId="11" fillId="10" borderId="2" xfId="30" applyNumberFormat="1" applyFont="1" applyFill="1" applyBorder="1" applyAlignment="1" applyProtection="1">
      <alignment vertical="center"/>
      <protection/>
    </xf>
    <xf numFmtId="4" fontId="27" fillId="10" borderId="62" xfId="0" applyNumberFormat="1" applyFont="1" applyFill="1" applyBorder="1" applyAlignment="1">
      <alignment vertical="center" wrapText="1"/>
    </xf>
    <xf numFmtId="4" fontId="27" fillId="10" borderId="60" xfId="0" applyNumberFormat="1" applyFont="1" applyFill="1" applyBorder="1" applyAlignment="1">
      <alignment vertical="center" wrapText="1"/>
    </xf>
    <xf numFmtId="4" fontId="27" fillId="10" borderId="65" xfId="0" applyNumberFormat="1" applyFont="1" applyFill="1" applyBorder="1" applyAlignment="1">
      <alignment vertical="center" wrapText="1"/>
    </xf>
    <xf numFmtId="49" fontId="27" fillId="10" borderId="65" xfId="30" applyNumberFormat="1" applyFont="1" applyFill="1" applyBorder="1" applyAlignment="1" applyProtection="1">
      <alignment vertical="center"/>
      <protection/>
    </xf>
    <xf numFmtId="4" fontId="49" fillId="10" borderId="60" xfId="31" applyNumberFormat="1" applyFont="1" applyFill="1" applyBorder="1" applyAlignment="1">
      <alignment/>
      <protection/>
    </xf>
    <xf numFmtId="49" fontId="11" fillId="10" borderId="65" xfId="30" applyNumberFormat="1" applyFont="1" applyFill="1" applyBorder="1" applyAlignment="1" applyProtection="1">
      <alignment vertical="center"/>
      <protection/>
    </xf>
    <xf numFmtId="49" fontId="11" fillId="10" borderId="91" xfId="30" applyNumberFormat="1" applyFont="1" applyFill="1" applyBorder="1" applyAlignment="1" applyProtection="1">
      <alignment vertical="center"/>
      <protection/>
    </xf>
    <xf numFmtId="49" fontId="13" fillId="10" borderId="62" xfId="30" applyNumberFormat="1" applyFont="1" applyFill="1" applyBorder="1" applyAlignment="1" applyProtection="1">
      <alignment vertical="center"/>
      <protection/>
    </xf>
    <xf numFmtId="49" fontId="11" fillId="10" borderId="82" xfId="30" applyNumberFormat="1" applyFont="1" applyFill="1" applyBorder="1" applyAlignment="1" applyProtection="1">
      <alignment vertical="center"/>
      <protection/>
    </xf>
    <xf numFmtId="49" fontId="11" fillId="10" borderId="84" xfId="30" applyNumberFormat="1" applyFont="1" applyFill="1" applyBorder="1" applyAlignment="1" applyProtection="1">
      <alignment vertical="center"/>
      <protection/>
    </xf>
    <xf numFmtId="0" fontId="0" fillId="10" borderId="62" xfId="0" applyFont="1" applyFill="1" applyBorder="1" applyAlignment="1">
      <alignment vertical="center"/>
    </xf>
    <xf numFmtId="0" fontId="0" fillId="10" borderId="60" xfId="0" applyFont="1" applyFill="1" applyBorder="1" applyAlignment="1">
      <alignment vertical="center"/>
    </xf>
    <xf numFmtId="0" fontId="27" fillId="10" borderId="60" xfId="35" applyFont="1" applyFill="1" applyBorder="1" applyAlignment="1">
      <alignment vertical="center" wrapText="1"/>
      <protection/>
    </xf>
    <xf numFmtId="4" fontId="27" fillId="10" borderId="60" xfId="34" applyNumberFormat="1" applyFont="1" applyFill="1" applyBorder="1" applyAlignment="1">
      <alignment/>
      <protection/>
    </xf>
    <xf numFmtId="0" fontId="0" fillId="10" borderId="65" xfId="0" applyFont="1" applyFill="1" applyBorder="1" applyAlignment="1">
      <alignment vertical="center" wrapText="1"/>
    </xf>
    <xf numFmtId="49" fontId="25" fillId="10" borderId="62" xfId="30" applyNumberFormat="1" applyFont="1" applyFill="1" applyBorder="1" applyAlignment="1" applyProtection="1">
      <alignment vertical="center"/>
      <protection/>
    </xf>
    <xf numFmtId="49" fontId="59" fillId="10" borderId="60" xfId="30" applyNumberFormat="1" applyFont="1" applyFill="1" applyBorder="1" applyAlignment="1" applyProtection="1">
      <alignment vertical="center"/>
      <protection/>
    </xf>
    <xf numFmtId="49" fontId="59" fillId="10" borderId="60" xfId="30" applyNumberFormat="1" applyFont="1" applyFill="1" applyBorder="1" applyAlignment="1" applyProtection="1">
      <alignment vertical="center" wrapText="1"/>
      <protection/>
    </xf>
    <xf numFmtId="49" fontId="10" fillId="10" borderId="60" xfId="30" applyNumberFormat="1" applyFont="1" applyFill="1" applyBorder="1" applyAlignment="1" applyProtection="1">
      <alignment vertical="center"/>
      <protection/>
    </xf>
    <xf numFmtId="0" fontId="0" fillId="10" borderId="0" xfId="0" applyFont="1" applyFill="1" applyAlignment="1">
      <alignment/>
    </xf>
    <xf numFmtId="49" fontId="12" fillId="10" borderId="65" xfId="30" applyNumberFormat="1" applyFont="1" applyFill="1" applyBorder="1" applyAlignment="1" applyProtection="1">
      <alignment horizontal="left" vertical="center" wrapText="1"/>
      <protection/>
    </xf>
    <xf numFmtId="0" fontId="31" fillId="10" borderId="65" xfId="31" applyFont="1" applyFill="1" applyBorder="1" applyAlignment="1">
      <alignment horizontal="left" vertical="center" wrapText="1"/>
      <protection/>
    </xf>
    <xf numFmtId="49" fontId="12" fillId="10" borderId="136" xfId="30" applyNumberFormat="1" applyFont="1" applyFill="1" applyBorder="1" applyAlignment="1" applyProtection="1">
      <alignment horizontal="left" vertical="center"/>
      <protection/>
    </xf>
    <xf numFmtId="49" fontId="72" fillId="10" borderId="142" xfId="30" applyNumberFormat="1" applyFont="1" applyFill="1" applyBorder="1" applyAlignment="1" applyProtection="1">
      <alignment horizontal="left" vertical="center"/>
      <protection/>
    </xf>
    <xf numFmtId="49" fontId="72" fillId="10" borderId="139" xfId="30" applyNumberFormat="1" applyFont="1" applyFill="1" applyBorder="1" applyAlignment="1" applyProtection="1">
      <alignment horizontal="left" vertical="center"/>
      <protection/>
    </xf>
    <xf numFmtId="49" fontId="44" fillId="10" borderId="82" xfId="30" applyNumberFormat="1" applyFont="1" applyFill="1" applyBorder="1" applyAlignment="1" applyProtection="1">
      <alignment horizontal="left" vertical="center"/>
      <protection/>
    </xf>
    <xf numFmtId="0" fontId="0" fillId="10" borderId="60" xfId="0" applyFill="1" applyBorder="1"/>
    <xf numFmtId="0" fontId="10" fillId="0" borderId="0" xfId="0" applyFont="1"/>
    <xf numFmtId="0" fontId="28" fillId="10" borderId="12" xfId="30" applyNumberFormat="1" applyFont="1" applyFill="1" applyBorder="1" applyAlignment="1" applyProtection="1">
      <alignment horizontal="left" vertical="center"/>
      <protection/>
    </xf>
    <xf numFmtId="49" fontId="28" fillId="10" borderId="5" xfId="30" applyNumberFormat="1" applyFont="1" applyFill="1" applyBorder="1" applyAlignment="1" applyProtection="1">
      <alignment horizontal="left" vertical="center"/>
      <protection/>
    </xf>
    <xf numFmtId="49" fontId="58" fillId="10" borderId="76" xfId="30" applyNumberFormat="1" applyFont="1" applyFill="1" applyBorder="1" applyAlignment="1" applyProtection="1">
      <alignment horizontal="left" vertical="center"/>
      <protection/>
    </xf>
    <xf numFmtId="49" fontId="58" fillId="10" borderId="3" xfId="30" applyNumberFormat="1" applyFont="1" applyFill="1" applyBorder="1" applyAlignment="1" applyProtection="1">
      <alignment horizontal="left" vertical="center"/>
      <protection/>
    </xf>
    <xf numFmtId="49" fontId="28" fillId="10" borderId="62" xfId="30" applyNumberFormat="1" applyFont="1" applyFill="1" applyBorder="1" applyAlignment="1" applyProtection="1">
      <alignment horizontal="left" vertical="center"/>
      <protection/>
    </xf>
    <xf numFmtId="49" fontId="28" fillId="10" borderId="60" xfId="30" applyNumberFormat="1" applyFont="1" applyFill="1" applyBorder="1" applyAlignment="1" applyProtection="1">
      <alignment horizontal="left" vertical="center" wrapText="1"/>
      <protection/>
    </xf>
    <xf numFmtId="49" fontId="28" fillId="10" borderId="65" xfId="30" applyNumberFormat="1" applyFont="1" applyFill="1" applyBorder="1" applyAlignment="1" applyProtection="1">
      <alignment horizontal="left" vertical="center" wrapText="1"/>
      <protection/>
    </xf>
    <xf numFmtId="49" fontId="10" fillId="10" borderId="60" xfId="30" applyNumberFormat="1" applyFont="1" applyFill="1" applyBorder="1" applyAlignment="1" applyProtection="1">
      <alignment horizontal="left" vertical="center"/>
      <protection/>
    </xf>
    <xf numFmtId="49" fontId="28" fillId="10" borderId="65" xfId="30" applyNumberFormat="1" applyFont="1" applyFill="1" applyBorder="1" applyAlignment="1" applyProtection="1">
      <alignment horizontal="left" vertical="center"/>
      <protection/>
    </xf>
    <xf numFmtId="4" fontId="60" fillId="10" borderId="60" xfId="31" applyNumberFormat="1" applyFont="1" applyFill="1" applyBorder="1" applyAlignment="1">
      <alignment horizontal="left"/>
      <protection/>
    </xf>
    <xf numFmtId="0" fontId="60" fillId="10" borderId="60" xfId="31" applyFont="1" applyFill="1" applyBorder="1" applyAlignment="1">
      <alignment horizontal="left" vertical="center" wrapText="1"/>
      <protection/>
    </xf>
    <xf numFmtId="0" fontId="36" fillId="10" borderId="60" xfId="0" applyFont="1" applyFill="1" applyBorder="1" applyAlignment="1">
      <alignment horizontal="left" vertical="center" wrapText="1"/>
    </xf>
    <xf numFmtId="49" fontId="36" fillId="10" borderId="62" xfId="30" applyNumberFormat="1" applyFont="1" applyFill="1" applyBorder="1" applyAlignment="1" applyProtection="1">
      <alignment horizontal="left" vertical="center"/>
      <protection/>
    </xf>
    <xf numFmtId="0" fontId="10" fillId="10" borderId="62" xfId="33" applyFont="1" applyFill="1" applyBorder="1" applyAlignment="1">
      <alignment vertical="center" wrapText="1"/>
      <protection/>
    </xf>
    <xf numFmtId="0" fontId="10" fillId="10" borderId="60" xfId="33" applyFont="1" applyFill="1" applyBorder="1" applyAlignment="1">
      <alignment vertical="center" wrapText="1"/>
      <protection/>
    </xf>
    <xf numFmtId="49" fontId="28" fillId="10" borderId="136" xfId="30" applyNumberFormat="1" applyFont="1" applyFill="1" applyBorder="1" applyAlignment="1" applyProtection="1">
      <alignment horizontal="left" vertical="center"/>
      <protection/>
    </xf>
    <xf numFmtId="49" fontId="73" fillId="10" borderId="139" xfId="30" applyNumberFormat="1" applyFont="1" applyFill="1" applyBorder="1" applyAlignment="1" applyProtection="1">
      <alignment horizontal="left" vertical="center"/>
      <protection/>
    </xf>
    <xf numFmtId="49" fontId="73" fillId="10" borderId="91" xfId="30" applyNumberFormat="1" applyFont="1" applyFill="1" applyBorder="1" applyAlignment="1" applyProtection="1">
      <alignment horizontal="left" vertical="center"/>
      <protection/>
    </xf>
    <xf numFmtId="0" fontId="10" fillId="10" borderId="60" xfId="31" applyFont="1" applyFill="1" applyBorder="1" applyAlignment="1">
      <alignment vertical="center" wrapText="1"/>
      <protection/>
    </xf>
    <xf numFmtId="49" fontId="43" fillId="10" borderId="82" xfId="30" applyNumberFormat="1" applyFont="1" applyFill="1" applyBorder="1" applyAlignment="1" applyProtection="1">
      <alignment horizontal="left" vertical="center"/>
      <protection/>
    </xf>
    <xf numFmtId="49" fontId="28" fillId="10" borderId="144" xfId="30" applyNumberFormat="1" applyFont="1" applyFill="1" applyBorder="1" applyAlignment="1" applyProtection="1">
      <alignment horizontal="left" vertical="center"/>
      <protection/>
    </xf>
    <xf numFmtId="0" fontId="10" fillId="10" borderId="62" xfId="0" applyFont="1" applyFill="1" applyBorder="1" applyAlignment="1">
      <alignment horizontal="center" vertical="center"/>
    </xf>
    <xf numFmtId="0" fontId="10" fillId="10" borderId="60" xfId="0" applyFont="1" applyFill="1" applyBorder="1" applyAlignment="1">
      <alignment vertical="center" wrapText="1"/>
    </xf>
    <xf numFmtId="0" fontId="10" fillId="10" borderId="60" xfId="0" applyFont="1" applyFill="1" applyBorder="1" applyAlignment="1">
      <alignment horizontal="center" vertical="center"/>
    </xf>
    <xf numFmtId="0" fontId="36" fillId="10" borderId="60" xfId="35" applyFont="1" applyFill="1" applyBorder="1" applyAlignment="1">
      <alignment vertical="center" wrapText="1"/>
      <protection/>
    </xf>
    <xf numFmtId="0" fontId="18" fillId="10" borderId="60" xfId="34" applyFont="1" applyFill="1" applyBorder="1" applyAlignment="1">
      <alignment vertical="center" wrapText="1"/>
      <protection/>
    </xf>
    <xf numFmtId="0" fontId="10" fillId="10" borderId="65" xfId="0" applyFont="1" applyFill="1" applyBorder="1" applyAlignment="1">
      <alignment vertical="center" wrapText="1"/>
    </xf>
    <xf numFmtId="0" fontId="10" fillId="10" borderId="0" xfId="0" applyFont="1" applyFill="1"/>
    <xf numFmtId="4" fontId="36" fillId="10" borderId="60" xfId="34" applyNumberFormat="1" applyFont="1" applyFill="1" applyBorder="1" applyAlignment="1">
      <alignment/>
      <protection/>
    </xf>
    <xf numFmtId="0" fontId="60" fillId="10" borderId="65" xfId="31" applyFont="1" applyFill="1" applyBorder="1" applyAlignment="1">
      <alignment horizontal="left" vertical="center" wrapText="1"/>
      <protection/>
    </xf>
    <xf numFmtId="49" fontId="73" fillId="10" borderId="142" xfId="30" applyNumberFormat="1" applyFont="1" applyFill="1" applyBorder="1" applyAlignment="1" applyProtection="1">
      <alignment horizontal="left" vertical="center"/>
      <protection/>
    </xf>
    <xf numFmtId="49" fontId="62" fillId="10" borderId="62" xfId="30" applyNumberFormat="1" applyFont="1" applyFill="1" applyBorder="1" applyAlignment="1" applyProtection="1">
      <alignment horizontal="left" vertical="center"/>
      <protection/>
    </xf>
    <xf numFmtId="0" fontId="10" fillId="10" borderId="60" xfId="0" applyFont="1" applyFill="1" applyBorder="1"/>
    <xf numFmtId="49" fontId="36" fillId="10" borderId="65" xfId="30" applyNumberFormat="1" applyFont="1" applyFill="1" applyBorder="1" applyAlignment="1" applyProtection="1">
      <alignment horizontal="left" vertical="center"/>
      <protection/>
    </xf>
    <xf numFmtId="49" fontId="63" fillId="10" borderId="62" xfId="30" applyNumberFormat="1" applyFont="1" applyFill="1" applyBorder="1" applyAlignment="1" applyProtection="1">
      <alignment horizontal="left" vertical="center"/>
      <protection/>
    </xf>
    <xf numFmtId="49" fontId="28" fillId="10" borderId="142" xfId="30" applyNumberFormat="1" applyFont="1" applyFill="1" applyBorder="1" applyAlignment="1" applyProtection="1">
      <alignment horizontal="left" vertical="center"/>
      <protection/>
    </xf>
    <xf numFmtId="0" fontId="64" fillId="0" borderId="0" xfId="0" applyFont="1" applyFill="1"/>
    <xf numFmtId="49" fontId="43" fillId="10" borderId="60" xfId="30" applyNumberFormat="1" applyFont="1" applyFill="1" applyBorder="1" applyAlignment="1" applyProtection="1">
      <alignment horizontal="left" vertical="center"/>
      <protection/>
    </xf>
    <xf numFmtId="0" fontId="36" fillId="10" borderId="60" xfId="0" applyFont="1" applyFill="1" applyBorder="1" applyAlignment="1">
      <alignment vertical="center" wrapText="1"/>
    </xf>
    <xf numFmtId="0" fontId="10" fillId="10" borderId="62" xfId="0" applyFont="1" applyFill="1" applyBorder="1" applyAlignment="1">
      <alignment vertical="center" wrapText="1"/>
    </xf>
    <xf numFmtId="49" fontId="5" fillId="0" borderId="0" xfId="30" applyNumberFormat="1" applyFont="1" applyFill="1" applyBorder="1" applyAlignment="1" applyProtection="1">
      <alignment horizontal="center" vertical="center"/>
      <protection/>
    </xf>
    <xf numFmtId="0" fontId="12" fillId="0" borderId="0" xfId="30" applyNumberFormat="1" applyFont="1" applyFill="1" applyBorder="1" applyAlignment="1" applyProtection="1">
      <alignment horizontal="left" vertical="center"/>
      <protection/>
    </xf>
    <xf numFmtId="0" fontId="12" fillId="0" borderId="78" xfId="30" applyNumberFormat="1" applyFont="1" applyFill="1" applyBorder="1" applyAlignment="1" applyProtection="1">
      <alignment horizontal="left" vertical="center"/>
      <protection/>
    </xf>
    <xf numFmtId="49" fontId="5" fillId="0" borderId="3" xfId="30" applyNumberFormat="1" applyFont="1" applyFill="1" applyBorder="1" applyAlignment="1" applyProtection="1">
      <alignment horizontal="center" vertical="center"/>
      <protection/>
    </xf>
    <xf numFmtId="0" fontId="12" fillId="0" borderId="3" xfId="30" applyNumberFormat="1" applyFont="1" applyFill="1" applyBorder="1" applyAlignment="1" applyProtection="1">
      <alignment horizontal="left" vertical="center"/>
      <protection/>
    </xf>
    <xf numFmtId="0" fontId="12" fillId="0" borderId="59" xfId="30" applyNumberFormat="1" applyFont="1" applyFill="1" applyBorder="1" applyAlignment="1" applyProtection="1">
      <alignment horizontal="left" vertical="center"/>
      <protection/>
    </xf>
    <xf numFmtId="49" fontId="7" fillId="11" borderId="76" xfId="30" applyNumberFormat="1" applyFont="1" applyFill="1" applyBorder="1" applyAlignment="1" applyProtection="1">
      <alignment horizontal="center" vertical="center"/>
      <protection/>
    </xf>
    <xf numFmtId="49" fontId="58" fillId="11" borderId="76" xfId="30" applyNumberFormat="1" applyFont="1" applyFill="1" applyBorder="1" applyAlignment="1" applyProtection="1">
      <alignment horizontal="center" vertical="center"/>
      <protection/>
    </xf>
    <xf numFmtId="49" fontId="58" fillId="11" borderId="76" xfId="30" applyNumberFormat="1" applyFont="1" applyFill="1" applyBorder="1" applyAlignment="1" applyProtection="1">
      <alignment horizontal="left" vertical="center"/>
      <protection/>
    </xf>
    <xf numFmtId="165" fontId="7" fillId="12" borderId="77" xfId="30" applyNumberFormat="1" applyFont="1" applyFill="1" applyBorder="1" applyAlignment="1" applyProtection="1">
      <alignment horizontal="center" vertical="center"/>
      <protection/>
    </xf>
    <xf numFmtId="165" fontId="11" fillId="12" borderId="62" xfId="30" applyNumberFormat="1" applyFont="1" applyFill="1" applyBorder="1" applyAlignment="1" applyProtection="1">
      <alignment horizontal="right" vertical="center" indent="1"/>
      <protection/>
    </xf>
    <xf numFmtId="4" fontId="7" fillId="12" borderId="76" xfId="30" applyNumberFormat="1" applyFont="1" applyFill="1" applyBorder="1" applyAlignment="1" applyProtection="1">
      <alignment horizontal="right" vertical="center" indent="1"/>
      <protection/>
    </xf>
    <xf numFmtId="165" fontId="7" fillId="12" borderId="77" xfId="30" applyNumberFormat="1" applyFont="1" applyFill="1" applyBorder="1" applyAlignment="1" applyProtection="1">
      <alignment horizontal="right" vertical="center" indent="1"/>
      <protection/>
    </xf>
    <xf numFmtId="165" fontId="12" fillId="12" borderId="60" xfId="30" applyNumberFormat="1" applyFont="1" applyFill="1" applyBorder="1" applyAlignment="1" applyProtection="1">
      <alignment horizontal="right" vertical="center" indent="1"/>
      <protection/>
    </xf>
    <xf numFmtId="165" fontId="12" fillId="12" borderId="85" xfId="30" applyNumberFormat="1" applyFont="1" applyFill="1" applyBorder="1" applyAlignment="1" applyProtection="1">
      <alignment horizontal="right" vertical="center" indent="1"/>
      <protection/>
    </xf>
    <xf numFmtId="0" fontId="41" fillId="0" borderId="0" xfId="30" applyNumberFormat="1" applyFont="1" applyFill="1" applyBorder="1" applyAlignment="1" applyProtection="1">
      <alignment horizontal="left" vertical="center"/>
      <protection/>
    </xf>
    <xf numFmtId="0" fontId="41" fillId="0" borderId="3" xfId="30" applyNumberFormat="1" applyFont="1" applyFill="1" applyBorder="1" applyAlignment="1" applyProtection="1">
      <alignment horizontal="left" vertical="center"/>
      <protection/>
    </xf>
    <xf numFmtId="0" fontId="74" fillId="12" borderId="3" xfId="0" applyFont="1" applyFill="1" applyBorder="1" applyAlignment="1">
      <alignment vertical="center"/>
    </xf>
    <xf numFmtId="0" fontId="0" fillId="9" borderId="0" xfId="0" applyFill="1" applyBorder="1" applyAlignment="1">
      <alignment/>
    </xf>
    <xf numFmtId="0" fontId="75" fillId="12" borderId="3" xfId="0" applyFont="1" applyFill="1" applyBorder="1" applyAlignment="1">
      <alignment vertical="center"/>
    </xf>
    <xf numFmtId="0" fontId="11" fillId="9" borderId="0" xfId="0" applyFont="1" applyFill="1" applyBorder="1" applyAlignment="1">
      <alignment/>
    </xf>
    <xf numFmtId="0" fontId="75" fillId="9" borderId="0" xfId="0" applyFont="1" applyFill="1" applyBorder="1" applyAlignment="1">
      <alignment vertical="center"/>
    </xf>
    <xf numFmtId="49" fontId="28" fillId="0" borderId="60" xfId="30" applyNumberFormat="1" applyFont="1" applyFill="1" applyBorder="1" applyAlignment="1" applyProtection="1">
      <alignment horizontal="left" vertical="center"/>
      <protection/>
    </xf>
    <xf numFmtId="49" fontId="11" fillId="13" borderId="63" xfId="0" applyNumberFormat="1" applyFont="1" applyFill="1" applyBorder="1" applyAlignment="1">
      <alignment horizontal="center" vertical="center"/>
    </xf>
    <xf numFmtId="49" fontId="12" fillId="13" borderId="60" xfId="30" applyNumberFormat="1" applyFont="1" applyFill="1" applyBorder="1" applyAlignment="1" applyProtection="1">
      <alignment horizontal="left" vertical="center"/>
      <protection/>
    </xf>
    <xf numFmtId="49" fontId="12" fillId="13" borderId="60" xfId="30" applyNumberFormat="1" applyFont="1" applyFill="1" applyBorder="1" applyAlignment="1" applyProtection="1">
      <alignment horizontal="left" vertical="center" wrapText="1"/>
      <protection/>
    </xf>
    <xf numFmtId="49" fontId="11" fillId="13" borderId="60" xfId="30" applyNumberFormat="1" applyFont="1" applyFill="1" applyBorder="1" applyAlignment="1" applyProtection="1">
      <alignment vertical="center"/>
      <protection/>
    </xf>
    <xf numFmtId="49" fontId="12" fillId="13" borderId="60" xfId="30" applyNumberFormat="1" applyFont="1" applyFill="1" applyBorder="1" applyAlignment="1" applyProtection="1">
      <alignment horizontal="center" vertical="center"/>
      <protection/>
    </xf>
    <xf numFmtId="4" fontId="12" fillId="13" borderId="60" xfId="30" applyNumberFormat="1" applyFont="1" applyFill="1" applyBorder="1" applyAlignment="1" applyProtection="1">
      <alignment horizontal="right" vertical="center" indent="1"/>
      <protection/>
    </xf>
    <xf numFmtId="165" fontId="12" fillId="13" borderId="60" xfId="30" applyNumberFormat="1" applyFont="1" applyFill="1" applyBorder="1" applyAlignment="1" applyProtection="1">
      <alignment horizontal="right" vertical="center" indent="1"/>
      <protection/>
    </xf>
    <xf numFmtId="165" fontId="12" fillId="13" borderId="85" xfId="30" applyNumberFormat="1" applyFont="1" applyFill="1" applyBorder="1" applyAlignment="1" applyProtection="1">
      <alignment horizontal="right" vertical="center" indent="1"/>
      <protection/>
    </xf>
    <xf numFmtId="4" fontId="30" fillId="13" borderId="0" xfId="0" applyNumberFormat="1" applyFont="1" applyFill="1" applyAlignment="1">
      <alignment vertical="center"/>
    </xf>
    <xf numFmtId="4" fontId="30" fillId="13" borderId="0" xfId="0" applyNumberFormat="1" applyFont="1" applyFill="1" applyAlignment="1">
      <alignment horizontal="center" vertical="center"/>
    </xf>
    <xf numFmtId="0" fontId="30" fillId="13" borderId="0" xfId="0" applyFont="1" applyFill="1"/>
    <xf numFmtId="0" fontId="11" fillId="13" borderId="0" xfId="0" applyFont="1" applyFill="1"/>
    <xf numFmtId="0" fontId="75" fillId="12" borderId="0" xfId="0" applyFont="1" applyFill="1" applyBorder="1" applyAlignment="1">
      <alignment vertical="center"/>
    </xf>
    <xf numFmtId="0" fontId="75" fillId="13" borderId="93" xfId="0" applyFont="1" applyFill="1" applyBorder="1" applyAlignment="1">
      <alignment vertical="center"/>
    </xf>
    <xf numFmtId="0" fontId="74" fillId="12" borderId="0" xfId="0" applyFont="1" applyFill="1" applyBorder="1" applyAlignment="1">
      <alignment vertical="center"/>
    </xf>
    <xf numFmtId="0" fontId="66" fillId="4" borderId="0" xfId="29" applyFont="1" applyFill="1" applyBorder="1" applyAlignment="1" applyProtection="1">
      <alignment horizontal="left" vertical="center"/>
      <protection/>
    </xf>
    <xf numFmtId="0" fontId="24" fillId="4" borderId="0" xfId="29" applyFont="1" applyFill="1" applyBorder="1" applyAlignment="1" applyProtection="1">
      <alignment horizontal="left" vertical="center"/>
      <protection/>
    </xf>
    <xf numFmtId="0" fontId="66" fillId="6" borderId="0" xfId="29" applyFont="1" applyFill="1" applyBorder="1" applyAlignment="1" applyProtection="1">
      <alignment horizontal="left" vertical="center"/>
      <protection/>
    </xf>
    <xf numFmtId="0" fontId="24" fillId="6" borderId="0" xfId="29" applyFont="1" applyFill="1" applyBorder="1" applyAlignment="1" applyProtection="1">
      <alignment horizontal="left" vertical="center"/>
      <protection/>
    </xf>
    <xf numFmtId="0" fontId="66" fillId="0" borderId="0" xfId="29" applyFont="1" applyFill="1" applyBorder="1" applyAlignment="1" applyProtection="1">
      <alignment horizontal="left" vertical="center"/>
      <protection/>
    </xf>
    <xf numFmtId="0" fontId="24" fillId="0" borderId="0" xfId="29" applyFont="1" applyFill="1" applyBorder="1" applyAlignment="1" applyProtection="1">
      <alignment horizontal="left" vertical="center"/>
      <protection/>
    </xf>
    <xf numFmtId="0" fontId="66" fillId="9" borderId="0" xfId="29" applyFont="1" applyFill="1" applyBorder="1" applyAlignment="1" applyProtection="1">
      <alignment horizontal="left" vertical="center"/>
      <protection/>
    </xf>
    <xf numFmtId="0" fontId="24" fillId="9" borderId="0" xfId="29" applyFont="1" applyFill="1" applyBorder="1" applyAlignment="1" applyProtection="1">
      <alignment horizontal="left" vertical="center"/>
      <protection/>
    </xf>
    <xf numFmtId="0" fontId="66" fillId="12" borderId="0" xfId="29" applyFont="1" applyFill="1" applyBorder="1" applyAlignment="1" applyProtection="1">
      <alignment horizontal="left" vertical="center"/>
      <protection/>
    </xf>
    <xf numFmtId="0" fontId="24" fillId="12" borderId="0" xfId="29" applyFont="1" applyFill="1" applyBorder="1" applyAlignment="1" applyProtection="1">
      <alignment horizontal="left" vertical="center"/>
      <protection/>
    </xf>
    <xf numFmtId="0" fontId="24" fillId="13" borderId="0" xfId="29" applyFont="1" applyFill="1" applyBorder="1" applyAlignment="1" applyProtection="1">
      <alignment horizontal="left" vertical="center"/>
      <protection/>
    </xf>
    <xf numFmtId="49" fontId="28" fillId="13" borderId="60" xfId="30" applyNumberFormat="1" applyFont="1" applyFill="1" applyBorder="1" applyAlignment="1" applyProtection="1">
      <alignment horizontal="left" vertical="center"/>
      <protection/>
    </xf>
    <xf numFmtId="0" fontId="30" fillId="13" borderId="0" xfId="0" applyFont="1" applyFill="1" applyAlignment="1">
      <alignment horizontal="center"/>
    </xf>
    <xf numFmtId="4" fontId="9" fillId="13" borderId="60" xfId="32" applyNumberFormat="1" applyFont="1" applyFill="1" applyBorder="1" applyAlignment="1">
      <alignment horizontal="center" vertical="center"/>
      <protection/>
    </xf>
    <xf numFmtId="165" fontId="11" fillId="13" borderId="60" xfId="30" applyNumberFormat="1" applyFont="1" applyFill="1" applyBorder="1" applyAlignment="1" applyProtection="1">
      <alignment horizontal="right" vertical="center" indent="1"/>
      <protection/>
    </xf>
    <xf numFmtId="49" fontId="27" fillId="13" borderId="60" xfId="30" applyNumberFormat="1" applyFont="1" applyFill="1" applyBorder="1" applyAlignment="1" applyProtection="1">
      <alignment vertical="center"/>
      <protection/>
    </xf>
    <xf numFmtId="49" fontId="9" fillId="13" borderId="63" xfId="0" applyNumberFormat="1" applyFont="1" applyFill="1" applyBorder="1" applyAlignment="1">
      <alignment horizontal="center" vertical="center"/>
    </xf>
    <xf numFmtId="49" fontId="9" fillId="13" borderId="60" xfId="30" applyNumberFormat="1" applyFont="1" applyFill="1" applyBorder="1" applyAlignment="1" applyProtection="1">
      <alignment horizontal="left" vertical="center"/>
      <protection/>
    </xf>
    <xf numFmtId="49" fontId="9" fillId="13" borderId="60" xfId="30" applyNumberFormat="1" applyFont="1" applyFill="1" applyBorder="1" applyAlignment="1" applyProtection="1">
      <alignment horizontal="left" vertical="center" wrapText="1"/>
      <protection/>
    </xf>
    <xf numFmtId="4" fontId="9" fillId="13" borderId="60" xfId="30" applyNumberFormat="1" applyFont="1" applyFill="1" applyBorder="1" applyAlignment="1" applyProtection="1">
      <alignment horizontal="right" vertical="center" indent="1"/>
      <protection/>
    </xf>
    <xf numFmtId="0" fontId="33" fillId="13" borderId="0" xfId="0" applyFont="1" applyFill="1"/>
    <xf numFmtId="0" fontId="9" fillId="13" borderId="0" xfId="0" applyFont="1" applyFill="1"/>
    <xf numFmtId="172" fontId="11" fillId="13" borderId="85" xfId="33" applyNumberFormat="1" applyFont="1" applyFill="1" applyBorder="1" applyAlignment="1">
      <alignment horizontal="right" vertical="center" indent="1"/>
      <protection/>
    </xf>
    <xf numFmtId="0" fontId="9" fillId="13" borderId="60" xfId="0" applyFont="1" applyFill="1" applyBorder="1" applyAlignment="1">
      <alignment horizontal="left" vertical="center" wrapText="1"/>
    </xf>
    <xf numFmtId="4" fontId="9" fillId="13" borderId="60" xfId="0" applyNumberFormat="1" applyFont="1" applyFill="1" applyBorder="1" applyAlignment="1">
      <alignment horizontal="center" vertical="center" wrapText="1"/>
    </xf>
    <xf numFmtId="4" fontId="9" fillId="13" borderId="60" xfId="0" applyNumberFormat="1" applyFont="1" applyFill="1" applyBorder="1" applyAlignment="1">
      <alignment horizontal="right" vertical="center" indent="1"/>
    </xf>
    <xf numFmtId="0" fontId="33" fillId="13" borderId="0" xfId="0" applyFont="1" applyFill="1" applyAlignment="1">
      <alignment vertical="center"/>
    </xf>
    <xf numFmtId="172" fontId="30" fillId="13" borderId="0" xfId="33" applyNumberFormat="1" applyFont="1" applyFill="1" applyBorder="1">
      <alignment/>
      <protection/>
    </xf>
    <xf numFmtId="0" fontId="9" fillId="13" borderId="0" xfId="0" applyFont="1" applyFill="1" applyAlignment="1">
      <alignment vertical="center"/>
    </xf>
    <xf numFmtId="172" fontId="9" fillId="13" borderId="60" xfId="0" applyNumberFormat="1" applyFont="1" applyFill="1" applyBorder="1" applyAlignment="1">
      <alignment horizontal="right" vertical="center" indent="1"/>
    </xf>
    <xf numFmtId="172" fontId="9" fillId="13" borderId="85" xfId="0" applyNumberFormat="1" applyFont="1" applyFill="1" applyBorder="1" applyAlignment="1">
      <alignment horizontal="right" vertical="center" indent="1"/>
    </xf>
    <xf numFmtId="172" fontId="33" fillId="13" borderId="0" xfId="0" applyNumberFormat="1" applyFont="1" applyFill="1" applyAlignment="1">
      <alignment vertical="center"/>
    </xf>
    <xf numFmtId="4" fontId="11" fillId="13" borderId="60" xfId="0" applyNumberFormat="1" applyFont="1" applyFill="1" applyBorder="1" applyAlignment="1">
      <alignment horizontal="right" vertical="center" indent="1"/>
    </xf>
    <xf numFmtId="0" fontId="31" fillId="13" borderId="63" xfId="31" applyFont="1" applyFill="1" applyBorder="1" applyAlignment="1">
      <alignment horizontal="left"/>
      <protection/>
    </xf>
    <xf numFmtId="49" fontId="31" fillId="13" borderId="60" xfId="31" applyNumberFormat="1" applyFont="1" applyFill="1" applyBorder="1" applyAlignment="1">
      <alignment horizontal="left"/>
      <protection/>
    </xf>
    <xf numFmtId="4" fontId="9" fillId="13" borderId="60" xfId="0" applyNumberFormat="1" applyFont="1" applyFill="1" applyBorder="1" applyAlignment="1">
      <alignment horizontal="right" vertical="center" wrapText="1" indent="1"/>
    </xf>
    <xf numFmtId="172" fontId="31" fillId="13" borderId="60" xfId="31" applyNumberFormat="1" applyFont="1" applyFill="1" applyBorder="1" applyAlignment="1">
      <alignment horizontal="right" vertical="center" indent="1"/>
      <protection/>
    </xf>
    <xf numFmtId="172" fontId="31" fillId="13" borderId="85" xfId="31" applyNumberFormat="1" applyFont="1" applyFill="1" applyBorder="1" applyAlignment="1">
      <alignment horizontal="right" vertical="center" indent="1"/>
      <protection/>
    </xf>
    <xf numFmtId="172" fontId="34" fillId="13" borderId="0" xfId="31" applyNumberFormat="1" applyFont="1" applyFill="1" applyBorder="1" applyAlignment="1">
      <alignment horizontal="left"/>
      <protection/>
    </xf>
    <xf numFmtId="0" fontId="34" fillId="13" borderId="0" xfId="31" applyFont="1" applyFill="1" applyAlignment="1">
      <alignment horizontal="left"/>
      <protection/>
    </xf>
    <xf numFmtId="0" fontId="31" fillId="13" borderId="0" xfId="31" applyFont="1" applyFill="1" applyAlignment="1">
      <alignment horizontal="left"/>
      <protection/>
    </xf>
    <xf numFmtId="165" fontId="9" fillId="13" borderId="60" xfId="30" applyNumberFormat="1" applyFont="1" applyFill="1" applyBorder="1" applyAlignment="1" applyProtection="1">
      <alignment horizontal="right" vertical="center" indent="1"/>
      <protection/>
    </xf>
    <xf numFmtId="165" fontId="9" fillId="13" borderId="85" xfId="30" applyNumberFormat="1" applyFont="1" applyFill="1" applyBorder="1" applyAlignment="1" applyProtection="1">
      <alignment horizontal="right" vertical="center" indent="1"/>
      <protection/>
    </xf>
    <xf numFmtId="49" fontId="36" fillId="13" borderId="60" xfId="30" applyNumberFormat="1" applyFont="1" applyFill="1" applyBorder="1" applyAlignment="1" applyProtection="1">
      <alignment horizontal="left" vertical="center"/>
      <protection/>
    </xf>
    <xf numFmtId="4" fontId="33" fillId="13" borderId="0" xfId="0" applyNumberFormat="1" applyFont="1" applyFill="1" applyAlignment="1">
      <alignment vertical="center"/>
    </xf>
    <xf numFmtId="4" fontId="33" fillId="13" borderId="0" xfId="0" applyNumberFormat="1" applyFont="1" applyFill="1" applyAlignment="1">
      <alignment horizontal="center" vertical="center"/>
    </xf>
    <xf numFmtId="4" fontId="9" fillId="13" borderId="60" xfId="0" applyNumberFormat="1" applyFont="1" applyFill="1" applyBorder="1" applyAlignment="1">
      <alignment horizontal="center" vertical="center"/>
    </xf>
    <xf numFmtId="165" fontId="32" fillId="13" borderId="0" xfId="31" applyNumberFormat="1" applyFont="1" applyFill="1" applyBorder="1" applyAlignment="1">
      <alignment vertical="center"/>
      <protection/>
    </xf>
    <xf numFmtId="0" fontId="32" fillId="13" borderId="0" xfId="31" applyFont="1" applyFill="1" applyBorder="1" applyAlignment="1">
      <alignment vertical="center"/>
      <protection/>
    </xf>
    <xf numFmtId="0" fontId="32" fillId="13" borderId="0" xfId="31" applyFont="1" applyFill="1" applyAlignment="1">
      <alignment vertical="center"/>
      <protection/>
    </xf>
    <xf numFmtId="0" fontId="37" fillId="13" borderId="0" xfId="31" applyFont="1" applyFill="1" applyAlignment="1">
      <alignment vertical="center"/>
      <protection/>
    </xf>
    <xf numFmtId="0" fontId="38" fillId="13" borderId="0" xfId="31" applyFont="1" applyFill="1" applyAlignment="1">
      <alignment vertical="center"/>
      <protection/>
    </xf>
    <xf numFmtId="172" fontId="11" fillId="13" borderId="85" xfId="31" applyNumberFormat="1" applyFont="1" applyFill="1" applyBorder="1" applyAlignment="1">
      <alignment horizontal="right" vertical="center" indent="1"/>
      <protection/>
    </xf>
    <xf numFmtId="172" fontId="30" fillId="13" borderId="0" xfId="31" applyNumberFormat="1" applyFont="1" applyFill="1" applyBorder="1">
      <alignment/>
      <protection/>
    </xf>
    <xf numFmtId="172" fontId="30" fillId="13" borderId="0" xfId="31" applyNumberFormat="1" applyFont="1" applyFill="1">
      <alignment/>
      <protection/>
    </xf>
    <xf numFmtId="4" fontId="30" fillId="13" borderId="0" xfId="31" applyNumberFormat="1" applyFont="1" applyFill="1">
      <alignment/>
      <protection/>
    </xf>
    <xf numFmtId="0" fontId="29" fillId="13" borderId="0" xfId="31" applyFont="1" applyFill="1">
      <alignment/>
      <protection/>
    </xf>
    <xf numFmtId="0" fontId="0" fillId="13" borderId="0" xfId="31" applyFont="1" applyFill="1">
      <alignment/>
      <protection/>
    </xf>
    <xf numFmtId="0" fontId="0" fillId="13" borderId="0" xfId="31" applyFont="1" applyFill="1">
      <alignment/>
      <protection/>
    </xf>
    <xf numFmtId="49" fontId="12" fillId="13" borderId="62" xfId="30" applyNumberFormat="1" applyFont="1" applyFill="1" applyBorder="1" applyAlignment="1" applyProtection="1">
      <alignment horizontal="left" vertical="center"/>
      <protection/>
    </xf>
    <xf numFmtId="49" fontId="12" fillId="0" borderId="14" xfId="30" applyNumberFormat="1" applyFont="1" applyFill="1" applyBorder="1" applyAlignment="1" applyProtection="1">
      <alignment horizontal="left" vertical="center"/>
      <protection/>
    </xf>
    <xf numFmtId="49" fontId="28" fillId="10" borderId="91" xfId="30" applyNumberFormat="1" applyFont="1" applyFill="1" applyBorder="1" applyAlignment="1" applyProtection="1">
      <alignment horizontal="left" vertical="center"/>
      <protection/>
    </xf>
    <xf numFmtId="0" fontId="75" fillId="13" borderId="3" xfId="0" applyFont="1" applyFill="1" applyBorder="1" applyAlignment="1">
      <alignment vertical="center"/>
    </xf>
    <xf numFmtId="4" fontId="11" fillId="13" borderId="60" xfId="32" applyNumberFormat="1" applyFont="1" applyFill="1" applyBorder="1" applyAlignment="1">
      <alignment horizontal="center" vertical="center"/>
      <protection/>
    </xf>
    <xf numFmtId="49" fontId="7" fillId="11" borderId="76" xfId="30" applyNumberFormat="1" applyFont="1" applyFill="1" applyBorder="1" applyAlignment="1" applyProtection="1">
      <alignment horizontal="left" vertical="center"/>
      <protection/>
    </xf>
    <xf numFmtId="49" fontId="13" fillId="11" borderId="76" xfId="30" applyNumberFormat="1" applyFont="1" applyFill="1" applyBorder="1" applyAlignment="1" applyProtection="1">
      <alignment vertical="center"/>
      <protection/>
    </xf>
    <xf numFmtId="49" fontId="13" fillId="11" borderId="0" xfId="30" applyNumberFormat="1" applyFont="1" applyFill="1" applyBorder="1" applyAlignment="1" applyProtection="1">
      <alignment vertical="center"/>
      <protection/>
    </xf>
    <xf numFmtId="49" fontId="11" fillId="0" borderId="60" xfId="30" applyNumberFormat="1" applyFont="1" applyFill="1" applyBorder="1" applyAlignment="1" applyProtection="1">
      <alignment vertical="center"/>
      <protection/>
    </xf>
    <xf numFmtId="49" fontId="11" fillId="13" borderId="60" xfId="30" applyNumberFormat="1" applyFont="1" applyFill="1" applyBorder="1" applyAlignment="1" applyProtection="1">
      <alignment horizontal="left" vertical="center"/>
      <protection/>
    </xf>
    <xf numFmtId="0" fontId="27" fillId="14" borderId="60" xfId="0" applyFont="1" applyFill="1" applyBorder="1" applyAlignment="1">
      <alignment vertical="center" wrapText="1"/>
    </xf>
    <xf numFmtId="49" fontId="27" fillId="14" borderId="60" xfId="30" applyNumberFormat="1" applyFont="1" applyFill="1" applyBorder="1" applyAlignment="1" applyProtection="1">
      <alignment vertical="center"/>
      <protection/>
    </xf>
    <xf numFmtId="49" fontId="11" fillId="14" borderId="60" xfId="30" applyNumberFormat="1" applyFont="1" applyFill="1" applyBorder="1" applyAlignment="1" applyProtection="1">
      <alignment vertical="center"/>
      <protection/>
    </xf>
    <xf numFmtId="49" fontId="78" fillId="0" borderId="63" xfId="0" applyNumberFormat="1" applyFont="1" applyFill="1" applyBorder="1" applyAlignment="1">
      <alignment horizontal="center" vertical="center"/>
    </xf>
    <xf numFmtId="49" fontId="78" fillId="0" borderId="60" xfId="30" applyNumberFormat="1" applyFont="1" applyFill="1" applyBorder="1" applyAlignment="1" applyProtection="1">
      <alignment horizontal="left" vertical="center"/>
      <protection/>
    </xf>
    <xf numFmtId="49" fontId="78" fillId="0" borderId="60" xfId="30" applyNumberFormat="1" applyFont="1" applyFill="1" applyBorder="1" applyAlignment="1" applyProtection="1">
      <alignment horizontal="left" vertical="center" wrapText="1"/>
      <protection/>
    </xf>
    <xf numFmtId="49" fontId="78" fillId="0" borderId="60" xfId="30" applyNumberFormat="1" applyFont="1" applyFill="1" applyBorder="1" applyAlignment="1" applyProtection="1">
      <alignment horizontal="center" vertical="center"/>
      <protection/>
    </xf>
    <xf numFmtId="4" fontId="78" fillId="0" borderId="60" xfId="30" applyNumberFormat="1" applyFont="1" applyFill="1" applyBorder="1" applyAlignment="1" applyProtection="1">
      <alignment horizontal="right" vertical="center" indent="1"/>
      <protection/>
    </xf>
    <xf numFmtId="165" fontId="78" fillId="0" borderId="60" xfId="30" applyNumberFormat="1" applyFont="1" applyFill="1" applyBorder="1" applyAlignment="1" applyProtection="1">
      <alignment horizontal="right" vertical="center" indent="1"/>
      <protection/>
    </xf>
    <xf numFmtId="165" fontId="78" fillId="0" borderId="85" xfId="30" applyNumberFormat="1" applyFont="1" applyFill="1" applyBorder="1" applyAlignment="1" applyProtection="1">
      <alignment horizontal="right" vertical="center" indent="1"/>
      <protection/>
    </xf>
    <xf numFmtId="4" fontId="78" fillId="0" borderId="0" xfId="0" applyNumberFormat="1" applyFont="1" applyFill="1" applyAlignment="1">
      <alignment vertical="center"/>
    </xf>
    <xf numFmtId="4" fontId="78" fillId="0" borderId="0" xfId="0" applyNumberFormat="1" applyFont="1" applyFill="1" applyAlignment="1">
      <alignment horizontal="center" vertical="center"/>
    </xf>
    <xf numFmtId="0" fontId="78" fillId="0" borderId="0" xfId="0" applyFont="1" applyFill="1"/>
    <xf numFmtId="4" fontId="12" fillId="13" borderId="65" xfId="30" applyNumberFormat="1" applyFont="1" applyFill="1" applyBorder="1" applyAlignment="1" applyProtection="1">
      <alignment horizontal="right" vertical="center" indent="1"/>
      <protection/>
    </xf>
    <xf numFmtId="0" fontId="79" fillId="13" borderId="0" xfId="0" applyFont="1" applyFill="1"/>
    <xf numFmtId="49" fontId="79" fillId="0" borderId="63" xfId="0" applyNumberFormat="1" applyFont="1" applyFill="1" applyBorder="1" applyAlignment="1">
      <alignment horizontal="center" vertical="center"/>
    </xf>
    <xf numFmtId="49" fontId="79" fillId="0" borderId="60" xfId="30" applyNumberFormat="1" applyFont="1" applyFill="1" applyBorder="1" applyAlignment="1" applyProtection="1">
      <alignment horizontal="left" vertical="center"/>
      <protection/>
    </xf>
    <xf numFmtId="49" fontId="79" fillId="0" borderId="60" xfId="30" applyNumberFormat="1" applyFont="1" applyFill="1" applyBorder="1" applyAlignment="1" applyProtection="1">
      <alignment horizontal="left" vertical="center" wrapText="1"/>
      <protection/>
    </xf>
    <xf numFmtId="4" fontId="79" fillId="0" borderId="60" xfId="30" applyNumberFormat="1" applyFont="1" applyFill="1" applyBorder="1" applyAlignment="1" applyProtection="1">
      <alignment horizontal="right" vertical="center" indent="1"/>
      <protection/>
    </xf>
    <xf numFmtId="165" fontId="79" fillId="0" borderId="60" xfId="30" applyNumberFormat="1" applyFont="1" applyFill="1" applyBorder="1" applyAlignment="1" applyProtection="1">
      <alignment horizontal="right" vertical="center" indent="1"/>
      <protection/>
    </xf>
    <xf numFmtId="165" fontId="79" fillId="0" borderId="85" xfId="30" applyNumberFormat="1" applyFont="1" applyFill="1" applyBorder="1" applyAlignment="1" applyProtection="1">
      <alignment horizontal="right" vertical="center" indent="1"/>
      <protection/>
    </xf>
    <xf numFmtId="0" fontId="79" fillId="0" borderId="0" xfId="0" applyFont="1" applyFill="1"/>
    <xf numFmtId="49" fontId="58" fillId="11" borderId="66" xfId="30" applyNumberFormat="1" applyFont="1" applyFill="1" applyBorder="1" applyAlignment="1" applyProtection="1">
      <alignment horizontal="left" vertical="center"/>
      <protection/>
    </xf>
    <xf numFmtId="4" fontId="78" fillId="0" borderId="60" xfId="0" applyNumberFormat="1" applyFont="1" applyFill="1" applyBorder="1" applyAlignment="1">
      <alignment horizontal="right" vertical="center" indent="1"/>
    </xf>
    <xf numFmtId="172" fontId="78" fillId="0" borderId="60" xfId="33" applyNumberFormat="1" applyFont="1" applyFill="1" applyBorder="1" applyAlignment="1">
      <alignment horizontal="right" vertical="center" indent="1"/>
      <protection/>
    </xf>
    <xf numFmtId="172" fontId="78" fillId="0" borderId="85" xfId="33" applyNumberFormat="1" applyFont="1" applyFill="1" applyBorder="1" applyAlignment="1">
      <alignment horizontal="right" vertical="center" indent="1"/>
      <protection/>
    </xf>
    <xf numFmtId="4" fontId="67" fillId="0" borderId="60" xfId="30" applyNumberFormat="1" applyFont="1" applyFill="1" applyBorder="1" applyAlignment="1" applyProtection="1">
      <alignment horizontal="right" vertical="center" indent="1"/>
      <protection/>
    </xf>
    <xf numFmtId="165" fontId="68" fillId="0" borderId="60" xfId="30" applyNumberFormat="1" applyFont="1" applyFill="1" applyBorder="1" applyAlignment="1" applyProtection="1">
      <alignment horizontal="right" vertical="center" indent="1"/>
      <protection/>
    </xf>
    <xf numFmtId="165" fontId="68" fillId="0" borderId="85" xfId="30" applyNumberFormat="1" applyFont="1" applyFill="1" applyBorder="1" applyAlignment="1" applyProtection="1">
      <alignment horizontal="right" vertical="center" indent="1"/>
      <protection/>
    </xf>
    <xf numFmtId="4" fontId="67" fillId="0" borderId="60" xfId="0" applyNumberFormat="1" applyFont="1" applyFill="1" applyBorder="1" applyAlignment="1">
      <alignment horizontal="right" vertical="center" indent="1"/>
    </xf>
    <xf numFmtId="172" fontId="70" fillId="0" borderId="60" xfId="33" applyNumberFormat="1" applyFont="1" applyFill="1" applyBorder="1" applyAlignment="1">
      <alignment horizontal="right" vertical="center" indent="1"/>
      <protection/>
    </xf>
    <xf numFmtId="172" fontId="70" fillId="0" borderId="85" xfId="33" applyNumberFormat="1" applyFont="1" applyFill="1" applyBorder="1" applyAlignment="1">
      <alignment horizontal="right" vertical="center" indent="1"/>
      <protection/>
    </xf>
    <xf numFmtId="4" fontId="31" fillId="0" borderId="60" xfId="31" applyNumberFormat="1" applyFont="1" applyFill="1" applyBorder="1" applyAlignment="1">
      <alignment horizontal="left" vertical="center"/>
      <protection/>
    </xf>
    <xf numFmtId="49" fontId="78" fillId="0" borderId="60" xfId="30" applyNumberFormat="1" applyFont="1" applyFill="1" applyBorder="1" applyAlignment="1" applyProtection="1">
      <alignment vertical="center"/>
      <protection/>
    </xf>
    <xf numFmtId="49" fontId="78" fillId="0" borderId="60" xfId="33" applyNumberFormat="1" applyFont="1" applyFill="1" applyBorder="1" applyAlignment="1">
      <alignment horizontal="left" vertical="center"/>
      <protection/>
    </xf>
    <xf numFmtId="0" fontId="78" fillId="0" borderId="60" xfId="33" applyFont="1" applyFill="1" applyBorder="1" applyAlignment="1">
      <alignment vertical="center" wrapText="1"/>
      <protection/>
    </xf>
    <xf numFmtId="0" fontId="78" fillId="0" borderId="60" xfId="0" applyFont="1" applyFill="1" applyBorder="1" applyAlignment="1">
      <alignment horizontal="center" vertical="center"/>
    </xf>
    <xf numFmtId="172" fontId="78" fillId="0" borderId="0" xfId="33" applyNumberFormat="1" applyFont="1" applyFill="1" applyBorder="1">
      <alignment/>
      <protection/>
    </xf>
    <xf numFmtId="4" fontId="78" fillId="0" borderId="0" xfId="33" applyNumberFormat="1" applyFont="1" applyFill="1">
      <alignment/>
      <protection/>
    </xf>
    <xf numFmtId="0" fontId="80" fillId="0" borderId="0" xfId="33" applyFont="1" applyFill="1">
      <alignment/>
      <protection/>
    </xf>
    <xf numFmtId="49" fontId="67" fillId="0" borderId="63" xfId="0" applyNumberFormat="1" applyFont="1" applyFill="1" applyBorder="1" applyAlignment="1">
      <alignment horizontal="center" vertical="center"/>
    </xf>
    <xf numFmtId="49" fontId="79" fillId="0" borderId="60" xfId="30" applyNumberFormat="1" applyFont="1" applyFill="1" applyBorder="1" applyAlignment="1" applyProtection="1">
      <alignment vertical="center"/>
      <protection/>
    </xf>
    <xf numFmtId="4" fontId="79" fillId="0" borderId="60" xfId="23" applyNumberFormat="1" applyFont="1" applyFill="1" applyBorder="1" applyAlignment="1">
      <alignment horizontal="center" vertical="center" wrapText="1"/>
      <protection/>
    </xf>
    <xf numFmtId="0" fontId="69" fillId="0" borderId="0" xfId="0" applyFont="1" applyFill="1"/>
    <xf numFmtId="0" fontId="67" fillId="0" borderId="0" xfId="0" applyFont="1" applyFill="1"/>
    <xf numFmtId="49" fontId="79" fillId="0" borderId="60" xfId="0" applyNumberFormat="1" applyFont="1" applyFill="1" applyBorder="1" applyAlignment="1">
      <alignment horizontal="center" vertical="center"/>
    </xf>
    <xf numFmtId="0" fontId="79" fillId="0" borderId="60" xfId="0" applyFont="1" applyFill="1" applyBorder="1" applyAlignment="1">
      <alignment horizontal="left" vertical="center" wrapText="1"/>
    </xf>
    <xf numFmtId="0" fontId="79" fillId="0" borderId="60" xfId="0" applyFont="1" applyFill="1" applyBorder="1" applyAlignment="1">
      <alignment vertical="center" wrapText="1"/>
    </xf>
    <xf numFmtId="4" fontId="79" fillId="0" borderId="60" xfId="0" applyNumberFormat="1" applyFont="1" applyFill="1" applyBorder="1" applyAlignment="1">
      <alignment horizontal="center" vertical="center" wrapText="1"/>
    </xf>
    <xf numFmtId="0" fontId="69" fillId="0" borderId="0" xfId="0" applyFont="1" applyFill="1" applyAlignment="1">
      <alignment vertical="center"/>
    </xf>
    <xf numFmtId="172" fontId="56" fillId="0" borderId="0" xfId="33" applyNumberFormat="1" applyFont="1" applyFill="1" applyBorder="1">
      <alignment/>
      <protection/>
    </xf>
    <xf numFmtId="0" fontId="67" fillId="0" borderId="0" xfId="0" applyFont="1" applyFill="1" applyAlignment="1">
      <alignment vertical="center"/>
    </xf>
    <xf numFmtId="4" fontId="11" fillId="10" borderId="60" xfId="0" applyNumberFormat="1" applyFont="1" applyFill="1" applyBorder="1" applyAlignment="1">
      <alignment vertical="center" wrapText="1"/>
    </xf>
    <xf numFmtId="4" fontId="79" fillId="0" borderId="60" xfId="32" applyNumberFormat="1" applyFont="1" applyFill="1" applyBorder="1" applyAlignment="1">
      <alignment horizontal="center" vertical="center"/>
      <protection/>
    </xf>
    <xf numFmtId="4" fontId="81" fillId="0" borderId="60" xfId="32" applyNumberFormat="1" applyFont="1" applyFill="1" applyBorder="1" applyAlignment="1">
      <alignment horizontal="center" vertical="center"/>
      <protection/>
    </xf>
    <xf numFmtId="4" fontId="12" fillId="13" borderId="82" xfId="30" applyNumberFormat="1" applyFont="1" applyFill="1" applyBorder="1" applyAlignment="1" applyProtection="1">
      <alignment horizontal="right" vertical="center" indent="1"/>
      <protection/>
    </xf>
    <xf numFmtId="4" fontId="12" fillId="13" borderId="2" xfId="30" applyNumberFormat="1" applyFont="1" applyFill="1" applyBorder="1" applyAlignment="1" applyProtection="1">
      <alignment horizontal="right" vertical="center" indent="1"/>
      <protection/>
    </xf>
    <xf numFmtId="49" fontId="27" fillId="0" borderId="60" xfId="30" applyNumberFormat="1" applyFont="1" applyFill="1" applyBorder="1" applyAlignment="1" applyProtection="1">
      <alignment vertical="center"/>
      <protection/>
    </xf>
    <xf numFmtId="4" fontId="81" fillId="0" borderId="60" xfId="23" applyNumberFormat="1" applyFont="1" applyFill="1" applyBorder="1" applyAlignment="1">
      <alignment horizontal="center" vertical="center" wrapText="1"/>
      <protection/>
    </xf>
    <xf numFmtId="49" fontId="36" fillId="0" borderId="60" xfId="30" applyNumberFormat="1" applyFont="1" applyFill="1" applyBorder="1" applyAlignment="1" applyProtection="1">
      <alignment horizontal="left" vertical="center"/>
      <protection/>
    </xf>
    <xf numFmtId="49" fontId="78" fillId="0" borderId="61" xfId="0" applyNumberFormat="1" applyFont="1" applyFill="1" applyBorder="1" applyAlignment="1">
      <alignment horizontal="center" vertical="center"/>
    </xf>
    <xf numFmtId="49" fontId="78" fillId="0" borderId="14" xfId="30" applyNumberFormat="1" applyFont="1" applyFill="1" applyBorder="1" applyAlignment="1" applyProtection="1">
      <alignment horizontal="left" vertical="center"/>
      <protection/>
    </xf>
    <xf numFmtId="49" fontId="78" fillId="0" borderId="14" xfId="30" applyNumberFormat="1" applyFont="1" applyFill="1" applyBorder="1" applyAlignment="1" applyProtection="1">
      <alignment horizontal="left" vertical="center" wrapText="1"/>
      <protection/>
    </xf>
    <xf numFmtId="4" fontId="82" fillId="0" borderId="62" xfId="30" applyNumberFormat="1" applyFont="1" applyFill="1" applyBorder="1" applyAlignment="1" applyProtection="1">
      <alignment horizontal="right" vertical="center" indent="1"/>
      <protection/>
    </xf>
    <xf numFmtId="49" fontId="78" fillId="0" borderId="62" xfId="30" applyNumberFormat="1" applyFont="1" applyFill="1" applyBorder="1" applyAlignment="1" applyProtection="1">
      <alignment horizontal="center" vertical="center"/>
      <protection/>
    </xf>
    <xf numFmtId="4" fontId="78" fillId="0" borderId="62" xfId="30" applyNumberFormat="1" applyFont="1" applyFill="1" applyBorder="1" applyAlignment="1" applyProtection="1">
      <alignment horizontal="right" vertical="center" indent="1"/>
      <protection/>
    </xf>
    <xf numFmtId="165" fontId="78" fillId="0" borderId="62" xfId="30" applyNumberFormat="1" applyFont="1" applyFill="1" applyBorder="1" applyAlignment="1" applyProtection="1">
      <alignment horizontal="right" vertical="center" indent="1"/>
      <protection/>
    </xf>
    <xf numFmtId="165" fontId="78" fillId="0" borderId="79" xfId="30" applyNumberFormat="1" applyFont="1" applyFill="1" applyBorder="1" applyAlignment="1" applyProtection="1">
      <alignment horizontal="right" vertical="center" indent="1"/>
      <protection/>
    </xf>
    <xf numFmtId="49" fontId="28" fillId="10" borderId="84" xfId="30" applyNumberFormat="1" applyFont="1" applyFill="1" applyBorder="1" applyAlignment="1" applyProtection="1">
      <alignment horizontal="left" vertical="center"/>
      <protection/>
    </xf>
    <xf numFmtId="49" fontId="36" fillId="14" borderId="60" xfId="30" applyNumberFormat="1" applyFont="1" applyFill="1" applyBorder="1" applyAlignment="1" applyProtection="1">
      <alignment horizontal="left" vertical="center"/>
      <protection/>
    </xf>
    <xf numFmtId="49" fontId="28" fillId="14" borderId="60" xfId="30" applyNumberFormat="1" applyFont="1" applyFill="1" applyBorder="1" applyAlignment="1" applyProtection="1">
      <alignment horizontal="left" vertical="center"/>
      <protection/>
    </xf>
    <xf numFmtId="0" fontId="10" fillId="14" borderId="60" xfId="31" applyFont="1" applyFill="1" applyBorder="1" applyAlignment="1">
      <alignment vertical="center" wrapText="1"/>
      <protection/>
    </xf>
    <xf numFmtId="0" fontId="60" fillId="14" borderId="60" xfId="31" applyFont="1" applyFill="1" applyBorder="1" applyAlignment="1">
      <alignment horizontal="left" vertical="center" wrapText="1"/>
      <protection/>
    </xf>
    <xf numFmtId="49" fontId="28" fillId="0" borderId="5" xfId="30" applyNumberFormat="1" applyFont="1" applyFill="1" applyBorder="1" applyAlignment="1" applyProtection="1">
      <alignment horizontal="left" vertical="center"/>
      <protection/>
    </xf>
    <xf numFmtId="49" fontId="58" fillId="0" borderId="3" xfId="30" applyNumberFormat="1" applyFont="1" applyFill="1" applyBorder="1" applyAlignment="1" applyProtection="1">
      <alignment horizontal="left" vertical="center"/>
      <protection/>
    </xf>
    <xf numFmtId="49" fontId="58" fillId="0" borderId="7" xfId="30" applyNumberFormat="1" applyFont="1" applyFill="1" applyBorder="1" applyAlignment="1" applyProtection="1">
      <alignment horizontal="left" vertical="center"/>
      <protection/>
    </xf>
    <xf numFmtId="49" fontId="12" fillId="0" borderId="144" xfId="30" applyNumberFormat="1" applyFont="1" applyFill="1" applyBorder="1" applyAlignment="1" applyProtection="1">
      <alignment horizontal="center" vertical="center"/>
      <protection/>
    </xf>
    <xf numFmtId="49" fontId="28" fillId="10" borderId="145" xfId="30" applyNumberFormat="1" applyFont="1" applyFill="1" applyBorder="1" applyAlignment="1" applyProtection="1">
      <alignment horizontal="left" vertical="center"/>
      <protection/>
    </xf>
    <xf numFmtId="49" fontId="11" fillId="0" borderId="146" xfId="0" applyNumberFormat="1" applyFont="1" applyFill="1" applyBorder="1" applyAlignment="1">
      <alignment horizontal="center" vertical="center"/>
    </xf>
    <xf numFmtId="49" fontId="12" fillId="0" borderId="145" xfId="30" applyNumberFormat="1" applyFont="1" applyFill="1" applyBorder="1" applyAlignment="1" applyProtection="1">
      <alignment horizontal="left" vertical="center"/>
      <protection/>
    </xf>
    <xf numFmtId="49" fontId="12" fillId="0" borderId="145" xfId="30" applyNumberFormat="1" applyFont="1" applyFill="1" applyBorder="1" applyAlignment="1" applyProtection="1">
      <alignment horizontal="center" vertical="center"/>
      <protection/>
    </xf>
    <xf numFmtId="4" fontId="12" fillId="0" borderId="145" xfId="30" applyNumberFormat="1" applyFont="1" applyFill="1" applyBorder="1" applyAlignment="1" applyProtection="1">
      <alignment horizontal="right" vertical="center" indent="1"/>
      <protection/>
    </xf>
    <xf numFmtId="165" fontId="12" fillId="0" borderId="145" xfId="30" applyNumberFormat="1" applyFont="1" applyFill="1" applyBorder="1" applyAlignment="1" applyProtection="1">
      <alignment horizontal="right" vertical="center" indent="1"/>
      <protection/>
    </xf>
    <xf numFmtId="165" fontId="12" fillId="0" borderId="147" xfId="30" applyNumberFormat="1" applyFont="1" applyFill="1" applyBorder="1" applyAlignment="1" applyProtection="1">
      <alignment horizontal="right" vertical="center" indent="1"/>
      <protection/>
    </xf>
    <xf numFmtId="49" fontId="82" fillId="0" borderId="60" xfId="30" applyNumberFormat="1" applyFont="1" applyFill="1" applyBorder="1" applyAlignment="1" applyProtection="1">
      <alignment vertical="center"/>
      <protection/>
    </xf>
    <xf numFmtId="49" fontId="83" fillId="0" borderId="60" xfId="30" applyNumberFormat="1" applyFont="1" applyFill="1" applyBorder="1" applyAlignment="1" applyProtection="1">
      <alignment horizontal="left" vertical="center"/>
      <protection/>
    </xf>
    <xf numFmtId="4" fontId="60" fillId="14" borderId="60" xfId="31" applyNumberFormat="1" applyFont="1" applyFill="1" applyBorder="1" applyAlignment="1">
      <alignment horizontal="left"/>
      <protection/>
    </xf>
    <xf numFmtId="0" fontId="36" fillId="14" borderId="60" xfId="0" applyFont="1" applyFill="1" applyBorder="1" applyAlignment="1">
      <alignment horizontal="left" vertical="center" wrapText="1"/>
    </xf>
    <xf numFmtId="49" fontId="28" fillId="0" borderId="60" xfId="30" applyNumberFormat="1" applyFont="1" applyFill="1" applyBorder="1" applyAlignment="1" applyProtection="1">
      <alignment horizontal="left" vertical="center" wrapText="1"/>
      <protection/>
    </xf>
    <xf numFmtId="49" fontId="83" fillId="10" borderId="60" xfId="30" applyNumberFormat="1" applyFont="1" applyFill="1" applyBorder="1" applyAlignment="1" applyProtection="1">
      <alignment horizontal="left" vertical="center"/>
      <protection/>
    </xf>
    <xf numFmtId="49" fontId="84" fillId="10" borderId="60" xfId="30" applyNumberFormat="1" applyFont="1" applyFill="1" applyBorder="1" applyAlignment="1" applyProtection="1">
      <alignment horizontal="left" vertical="center"/>
      <protection/>
    </xf>
    <xf numFmtId="4" fontId="9" fillId="11" borderId="60" xfId="32" applyNumberFormat="1" applyFont="1" applyFill="1" applyBorder="1" applyAlignment="1">
      <alignment horizontal="center" vertical="center"/>
      <protection/>
    </xf>
    <xf numFmtId="0" fontId="10" fillId="0" borderId="60" xfId="0" applyFont="1" applyFill="1" applyBorder="1" applyAlignment="1">
      <alignment vertical="center" wrapText="1"/>
    </xf>
    <xf numFmtId="0" fontId="61" fillId="0" borderId="0" xfId="30" applyFont="1" applyFill="1" applyBorder="1" applyAlignment="1">
      <alignment vertical="center"/>
      <protection/>
    </xf>
    <xf numFmtId="49" fontId="28" fillId="14" borderId="65" xfId="30" applyNumberFormat="1" applyFont="1" applyFill="1" applyBorder="1" applyAlignment="1" applyProtection="1">
      <alignment horizontal="left" vertical="center"/>
      <protection/>
    </xf>
    <xf numFmtId="0" fontId="2" fillId="0" borderId="0" xfId="30" applyFont="1" applyFill="1" applyAlignment="1">
      <alignment vertical="center"/>
      <protection/>
    </xf>
    <xf numFmtId="49" fontId="9" fillId="14" borderId="60" xfId="30" applyNumberFormat="1" applyFont="1" applyFill="1" applyBorder="1" applyAlignment="1" applyProtection="1">
      <alignment horizontal="left" vertical="center"/>
      <protection/>
    </xf>
    <xf numFmtId="49" fontId="12" fillId="14" borderId="60" xfId="30" applyNumberFormat="1" applyFont="1" applyFill="1" applyBorder="1" applyAlignment="1" applyProtection="1">
      <alignment horizontal="left" vertical="center"/>
      <protection/>
    </xf>
    <xf numFmtId="49" fontId="28" fillId="0" borderId="62" xfId="30" applyNumberFormat="1" applyFont="1" applyFill="1" applyBorder="1" applyAlignment="1" applyProtection="1">
      <alignment horizontal="left" vertical="center"/>
      <protection/>
    </xf>
    <xf numFmtId="49" fontId="76" fillId="0" borderId="63" xfId="0" applyNumberFormat="1" applyFont="1" applyFill="1" applyBorder="1" applyAlignment="1">
      <alignment horizontal="center" vertical="center"/>
    </xf>
    <xf numFmtId="49" fontId="76" fillId="0" borderId="60" xfId="30" applyNumberFormat="1" applyFont="1" applyFill="1" applyBorder="1" applyAlignment="1" applyProtection="1">
      <alignment horizontal="left" vertical="center"/>
      <protection/>
    </xf>
    <xf numFmtId="49" fontId="76" fillId="0" borderId="60" xfId="30" applyNumberFormat="1" applyFont="1" applyFill="1" applyBorder="1" applyAlignment="1" applyProtection="1">
      <alignment horizontal="left" vertical="center" wrapText="1"/>
      <protection/>
    </xf>
    <xf numFmtId="4" fontId="76" fillId="0" borderId="60" xfId="30" applyNumberFormat="1" applyFont="1" applyFill="1" applyBorder="1" applyAlignment="1" applyProtection="1">
      <alignment horizontal="right" vertical="center" indent="1"/>
      <protection/>
    </xf>
    <xf numFmtId="165" fontId="76" fillId="0" borderId="60" xfId="30" applyNumberFormat="1" applyFont="1" applyFill="1" applyBorder="1" applyAlignment="1" applyProtection="1">
      <alignment horizontal="right" vertical="center" indent="1"/>
      <protection/>
    </xf>
    <xf numFmtId="165" fontId="76" fillId="0" borderId="85" xfId="30" applyNumberFormat="1" applyFont="1" applyFill="1" applyBorder="1" applyAlignment="1" applyProtection="1">
      <alignment horizontal="right" vertical="center" indent="1"/>
      <protection/>
    </xf>
    <xf numFmtId="0" fontId="76" fillId="0" borderId="0" xfId="0" applyFont="1" applyFill="1"/>
    <xf numFmtId="0" fontId="76" fillId="0" borderId="0" xfId="0" applyFont="1" applyFill="1" applyAlignment="1">
      <alignment horizontal="center"/>
    </xf>
    <xf numFmtId="49" fontId="77" fillId="14" borderId="60" xfId="30" applyNumberFormat="1" applyFont="1" applyFill="1" applyBorder="1" applyAlignment="1" applyProtection="1">
      <alignment horizontal="left" vertical="center"/>
      <protection/>
    </xf>
    <xf numFmtId="49" fontId="28" fillId="0" borderId="145" xfId="30" applyNumberFormat="1" applyFont="1" applyFill="1" applyBorder="1" applyAlignment="1" applyProtection="1">
      <alignment horizontal="left" vertical="center"/>
      <protection/>
    </xf>
    <xf numFmtId="165" fontId="7" fillId="13" borderId="77" xfId="30" applyNumberFormat="1" applyFont="1" applyFill="1" applyBorder="1" applyAlignment="1" applyProtection="1">
      <alignment horizontal="right" vertical="center" indent="1"/>
      <protection/>
    </xf>
    <xf numFmtId="0" fontId="60" fillId="0" borderId="65" xfId="31" applyFont="1" applyFill="1" applyBorder="1" applyAlignment="1">
      <alignment horizontal="left" vertical="center" wrapText="1"/>
      <protection/>
    </xf>
    <xf numFmtId="0" fontId="10" fillId="0" borderId="62" xfId="0" applyFont="1" applyFill="1" applyBorder="1" applyAlignment="1">
      <alignment vertical="center" wrapText="1"/>
    </xf>
    <xf numFmtId="49" fontId="58" fillId="11" borderId="93" xfId="30" applyNumberFormat="1" applyFont="1" applyFill="1" applyBorder="1" applyAlignment="1" applyProtection="1">
      <alignment horizontal="left" vertical="center"/>
      <protection/>
    </xf>
    <xf numFmtId="0" fontId="74" fillId="0" borderId="0" xfId="0" applyFont="1"/>
    <xf numFmtId="0" fontId="85" fillId="0" borderId="0" xfId="0" applyFont="1"/>
    <xf numFmtId="4" fontId="59" fillId="14" borderId="60" xfId="0" applyNumberFormat="1" applyFont="1" applyFill="1" applyBorder="1" applyAlignment="1">
      <alignment vertical="center" wrapText="1"/>
    </xf>
    <xf numFmtId="49" fontId="9" fillId="15" borderId="63" xfId="0" applyNumberFormat="1" applyFont="1" applyFill="1" applyBorder="1" applyAlignment="1">
      <alignment horizontal="center" vertical="center"/>
    </xf>
    <xf numFmtId="49" fontId="9" fillId="15" borderId="60" xfId="0" applyNumberFormat="1" applyFont="1" applyFill="1" applyBorder="1" applyAlignment="1">
      <alignment horizontal="center" vertical="center"/>
    </xf>
    <xf numFmtId="0" fontId="31" fillId="15" borderId="60" xfId="31" applyFont="1" applyFill="1" applyBorder="1" applyAlignment="1">
      <alignment horizontal="left" vertical="center" wrapText="1"/>
      <protection/>
    </xf>
    <xf numFmtId="4" fontId="9" fillId="15" borderId="60" xfId="0" applyNumberFormat="1" applyFont="1" applyFill="1" applyBorder="1" applyAlignment="1">
      <alignment horizontal="right" vertical="center" indent="1"/>
    </xf>
    <xf numFmtId="172" fontId="9" fillId="15" borderId="60" xfId="0" applyNumberFormat="1" applyFont="1" applyFill="1" applyBorder="1" applyAlignment="1">
      <alignment horizontal="right" vertical="center" indent="1"/>
    </xf>
    <xf numFmtId="172" fontId="9" fillId="15" borderId="85" xfId="0" applyNumberFormat="1" applyFont="1" applyFill="1" applyBorder="1" applyAlignment="1">
      <alignment horizontal="right" vertical="center" indent="1"/>
    </xf>
    <xf numFmtId="172" fontId="33" fillId="15" borderId="0" xfId="0" applyNumberFormat="1" applyFont="1" applyFill="1" applyAlignment="1">
      <alignment vertical="center"/>
    </xf>
    <xf numFmtId="0" fontId="33" fillId="15" borderId="0" xfId="0" applyFont="1" applyFill="1" applyAlignment="1">
      <alignment vertical="center"/>
    </xf>
    <xf numFmtId="0" fontId="9" fillId="15" borderId="0" xfId="0" applyFont="1" applyFill="1" applyAlignment="1">
      <alignment vertical="center"/>
    </xf>
    <xf numFmtId="49" fontId="11" fillId="15" borderId="63" xfId="0" applyNumberFormat="1" applyFont="1" applyFill="1" applyBorder="1" applyAlignment="1">
      <alignment horizontal="center" vertical="center"/>
    </xf>
    <xf numFmtId="49" fontId="12" fillId="15" borderId="60" xfId="30" applyNumberFormat="1" applyFont="1" applyFill="1" applyBorder="1" applyAlignment="1" applyProtection="1">
      <alignment horizontal="left" vertical="center"/>
      <protection/>
    </xf>
    <xf numFmtId="49" fontId="12" fillId="15" borderId="60" xfId="30" applyNumberFormat="1" applyFont="1" applyFill="1" applyBorder="1" applyAlignment="1" applyProtection="1">
      <alignment horizontal="left" vertical="center" wrapText="1"/>
      <protection/>
    </xf>
    <xf numFmtId="49" fontId="12" fillId="15" borderId="60" xfId="30" applyNumberFormat="1" applyFont="1" applyFill="1" applyBorder="1" applyAlignment="1" applyProtection="1">
      <alignment horizontal="center" vertical="center"/>
      <protection/>
    </xf>
    <xf numFmtId="4" fontId="12" fillId="15" borderId="60" xfId="30" applyNumberFormat="1" applyFont="1" applyFill="1" applyBorder="1" applyAlignment="1" applyProtection="1">
      <alignment horizontal="right" vertical="center" indent="1"/>
      <protection/>
    </xf>
    <xf numFmtId="165" fontId="12" fillId="15" borderId="60" xfId="30" applyNumberFormat="1" applyFont="1" applyFill="1" applyBorder="1" applyAlignment="1" applyProtection="1">
      <alignment horizontal="right" vertical="center" indent="1"/>
      <protection/>
    </xf>
    <xf numFmtId="165" fontId="12" fillId="15" borderId="85" xfId="30" applyNumberFormat="1" applyFont="1" applyFill="1" applyBorder="1" applyAlignment="1" applyProtection="1">
      <alignment horizontal="right" vertical="center" indent="1"/>
      <protection/>
    </xf>
    <xf numFmtId="0" fontId="30" fillId="15" borderId="0" xfId="0" applyFont="1" applyFill="1"/>
    <xf numFmtId="0" fontId="11" fillId="15" borderId="0" xfId="0" applyFont="1" applyFill="1"/>
    <xf numFmtId="172" fontId="11" fillId="15" borderId="60" xfId="0" applyNumberFormat="1" applyFont="1" applyFill="1" applyBorder="1" applyAlignment="1">
      <alignment horizontal="right" vertical="center" indent="1"/>
    </xf>
    <xf numFmtId="4" fontId="12" fillId="15" borderId="65" xfId="30" applyNumberFormat="1" applyFont="1" applyFill="1" applyBorder="1" applyAlignment="1" applyProtection="1">
      <alignment horizontal="right" vertical="center" indent="1"/>
      <protection/>
    </xf>
    <xf numFmtId="4" fontId="11" fillId="15" borderId="60" xfId="34" applyNumberFormat="1" applyFont="1" applyFill="1" applyBorder="1" applyAlignment="1">
      <alignment horizontal="right" vertical="center" indent="1"/>
      <protection/>
    </xf>
    <xf numFmtId="2" fontId="9" fillId="15" borderId="60" xfId="0" applyNumberFormat="1" applyFont="1" applyFill="1" applyBorder="1" applyAlignment="1">
      <alignment horizontal="center" vertical="center"/>
    </xf>
    <xf numFmtId="49" fontId="11" fillId="15" borderId="83" xfId="0" applyNumberFormat="1" applyFont="1" applyFill="1" applyBorder="1" applyAlignment="1">
      <alignment horizontal="center" vertical="center"/>
    </xf>
    <xf numFmtId="49" fontId="12" fillId="15" borderId="84" xfId="30" applyNumberFormat="1" applyFont="1" applyFill="1" applyBorder="1" applyAlignment="1" applyProtection="1">
      <alignment horizontal="left" vertical="center"/>
      <protection/>
    </xf>
    <xf numFmtId="0" fontId="11" fillId="15" borderId="60" xfId="0" applyFont="1" applyFill="1" applyBorder="1" applyAlignment="1">
      <alignment vertical="center" wrapText="1"/>
    </xf>
    <xf numFmtId="49" fontId="12" fillId="15" borderId="84" xfId="30" applyNumberFormat="1" applyFont="1" applyFill="1" applyBorder="1" applyAlignment="1" applyProtection="1">
      <alignment horizontal="center" vertical="center"/>
      <protection/>
    </xf>
    <xf numFmtId="4" fontId="12" fillId="15" borderId="84" xfId="30" applyNumberFormat="1" applyFont="1" applyFill="1" applyBorder="1" applyAlignment="1" applyProtection="1">
      <alignment horizontal="right" vertical="center" indent="1"/>
      <protection/>
    </xf>
    <xf numFmtId="4" fontId="11" fillId="15" borderId="60" xfId="0" applyNumberFormat="1" applyFont="1" applyFill="1" applyBorder="1" applyAlignment="1">
      <alignment horizontal="right" vertical="center" indent="1"/>
    </xf>
    <xf numFmtId="165" fontId="12" fillId="15" borderId="84" xfId="30" applyNumberFormat="1" applyFont="1" applyFill="1" applyBorder="1" applyAlignment="1" applyProtection="1">
      <alignment horizontal="right" vertical="center" indent="1"/>
      <protection/>
    </xf>
    <xf numFmtId="49" fontId="9" fillId="15" borderId="60" xfId="30" applyNumberFormat="1" applyFont="1" applyFill="1" applyBorder="1" applyAlignment="1" applyProtection="1">
      <alignment horizontal="left" vertical="center"/>
      <protection/>
    </xf>
    <xf numFmtId="49" fontId="9" fillId="15" borderId="60" xfId="30" applyNumberFormat="1" applyFont="1" applyFill="1" applyBorder="1" applyAlignment="1" applyProtection="1">
      <alignment horizontal="left" vertical="center" wrapText="1"/>
      <protection/>
    </xf>
    <xf numFmtId="4" fontId="9" fillId="15" borderId="60" xfId="32" applyNumberFormat="1" applyFont="1" applyFill="1" applyBorder="1" applyAlignment="1">
      <alignment horizontal="center" vertical="center"/>
      <protection/>
    </xf>
    <xf numFmtId="165" fontId="12" fillId="15" borderId="89" xfId="30" applyNumberFormat="1" applyFont="1" applyFill="1" applyBorder="1" applyAlignment="1" applyProtection="1">
      <alignment horizontal="right" vertical="center" indent="1"/>
      <protection/>
    </xf>
    <xf numFmtId="49" fontId="9" fillId="15" borderId="84" xfId="30" applyNumberFormat="1" applyFont="1" applyFill="1" applyBorder="1" applyAlignment="1" applyProtection="1">
      <alignment horizontal="left" vertical="center"/>
      <protection/>
    </xf>
    <xf numFmtId="49" fontId="9" fillId="15" borderId="84" xfId="30" applyNumberFormat="1" applyFont="1" applyFill="1" applyBorder="1" applyAlignment="1" applyProtection="1">
      <alignment horizontal="left" vertical="center" wrapText="1"/>
      <protection/>
    </xf>
    <xf numFmtId="4" fontId="9" fillId="15" borderId="84" xfId="32" applyNumberFormat="1" applyFont="1" applyFill="1" applyBorder="1" applyAlignment="1">
      <alignment horizontal="center" vertical="center"/>
      <protection/>
    </xf>
    <xf numFmtId="49" fontId="78" fillId="10" borderId="60" xfId="30" applyNumberFormat="1" applyFont="1" applyFill="1" applyBorder="1" applyAlignment="1" applyProtection="1">
      <alignment horizontal="left" vertical="center"/>
      <protection/>
    </xf>
    <xf numFmtId="4" fontId="79" fillId="0" borderId="0" xfId="0" applyNumberFormat="1" applyFont="1" applyFill="1" applyAlignment="1">
      <alignment vertical="center"/>
    </xf>
    <xf numFmtId="4" fontId="79" fillId="0" borderId="0" xfId="0" applyNumberFormat="1" applyFont="1" applyFill="1" applyAlignment="1">
      <alignment horizontal="center" vertical="center"/>
    </xf>
    <xf numFmtId="49" fontId="82" fillId="10" borderId="60" xfId="30" applyNumberFormat="1" applyFont="1" applyFill="1" applyBorder="1" applyAlignment="1" applyProtection="1">
      <alignment horizontal="left" vertical="center"/>
      <protection/>
    </xf>
    <xf numFmtId="4" fontId="30" fillId="15" borderId="0" xfId="0" applyNumberFormat="1" applyFont="1" applyFill="1" applyAlignment="1">
      <alignment vertical="center"/>
    </xf>
    <xf numFmtId="4" fontId="30" fillId="15" borderId="0" xfId="0" applyNumberFormat="1" applyFont="1" applyFill="1" applyAlignment="1">
      <alignment horizontal="center" vertical="center"/>
    </xf>
    <xf numFmtId="49" fontId="82" fillId="0" borderId="60" xfId="30" applyNumberFormat="1" applyFont="1" applyFill="1" applyBorder="1" applyAlignment="1" applyProtection="1">
      <alignment horizontal="left" vertical="center"/>
      <protection/>
    </xf>
    <xf numFmtId="49" fontId="81" fillId="0" borderId="60" xfId="30" applyNumberFormat="1" applyFont="1" applyFill="1" applyBorder="1" applyAlignment="1" applyProtection="1">
      <alignment horizontal="left" vertical="center"/>
      <protection/>
    </xf>
    <xf numFmtId="4" fontId="24" fillId="15" borderId="60" xfId="34" applyNumberFormat="1" applyFont="1" applyFill="1" applyBorder="1" applyAlignment="1">
      <alignment horizontal="right" vertical="center" indent="1"/>
      <protection/>
    </xf>
    <xf numFmtId="49" fontId="9" fillId="15" borderId="83" xfId="0" applyNumberFormat="1" applyFont="1" applyFill="1" applyBorder="1" applyAlignment="1">
      <alignment horizontal="center" vertical="center"/>
    </xf>
    <xf numFmtId="4" fontId="9" fillId="15" borderId="84" xfId="30" applyNumberFormat="1" applyFont="1" applyFill="1" applyBorder="1" applyAlignment="1" applyProtection="1">
      <alignment horizontal="right" vertical="center" indent="1"/>
      <protection/>
    </xf>
    <xf numFmtId="165" fontId="9" fillId="15" borderId="84" xfId="30" applyNumberFormat="1" applyFont="1" applyFill="1" applyBorder="1" applyAlignment="1" applyProtection="1">
      <alignment horizontal="right" vertical="center" indent="1"/>
      <protection/>
    </xf>
    <xf numFmtId="165" fontId="9" fillId="15" borderId="89" xfId="30" applyNumberFormat="1" applyFont="1" applyFill="1" applyBorder="1" applyAlignment="1" applyProtection="1">
      <alignment horizontal="right" vertical="center" indent="1"/>
      <protection/>
    </xf>
    <xf numFmtId="4" fontId="33" fillId="15" borderId="0" xfId="0" applyNumberFormat="1" applyFont="1" applyFill="1" applyAlignment="1">
      <alignment vertical="center"/>
    </xf>
    <xf numFmtId="4" fontId="33" fillId="15" borderId="0" xfId="0" applyNumberFormat="1" applyFont="1" applyFill="1" applyAlignment="1">
      <alignment horizontal="center" vertical="center"/>
    </xf>
    <xf numFmtId="0" fontId="33" fillId="15" borderId="0" xfId="0" applyFont="1" applyFill="1"/>
    <xf numFmtId="0" fontId="9" fillId="15" borderId="0" xfId="0" applyFont="1" applyFill="1"/>
    <xf numFmtId="0" fontId="0" fillId="15" borderId="0" xfId="0" applyFont="1" applyFill="1"/>
    <xf numFmtId="0" fontId="0" fillId="15" borderId="0" xfId="0" applyFill="1"/>
    <xf numFmtId="0" fontId="10" fillId="0" borderId="0" xfId="29" applyFont="1" applyBorder="1" applyAlignment="1" applyProtection="1">
      <alignment horizontal="left" vertical="center"/>
      <protection/>
    </xf>
    <xf numFmtId="0" fontId="17" fillId="0" borderId="23" xfId="29" applyFont="1" applyBorder="1" applyAlignment="1" applyProtection="1">
      <alignment horizontal="left" vertical="center" wrapText="1"/>
      <protection/>
    </xf>
    <xf numFmtId="0" fontId="17" fillId="0" borderId="148" xfId="29" applyFont="1" applyBorder="1" applyAlignment="1" applyProtection="1">
      <alignment horizontal="left" vertical="center" wrapText="1"/>
      <protection/>
    </xf>
    <xf numFmtId="0" fontId="17" fillId="0" borderId="24" xfId="29" applyFont="1" applyBorder="1" applyAlignment="1" applyProtection="1">
      <alignment horizontal="left" vertical="center" wrapText="1"/>
      <protection/>
    </xf>
    <xf numFmtId="0" fontId="17" fillId="0" borderId="26" xfId="29" applyFont="1" applyBorder="1" applyAlignment="1" applyProtection="1">
      <alignment horizontal="left" vertical="center" wrapText="1"/>
      <protection/>
    </xf>
    <xf numFmtId="0" fontId="17" fillId="0" borderId="0" xfId="29" applyFont="1" applyBorder="1" applyAlignment="1" applyProtection="1">
      <alignment horizontal="left" vertical="center" wrapText="1"/>
      <protection/>
    </xf>
    <xf numFmtId="0" fontId="17" fillId="0" borderId="25" xfId="29" applyFont="1" applyBorder="1" applyAlignment="1" applyProtection="1">
      <alignment horizontal="left" vertical="center" wrapText="1"/>
      <protection/>
    </xf>
    <xf numFmtId="0" fontId="17" fillId="0" borderId="27" xfId="29" applyFont="1" applyBorder="1" applyAlignment="1" applyProtection="1">
      <alignment horizontal="left" vertical="center" wrapText="1"/>
      <protection/>
    </xf>
    <xf numFmtId="0" fontId="17" fillId="0" borderId="57" xfId="29" applyFont="1" applyBorder="1" applyAlignment="1" applyProtection="1">
      <alignment horizontal="left" vertical="center" wrapText="1"/>
      <protection/>
    </xf>
    <xf numFmtId="0" fontId="17" fillId="0" borderId="28" xfId="29" applyFont="1" applyBorder="1" applyAlignment="1" applyProtection="1">
      <alignment horizontal="left" vertical="center" wrapText="1"/>
      <protection/>
    </xf>
    <xf numFmtId="0" fontId="18" fillId="0" borderId="23" xfId="29" applyFont="1" applyBorder="1" applyAlignment="1" applyProtection="1">
      <alignment horizontal="left" vertical="center" wrapText="1"/>
      <protection/>
    </xf>
    <xf numFmtId="0" fontId="18" fillId="0" borderId="148" xfId="29" applyFont="1" applyBorder="1" applyAlignment="1" applyProtection="1">
      <alignment horizontal="left" vertical="center" wrapText="1"/>
      <protection/>
    </xf>
    <xf numFmtId="0" fontId="18" fillId="0" borderId="24" xfId="29" applyFont="1" applyBorder="1" applyAlignment="1" applyProtection="1">
      <alignment horizontal="left" vertical="center" wrapText="1"/>
      <protection/>
    </xf>
    <xf numFmtId="0" fontId="18" fillId="0" borderId="26" xfId="29" applyFont="1" applyBorder="1" applyAlignment="1" applyProtection="1">
      <alignment horizontal="left" vertical="center" wrapText="1"/>
      <protection/>
    </xf>
    <xf numFmtId="0" fontId="18" fillId="0" borderId="0" xfId="29" applyFont="1" applyBorder="1" applyAlignment="1" applyProtection="1">
      <alignment horizontal="left" vertical="center" wrapText="1"/>
      <protection/>
    </xf>
    <xf numFmtId="0" fontId="18" fillId="0" borderId="25" xfId="29" applyFont="1" applyBorder="1" applyAlignment="1" applyProtection="1">
      <alignment horizontal="left" vertical="center" wrapText="1"/>
      <protection/>
    </xf>
    <xf numFmtId="0" fontId="18" fillId="0" borderId="133" xfId="29" applyFont="1" applyBorder="1" applyAlignment="1" applyProtection="1">
      <alignment horizontal="left" vertical="center"/>
      <protection/>
    </xf>
    <xf numFmtId="0" fontId="18" fillId="0" borderId="29" xfId="29" applyFont="1" applyBorder="1" applyAlignment="1" applyProtection="1">
      <alignment horizontal="left" vertical="center"/>
      <protection/>
    </xf>
    <xf numFmtId="0" fontId="18" fillId="0" borderId="27" xfId="29" applyFont="1" applyBorder="1" applyAlignment="1" applyProtection="1">
      <alignment horizontal="left" vertical="center" wrapText="1"/>
      <protection/>
    </xf>
    <xf numFmtId="0" fontId="18" fillId="0" borderId="57" xfId="29" applyFont="1" applyBorder="1" applyAlignment="1" applyProtection="1">
      <alignment horizontal="left" vertical="center" wrapText="1"/>
      <protection/>
    </xf>
    <xf numFmtId="0" fontId="18" fillId="0" borderId="28" xfId="29" applyFont="1" applyBorder="1" applyAlignment="1" applyProtection="1">
      <alignment horizontal="left" vertical="center" wrapText="1"/>
      <protection/>
    </xf>
    <xf numFmtId="168" fontId="24" fillId="0" borderId="50" xfId="29" applyNumberFormat="1" applyFont="1" applyFill="1" applyBorder="1" applyAlignment="1" applyProtection="1">
      <alignment horizontal="right" vertical="center"/>
      <protection locked="0"/>
    </xf>
    <xf numFmtId="0" fontId="18" fillId="0" borderId="149" xfId="29" applyFont="1" applyBorder="1" applyAlignment="1" applyProtection="1">
      <alignment horizontal="left" vertical="center" wrapText="1"/>
      <protection/>
    </xf>
    <xf numFmtId="0" fontId="18" fillId="0" borderId="149" xfId="29" applyFont="1" applyBorder="1" applyAlignment="1" applyProtection="1">
      <alignment horizontal="center" vertical="center"/>
      <protection/>
    </xf>
    <xf numFmtId="0" fontId="18" fillId="0" borderId="0" xfId="29" applyFont="1" applyBorder="1" applyAlignment="1" applyProtection="1">
      <alignment horizontal="left" vertical="center"/>
      <protection/>
    </xf>
    <xf numFmtId="49" fontId="18" fillId="0" borderId="75" xfId="29" applyNumberFormat="1" applyFont="1" applyBorder="1" applyAlignment="1" applyProtection="1">
      <alignment horizontal="left" vertical="center"/>
      <protection/>
    </xf>
    <xf numFmtId="49" fontId="18" fillId="0" borderId="77" xfId="29" applyNumberFormat="1" applyFont="1" applyBorder="1" applyAlignment="1" applyProtection="1">
      <alignment horizontal="left" vertical="center"/>
      <protection/>
    </xf>
    <xf numFmtId="168" fontId="24" fillId="0" borderId="54" xfId="29" applyNumberFormat="1" applyFont="1" applyFill="1" applyBorder="1" applyAlignment="1" applyProtection="1">
      <alignment horizontal="right" vertical="center"/>
      <protection locked="0"/>
    </xf>
    <xf numFmtId="49" fontId="40" fillId="4" borderId="0" xfId="30" applyNumberFormat="1" applyFont="1" applyFill="1" applyBorder="1" applyAlignment="1" applyProtection="1">
      <alignment horizontal="left" vertical="center"/>
      <protection/>
    </xf>
    <xf numFmtId="0" fontId="41" fillId="4" borderId="0" xfId="30" applyNumberFormat="1" applyFont="1" applyFill="1" applyBorder="1" applyAlignment="1" applyProtection="1">
      <alignment horizontal="left" vertical="center"/>
      <protection/>
    </xf>
    <xf numFmtId="49" fontId="5" fillId="0" borderId="66" xfId="30" applyNumberFormat="1" applyFont="1" applyFill="1" applyBorder="1" applyAlignment="1" applyProtection="1">
      <alignment horizontal="left" vertical="center"/>
      <protection/>
    </xf>
    <xf numFmtId="49" fontId="5" fillId="0" borderId="0" xfId="30" applyNumberFormat="1" applyFont="1" applyFill="1" applyBorder="1" applyAlignment="1" applyProtection="1">
      <alignment horizontal="left" vertical="center"/>
      <protection/>
    </xf>
    <xf numFmtId="49" fontId="7" fillId="0" borderId="66" xfId="30" applyNumberFormat="1" applyFont="1" applyFill="1" applyBorder="1" applyAlignment="1" applyProtection="1">
      <alignment horizontal="left" vertical="center"/>
      <protection/>
    </xf>
    <xf numFmtId="0" fontId="7" fillId="0" borderId="0" xfId="30" applyNumberFormat="1" applyFont="1" applyFill="1" applyBorder="1" applyAlignment="1" applyProtection="1">
      <alignment horizontal="left" vertical="center"/>
      <protection/>
    </xf>
    <xf numFmtId="0" fontId="5" fillId="0" borderId="0" xfId="30" applyNumberFormat="1" applyFont="1" applyFill="1" applyBorder="1" applyAlignment="1" applyProtection="1">
      <alignment horizontal="left" vertical="center"/>
      <protection/>
    </xf>
    <xf numFmtId="49" fontId="12" fillId="4" borderId="0" xfId="30" applyNumberFormat="1" applyFont="1" applyFill="1" applyBorder="1" applyAlignment="1" applyProtection="1">
      <alignment horizontal="left" vertical="center" wrapText="1"/>
      <protection/>
    </xf>
    <xf numFmtId="0" fontId="11" fillId="4" borderId="0" xfId="0" applyFont="1" applyFill="1" applyBorder="1" applyAlignment="1">
      <alignment/>
    </xf>
    <xf numFmtId="49" fontId="12" fillId="0" borderId="0" xfId="30" applyNumberFormat="1" applyFont="1" applyFill="1" applyBorder="1" applyAlignment="1" applyProtection="1">
      <alignment horizontal="left" vertical="center"/>
      <protection/>
    </xf>
    <xf numFmtId="0" fontId="12" fillId="0" borderId="0" xfId="30" applyNumberFormat="1" applyFont="1" applyFill="1" applyBorder="1" applyAlignment="1" applyProtection="1">
      <alignment horizontal="left" vertical="center"/>
      <protection/>
    </xf>
    <xf numFmtId="0" fontId="12" fillId="0" borderId="78" xfId="30" applyNumberFormat="1" applyFont="1" applyFill="1" applyBorder="1" applyAlignment="1" applyProtection="1">
      <alignment horizontal="left" vertical="center"/>
      <protection/>
    </xf>
    <xf numFmtId="165" fontId="7" fillId="0" borderId="17" xfId="30" applyNumberFormat="1" applyFont="1" applyFill="1" applyBorder="1" applyAlignment="1" applyProtection="1">
      <alignment horizontal="center" vertical="center"/>
      <protection/>
    </xf>
    <xf numFmtId="165" fontId="7" fillId="0" borderId="13" xfId="30" applyNumberFormat="1" applyFont="1" applyFill="1" applyBorder="1" applyAlignment="1" applyProtection="1">
      <alignment horizontal="center" vertical="center"/>
      <protection/>
    </xf>
    <xf numFmtId="49" fontId="5" fillId="0" borderId="66" xfId="30" applyNumberFormat="1" applyFont="1" applyFill="1" applyBorder="1" applyAlignment="1" applyProtection="1">
      <alignment horizontal="center" vertical="center"/>
      <protection/>
    </xf>
    <xf numFmtId="49" fontId="5" fillId="0" borderId="0" xfId="30" applyNumberFormat="1" applyFont="1" applyFill="1" applyBorder="1" applyAlignment="1" applyProtection="1">
      <alignment horizontal="center" vertical="center"/>
      <protection/>
    </xf>
    <xf numFmtId="49" fontId="7" fillId="0" borderId="17" xfId="30" applyNumberFormat="1" applyFont="1" applyFill="1" applyBorder="1" applyAlignment="1" applyProtection="1">
      <alignment horizontal="center" vertical="center"/>
      <protection/>
    </xf>
    <xf numFmtId="49" fontId="7" fillId="0" borderId="13" xfId="30" applyNumberFormat="1" applyFont="1" applyFill="1" applyBorder="1" applyAlignment="1" applyProtection="1">
      <alignment horizontal="center" vertical="center"/>
      <protection/>
    </xf>
    <xf numFmtId="49" fontId="12" fillId="0" borderId="66" xfId="30" applyNumberFormat="1" applyFont="1" applyFill="1" applyBorder="1" applyAlignment="1" applyProtection="1">
      <alignment horizontal="left" vertical="center"/>
      <protection/>
    </xf>
    <xf numFmtId="0" fontId="12" fillId="0" borderId="66" xfId="30" applyNumberFormat="1" applyFont="1" applyFill="1" applyBorder="1" applyAlignment="1" applyProtection="1">
      <alignment horizontal="left" vertical="center"/>
      <protection/>
    </xf>
    <xf numFmtId="0" fontId="12" fillId="0" borderId="67" xfId="30" applyNumberFormat="1" applyFont="1" applyFill="1" applyBorder="1" applyAlignment="1" applyProtection="1">
      <alignment horizontal="left" vertical="center"/>
      <protection/>
    </xf>
    <xf numFmtId="14" fontId="5" fillId="0" borderId="0" xfId="30" applyNumberFormat="1" applyFont="1" applyFill="1" applyBorder="1" applyAlignment="1" applyProtection="1">
      <alignment horizontal="left" vertical="center"/>
      <protection/>
    </xf>
    <xf numFmtId="49" fontId="12" fillId="0" borderId="78" xfId="30" applyNumberFormat="1" applyFont="1" applyFill="1" applyBorder="1" applyAlignment="1" applyProtection="1">
      <alignment horizontal="left" vertical="center"/>
      <protection/>
    </xf>
    <xf numFmtId="0" fontId="40" fillId="4" borderId="0" xfId="30" applyNumberFormat="1" applyFont="1" applyFill="1" applyBorder="1" applyAlignment="1" applyProtection="1">
      <alignment horizontal="left" vertical="center"/>
      <protection/>
    </xf>
    <xf numFmtId="49" fontId="39" fillId="4" borderId="0" xfId="30" applyNumberFormat="1" applyFont="1" applyFill="1" applyBorder="1" applyAlignment="1" applyProtection="1">
      <alignment horizontal="left" vertical="center"/>
      <protection/>
    </xf>
    <xf numFmtId="0" fontId="39" fillId="4" borderId="0" xfId="30" applyNumberFormat="1" applyFont="1" applyFill="1" applyBorder="1" applyAlignment="1" applyProtection="1">
      <alignment horizontal="left" vertical="center"/>
      <protection/>
    </xf>
    <xf numFmtId="0" fontId="40" fillId="4" borderId="3" xfId="30" applyNumberFormat="1" applyFont="1" applyFill="1" applyBorder="1" applyAlignment="1" applyProtection="1">
      <alignment horizontal="left" vertical="center"/>
      <protection/>
    </xf>
    <xf numFmtId="49" fontId="5" fillId="4" borderId="0" xfId="30" applyNumberFormat="1" applyFont="1" applyFill="1" applyBorder="1" applyAlignment="1" applyProtection="1">
      <alignment horizontal="left" vertical="center" wrapText="1"/>
      <protection/>
    </xf>
    <xf numFmtId="0" fontId="0" fillId="4" borderId="0" xfId="0" applyFill="1" applyBorder="1" applyAlignment="1">
      <alignment/>
    </xf>
    <xf numFmtId="0" fontId="0" fillId="4" borderId="3" xfId="0" applyFill="1" applyBorder="1" applyAlignment="1">
      <alignment/>
    </xf>
    <xf numFmtId="0" fontId="12" fillId="0" borderId="3" xfId="30" applyNumberFormat="1" applyFont="1" applyFill="1" applyBorder="1" applyAlignment="1" applyProtection="1">
      <alignment horizontal="left" vertical="center"/>
      <protection/>
    </xf>
    <xf numFmtId="0" fontId="12" fillId="0" borderId="59" xfId="30" applyNumberFormat="1" applyFont="1" applyFill="1" applyBorder="1" applyAlignment="1" applyProtection="1">
      <alignment horizontal="left" vertical="center"/>
      <protection/>
    </xf>
    <xf numFmtId="49" fontId="5" fillId="0" borderId="3" xfId="30" applyNumberFormat="1" applyFont="1" applyFill="1" applyBorder="1" applyAlignment="1" applyProtection="1">
      <alignment horizontal="center" vertical="center"/>
      <protection/>
    </xf>
    <xf numFmtId="0" fontId="0" fillId="0" borderId="0" xfId="0" applyAlignment="1">
      <alignment horizontal="left" vertical="center"/>
    </xf>
    <xf numFmtId="0" fontId="0" fillId="0" borderId="3" xfId="0" applyBorder="1" applyAlignment="1">
      <alignment horizontal="left" vertical="center"/>
    </xf>
    <xf numFmtId="0" fontId="0" fillId="0" borderId="0" xfId="0" applyBorder="1" applyAlignment="1">
      <alignment/>
    </xf>
    <xf numFmtId="0" fontId="0" fillId="0" borderId="3" xfId="0" applyBorder="1" applyAlignment="1">
      <alignment/>
    </xf>
    <xf numFmtId="0" fontId="41" fillId="4" borderId="3" xfId="30" applyNumberFormat="1" applyFont="1" applyFill="1" applyBorder="1" applyAlignment="1" applyProtection="1">
      <alignment horizontal="left" vertical="center"/>
      <protection/>
    </xf>
    <xf numFmtId="49" fontId="28" fillId="15" borderId="60" xfId="30" applyNumberFormat="1" applyFont="1" applyFill="1" applyBorder="1" applyAlignment="1" applyProtection="1">
      <alignment horizontal="left" vertical="center"/>
      <protection/>
    </xf>
    <xf numFmtId="0" fontId="88" fillId="0" borderId="0" xfId="38" applyFont="1" applyAlignment="1">
      <alignment horizontal="justify" vertical="center"/>
      <protection/>
    </xf>
    <xf numFmtId="0" fontId="1" fillId="0" borderId="0" xfId="38" applyFont="1">
      <alignment/>
      <protection/>
    </xf>
    <xf numFmtId="0" fontId="86" fillId="0" borderId="0" xfId="38" applyFont="1" applyAlignment="1">
      <alignment horizontal="justify" vertical="center"/>
      <protection/>
    </xf>
    <xf numFmtId="0" fontId="86" fillId="0" borderId="0" xfId="38" applyFont="1">
      <alignment/>
      <protection/>
    </xf>
    <xf numFmtId="0" fontId="74" fillId="15" borderId="0" xfId="0" applyFont="1" applyFill="1"/>
  </cellXfs>
  <cellStyles count="25">
    <cellStyle name="Normal" xfId="0"/>
    <cellStyle name="Percent" xfId="15"/>
    <cellStyle name="Currency" xfId="16"/>
    <cellStyle name="Currency [0]" xfId="17"/>
    <cellStyle name="Comma" xfId="18"/>
    <cellStyle name="Comma [0]" xfId="19"/>
    <cellStyle name="ColStyle3" xfId="20"/>
    <cellStyle name="ColStyle4" xfId="21"/>
    <cellStyle name="normální 2" xfId="22"/>
    <cellStyle name="Normální 3" xfId="23"/>
    <cellStyle name="normální 3 2" xfId="24"/>
    <cellStyle name="normální 4" xfId="25"/>
    <cellStyle name="normální 5" xfId="26"/>
    <cellStyle name="normální 6" xfId="27"/>
    <cellStyle name="normální 7" xfId="28"/>
    <cellStyle name="normální_Cerhenice - Revitalizace jihozápadní části městyse - Způsobilé výdaje celkove" xfId="29"/>
    <cellStyle name="normální_List1" xfId="30"/>
    <cellStyle name="normální_POL.XLS" xfId="31"/>
    <cellStyle name="normální_POL.XLS_HUSINEC_BQ_121120" xfId="32"/>
    <cellStyle name="normální_POL.XLS_OU_Otvovice_zateplení_BQ_130703" xfId="33"/>
    <cellStyle name="normální_POL.XLS_OU_Zákolany_úpravy v bytu_BQ_131108" xfId="34"/>
    <cellStyle name="normální_POL.XLS_OU_Zákolany_zateplení_BQ_130718" xfId="35"/>
    <cellStyle name="Styl 1" xfId="36"/>
    <cellStyle name="標準_20070117 Mechanical BOQ CLIENT CONTRACT last version" xfId="37"/>
    <cellStyle name="Normální 8"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S60"/>
  <sheetViews>
    <sheetView showGridLines="0" tabSelected="1" view="pageBreakPreview" zoomScaleSheetLayoutView="100" workbookViewId="0" topLeftCell="A34">
      <selection activeCell="P56" sqref="P56"/>
    </sheetView>
  </sheetViews>
  <sheetFormatPr defaultColWidth="9.140625" defaultRowHeight="12.75"/>
  <cols>
    <col min="1" max="1" width="4.421875" style="0" customWidth="1"/>
    <col min="2" max="2" width="5.421875" style="0" customWidth="1"/>
    <col min="3" max="3" width="2.421875" style="0" customWidth="1"/>
    <col min="4" max="4" width="17.00390625" style="0" customWidth="1"/>
    <col min="5" max="5" width="20.8515625" style="0" customWidth="1"/>
    <col min="6" max="6" width="1.28515625" style="0" customWidth="1"/>
    <col min="7" max="7" width="3.8515625" style="0" customWidth="1"/>
    <col min="9" max="9" width="10.140625" style="0" customWidth="1"/>
    <col min="10" max="10" width="10.28125" style="0" customWidth="1"/>
    <col min="11" max="11" width="0.71875" style="0" customWidth="1"/>
    <col min="12" max="12" width="3.140625" style="0" customWidth="1"/>
    <col min="13" max="13" width="3.8515625" style="0" customWidth="1"/>
    <col min="15" max="15" width="6.8515625" style="0" customWidth="1"/>
    <col min="16" max="16" width="11.00390625" style="0" customWidth="1"/>
    <col min="17" max="17" width="7.28125" style="0" customWidth="1"/>
    <col min="18" max="18" width="17.57421875" style="0" customWidth="1"/>
    <col min="19" max="19" width="0.85546875" style="0" customWidth="1"/>
  </cols>
  <sheetData>
    <row r="1" spans="1:19" ht="23.25">
      <c r="A1" s="603"/>
      <c r="B1" s="604"/>
      <c r="C1" s="604"/>
      <c r="D1" s="604"/>
      <c r="E1" s="604"/>
      <c r="F1" s="604"/>
      <c r="G1" s="605" t="s">
        <v>1572</v>
      </c>
      <c r="H1" s="604"/>
      <c r="I1" s="604"/>
      <c r="J1" s="604"/>
      <c r="K1" s="604"/>
      <c r="L1" s="604"/>
      <c r="M1" s="604"/>
      <c r="N1" s="604"/>
      <c r="O1" s="604"/>
      <c r="P1" s="604"/>
      <c r="Q1" s="604"/>
      <c r="R1" s="604"/>
      <c r="S1" s="606"/>
    </row>
    <row r="2" spans="1:19" ht="13.5" thickBot="1">
      <c r="A2" s="607"/>
      <c r="B2" s="34"/>
      <c r="C2" s="34"/>
      <c r="D2" s="34"/>
      <c r="E2" s="34"/>
      <c r="F2" s="34"/>
      <c r="G2" s="34"/>
      <c r="H2" s="34"/>
      <c r="I2" s="34"/>
      <c r="J2" s="34"/>
      <c r="K2" s="34"/>
      <c r="L2" s="34"/>
      <c r="M2" s="34"/>
      <c r="N2" s="34"/>
      <c r="O2" s="34"/>
      <c r="P2" s="34"/>
      <c r="Q2" s="34"/>
      <c r="R2" s="34"/>
      <c r="S2" s="608"/>
    </row>
    <row r="3" spans="1:19" ht="12.75" customHeight="1">
      <c r="A3" s="609"/>
      <c r="B3" s="651" t="s">
        <v>1573</v>
      </c>
      <c r="C3" s="651"/>
      <c r="D3" s="651"/>
      <c r="E3" s="1279" t="s">
        <v>1574</v>
      </c>
      <c r="F3" s="1280"/>
      <c r="G3" s="1280"/>
      <c r="H3" s="1280"/>
      <c r="I3" s="1280"/>
      <c r="J3" s="1280"/>
      <c r="K3" s="1280"/>
      <c r="L3" s="1281"/>
      <c r="M3" s="651"/>
      <c r="N3" s="651"/>
      <c r="O3" s="1278" t="s">
        <v>1575</v>
      </c>
      <c r="P3" s="1278"/>
      <c r="Q3" s="36"/>
      <c r="R3" s="37"/>
      <c r="S3" s="610"/>
    </row>
    <row r="4" spans="1:19" ht="12.75">
      <c r="A4" s="609"/>
      <c r="B4" s="651" t="s">
        <v>1576</v>
      </c>
      <c r="C4" s="651"/>
      <c r="D4" s="651"/>
      <c r="E4" s="1282"/>
      <c r="F4" s="1283"/>
      <c r="G4" s="1283"/>
      <c r="H4" s="1283"/>
      <c r="I4" s="1283"/>
      <c r="J4" s="1283"/>
      <c r="K4" s="1283"/>
      <c r="L4" s="1284"/>
      <c r="M4" s="651"/>
      <c r="N4" s="651"/>
      <c r="O4" s="1278" t="s">
        <v>1577</v>
      </c>
      <c r="P4" s="1278"/>
      <c r="Q4" s="39"/>
      <c r="R4" s="38"/>
      <c r="S4" s="610"/>
    </row>
    <row r="5" spans="1:19" ht="13.5" thickBot="1">
      <c r="A5" s="609"/>
      <c r="B5" s="651"/>
      <c r="C5" s="651"/>
      <c r="D5" s="651"/>
      <c r="E5" s="1285" t="s">
        <v>1578</v>
      </c>
      <c r="F5" s="1286"/>
      <c r="G5" s="1286"/>
      <c r="H5" s="1286"/>
      <c r="I5" s="1286"/>
      <c r="J5" s="1286"/>
      <c r="K5" s="1286"/>
      <c r="L5" s="1287"/>
      <c r="M5" s="651"/>
      <c r="N5" s="651"/>
      <c r="O5" s="1278" t="s">
        <v>1579</v>
      </c>
      <c r="P5" s="1278"/>
      <c r="Q5" s="40" t="s">
        <v>1580</v>
      </c>
      <c r="R5" s="41"/>
      <c r="S5" s="610"/>
    </row>
    <row r="6" spans="1:19" ht="13.5" thickBot="1">
      <c r="A6" s="609"/>
      <c r="B6" s="651"/>
      <c r="C6" s="651"/>
      <c r="D6" s="651"/>
      <c r="E6" s="651"/>
      <c r="F6" s="651"/>
      <c r="G6" s="651"/>
      <c r="H6" s="651"/>
      <c r="I6" s="651"/>
      <c r="J6" s="651"/>
      <c r="K6" s="651"/>
      <c r="L6" s="651"/>
      <c r="M6" s="651"/>
      <c r="N6" s="651"/>
      <c r="O6" s="1278" t="s">
        <v>1581</v>
      </c>
      <c r="P6" s="1278"/>
      <c r="Q6" s="651" t="s">
        <v>1582</v>
      </c>
      <c r="R6" s="651"/>
      <c r="S6" s="610"/>
    </row>
    <row r="7" spans="1:19" ht="13.5" customHeight="1" thickBot="1">
      <c r="A7" s="609"/>
      <c r="B7" s="651" t="s">
        <v>1583</v>
      </c>
      <c r="C7" s="651"/>
      <c r="D7" s="651"/>
      <c r="E7" s="1288" t="s">
        <v>1584</v>
      </c>
      <c r="F7" s="1289"/>
      <c r="G7" s="1289"/>
      <c r="H7" s="1289"/>
      <c r="I7" s="1289"/>
      <c r="J7" s="1289"/>
      <c r="K7" s="1289"/>
      <c r="L7" s="1290"/>
      <c r="M7" s="651"/>
      <c r="N7" s="651"/>
      <c r="O7" s="1294"/>
      <c r="P7" s="1295"/>
      <c r="Q7" s="647"/>
      <c r="R7" s="42"/>
      <c r="S7" s="610"/>
    </row>
    <row r="8" spans="1:19" ht="13.5" thickBot="1">
      <c r="A8" s="609"/>
      <c r="B8" s="651" t="s">
        <v>1585</v>
      </c>
      <c r="C8" s="651"/>
      <c r="D8" s="651"/>
      <c r="E8" s="1291" t="s">
        <v>1586</v>
      </c>
      <c r="F8" s="1292"/>
      <c r="G8" s="1292"/>
      <c r="H8" s="1292"/>
      <c r="I8" s="1292"/>
      <c r="J8" s="1292"/>
      <c r="K8" s="1292"/>
      <c r="L8" s="1293"/>
      <c r="M8" s="651"/>
      <c r="N8" s="651"/>
      <c r="O8" s="1294"/>
      <c r="P8" s="1295"/>
      <c r="Q8" s="647"/>
      <c r="R8" s="42"/>
      <c r="S8" s="610"/>
    </row>
    <row r="9" spans="1:19" ht="13.5" thickBot="1">
      <c r="A9" s="609"/>
      <c r="B9" s="651" t="s">
        <v>1587</v>
      </c>
      <c r="C9" s="651"/>
      <c r="D9" s="651"/>
      <c r="E9" s="1291" t="s">
        <v>1578</v>
      </c>
      <c r="F9" s="1292"/>
      <c r="G9" s="1292"/>
      <c r="H9" s="1292"/>
      <c r="I9" s="1292"/>
      <c r="J9" s="1292"/>
      <c r="K9" s="1292"/>
      <c r="L9" s="1293"/>
      <c r="M9" s="651"/>
      <c r="N9" s="651"/>
      <c r="O9" s="1294"/>
      <c r="P9" s="1295"/>
      <c r="Q9" s="647"/>
      <c r="R9" s="42"/>
      <c r="S9" s="610"/>
    </row>
    <row r="10" spans="1:19" ht="13.5" thickBot="1">
      <c r="A10" s="609"/>
      <c r="B10" s="651" t="s">
        <v>1588</v>
      </c>
      <c r="C10" s="651"/>
      <c r="D10" s="651"/>
      <c r="E10" s="1296" t="s">
        <v>1586</v>
      </c>
      <c r="F10" s="1297"/>
      <c r="G10" s="1297"/>
      <c r="H10" s="1297"/>
      <c r="I10" s="1297"/>
      <c r="J10" s="1297"/>
      <c r="K10" s="1297"/>
      <c r="L10" s="1298"/>
      <c r="M10" s="651"/>
      <c r="N10" s="651"/>
      <c r="O10" s="1300"/>
      <c r="P10" s="1301"/>
      <c r="Q10" s="1300"/>
      <c r="R10" s="1301"/>
      <c r="S10" s="610"/>
    </row>
    <row r="11" spans="1:19" ht="12.75">
      <c r="A11" s="611"/>
      <c r="B11" s="43"/>
      <c r="C11" s="43"/>
      <c r="D11" s="43"/>
      <c r="E11" s="44"/>
      <c r="F11" s="43"/>
      <c r="G11" s="43"/>
      <c r="H11" s="43"/>
      <c r="I11" s="43"/>
      <c r="J11" s="43"/>
      <c r="K11" s="43"/>
      <c r="L11" s="43"/>
      <c r="M11" s="43"/>
      <c r="N11" s="43"/>
      <c r="O11" s="44"/>
      <c r="P11" s="44"/>
      <c r="Q11" s="44"/>
      <c r="R11" s="43"/>
      <c r="S11" s="612"/>
    </row>
    <row r="12" spans="1:19" ht="13.5" thickBot="1">
      <c r="A12" s="609"/>
      <c r="B12" s="651"/>
      <c r="C12" s="651"/>
      <c r="D12" s="651"/>
      <c r="E12" s="650" t="s">
        <v>1589</v>
      </c>
      <c r="F12" s="651"/>
      <c r="G12" s="651"/>
      <c r="H12" s="651"/>
      <c r="I12" s="651"/>
      <c r="J12" s="651"/>
      <c r="K12" s="651"/>
      <c r="L12" s="651"/>
      <c r="M12" s="651"/>
      <c r="N12" s="651"/>
      <c r="O12" s="1302" t="s">
        <v>1590</v>
      </c>
      <c r="P12" s="1302"/>
      <c r="Q12" s="650"/>
      <c r="R12" s="45"/>
      <c r="S12" s="610"/>
    </row>
    <row r="13" spans="1:19" ht="13.5" thickBot="1">
      <c r="A13" s="609"/>
      <c r="B13" s="651"/>
      <c r="C13" s="651"/>
      <c r="D13" s="651"/>
      <c r="E13" s="576"/>
      <c r="F13" s="651"/>
      <c r="G13" s="650"/>
      <c r="H13" s="651"/>
      <c r="I13" s="650"/>
      <c r="J13" s="651"/>
      <c r="K13" s="651"/>
      <c r="L13" s="651"/>
      <c r="M13" s="651"/>
      <c r="N13" s="651"/>
      <c r="O13" s="1303" t="s">
        <v>1591</v>
      </c>
      <c r="P13" s="1304"/>
      <c r="Q13" s="1038" t="s">
        <v>1592</v>
      </c>
      <c r="R13" s="1039"/>
      <c r="S13" s="610"/>
    </row>
    <row r="14" spans="1:19" ht="12.75">
      <c r="A14" s="609"/>
      <c r="B14" s="651"/>
      <c r="C14" s="651"/>
      <c r="D14" s="651"/>
      <c r="E14" s="651"/>
      <c r="F14" s="651"/>
      <c r="G14" s="651"/>
      <c r="H14" s="651"/>
      <c r="I14" s="651"/>
      <c r="J14" s="651"/>
      <c r="K14" s="651"/>
      <c r="L14" s="651"/>
      <c r="M14" s="651"/>
      <c r="N14" s="651"/>
      <c r="O14" s="651"/>
      <c r="P14" s="651"/>
      <c r="Q14" s="1040" t="s">
        <v>1593</v>
      </c>
      <c r="R14" s="1041"/>
      <c r="S14" s="613"/>
    </row>
    <row r="15" spans="1:19" ht="12.75">
      <c r="A15" s="609"/>
      <c r="B15" s="651"/>
      <c r="C15" s="651"/>
      <c r="D15" s="651"/>
      <c r="E15" s="651"/>
      <c r="F15" s="651"/>
      <c r="G15" s="651"/>
      <c r="H15" s="651"/>
      <c r="I15" s="651"/>
      <c r="J15" s="651"/>
      <c r="K15" s="651"/>
      <c r="L15" s="651"/>
      <c r="M15" s="651"/>
      <c r="N15" s="651"/>
      <c r="O15" s="651"/>
      <c r="P15" s="651"/>
      <c r="Q15" s="1042" t="s">
        <v>1594</v>
      </c>
      <c r="R15" s="1043"/>
      <c r="S15" s="613"/>
    </row>
    <row r="16" spans="1:19" ht="12.75">
      <c r="A16" s="609"/>
      <c r="B16" s="651"/>
      <c r="C16" s="651"/>
      <c r="D16" s="651"/>
      <c r="E16" s="651"/>
      <c r="F16" s="651"/>
      <c r="G16" s="651"/>
      <c r="H16" s="651"/>
      <c r="I16" s="651"/>
      <c r="J16" s="651"/>
      <c r="K16" s="651"/>
      <c r="L16" s="651"/>
      <c r="M16" s="651"/>
      <c r="N16" s="651"/>
      <c r="O16" s="651"/>
      <c r="P16" s="651"/>
      <c r="Q16" s="1042" t="s">
        <v>1595</v>
      </c>
      <c r="R16" s="1043"/>
      <c r="S16" s="613"/>
    </row>
    <row r="17" spans="1:19" ht="12.75">
      <c r="A17" s="609"/>
      <c r="B17" s="651"/>
      <c r="C17" s="651"/>
      <c r="D17" s="651"/>
      <c r="E17" s="651"/>
      <c r="F17" s="651"/>
      <c r="G17" s="651"/>
      <c r="H17" s="651"/>
      <c r="I17" s="651"/>
      <c r="J17" s="651"/>
      <c r="K17" s="651"/>
      <c r="L17" s="651"/>
      <c r="M17" s="651"/>
      <c r="N17" s="651"/>
      <c r="O17" s="651"/>
      <c r="P17" s="651"/>
      <c r="Q17" s="1044" t="s">
        <v>2747</v>
      </c>
      <c r="R17" s="1045"/>
      <c r="S17" s="613"/>
    </row>
    <row r="18" spans="1:19" ht="12.75">
      <c r="A18" s="609"/>
      <c r="B18" s="651"/>
      <c r="C18" s="651"/>
      <c r="D18" s="651"/>
      <c r="E18" s="651"/>
      <c r="F18" s="651"/>
      <c r="G18" s="651"/>
      <c r="H18" s="651"/>
      <c r="I18" s="651"/>
      <c r="J18" s="651"/>
      <c r="K18" s="651"/>
      <c r="L18" s="651"/>
      <c r="M18" s="651"/>
      <c r="N18" s="651"/>
      <c r="O18" s="651"/>
      <c r="P18" s="651"/>
      <c r="Q18" s="1046" t="s">
        <v>2828</v>
      </c>
      <c r="R18" s="1047"/>
      <c r="S18" s="613"/>
    </row>
    <row r="19" spans="1:19" ht="12.75">
      <c r="A19" s="614"/>
      <c r="B19" s="46"/>
      <c r="C19" s="46"/>
      <c r="D19" s="46"/>
      <c r="E19" s="46"/>
      <c r="F19" s="46"/>
      <c r="G19" s="46"/>
      <c r="H19" s="46"/>
      <c r="I19" s="46"/>
      <c r="J19" s="46"/>
      <c r="K19" s="46"/>
      <c r="L19" s="46"/>
      <c r="M19" s="46"/>
      <c r="N19" s="46"/>
      <c r="O19" s="46"/>
      <c r="P19" s="46"/>
      <c r="Q19" s="1100" t="s">
        <v>2834</v>
      </c>
      <c r="R19" s="1048"/>
      <c r="S19" s="613"/>
    </row>
    <row r="20" spans="1:19" ht="12.75">
      <c r="A20" s="615"/>
      <c r="B20" s="47"/>
      <c r="C20" s="47"/>
      <c r="D20" s="47"/>
      <c r="E20" s="654" t="s">
        <v>1596</v>
      </c>
      <c r="F20" s="47"/>
      <c r="G20" s="47"/>
      <c r="H20" s="47"/>
      <c r="I20" s="47"/>
      <c r="J20" s="47"/>
      <c r="K20" s="47"/>
      <c r="L20" s="47"/>
      <c r="M20" s="47"/>
      <c r="N20" s="47"/>
      <c r="O20" s="35"/>
      <c r="P20" s="47"/>
      <c r="Q20" s="46"/>
      <c r="R20" s="47"/>
      <c r="S20" s="616"/>
    </row>
    <row r="21" spans="1:19" ht="12.75">
      <c r="A21" s="617" t="s">
        <v>1597</v>
      </c>
      <c r="B21" s="48"/>
      <c r="C21" s="48"/>
      <c r="D21" s="49"/>
      <c r="E21" s="50" t="s">
        <v>1598</v>
      </c>
      <c r="F21" s="49"/>
      <c r="G21" s="50" t="s">
        <v>1599</v>
      </c>
      <c r="H21" s="48"/>
      <c r="I21" s="49"/>
      <c r="J21" s="50" t="s">
        <v>1600</v>
      </c>
      <c r="K21" s="48"/>
      <c r="L21" s="50" t="s">
        <v>1601</v>
      </c>
      <c r="M21" s="48"/>
      <c r="N21" s="48"/>
      <c r="O21" s="48"/>
      <c r="P21" s="49"/>
      <c r="Q21" s="50" t="s">
        <v>1602</v>
      </c>
      <c r="R21" s="48"/>
      <c r="S21" s="618"/>
    </row>
    <row r="22" spans="1:19" ht="12.75">
      <c r="A22" s="619"/>
      <c r="B22" s="51"/>
      <c r="C22" s="51"/>
      <c r="D22" s="52">
        <v>0</v>
      </c>
      <c r="E22" s="53">
        <v>0</v>
      </c>
      <c r="F22" s="54"/>
      <c r="G22" s="55"/>
      <c r="H22" s="51"/>
      <c r="I22" s="52">
        <v>0</v>
      </c>
      <c r="J22" s="53">
        <v>0</v>
      </c>
      <c r="K22" s="56"/>
      <c r="L22" s="55"/>
      <c r="M22" s="51"/>
      <c r="N22" s="51"/>
      <c r="O22" s="57"/>
      <c r="P22" s="52">
        <v>0</v>
      </c>
      <c r="Q22" s="55"/>
      <c r="R22" s="113">
        <v>0</v>
      </c>
      <c r="S22" s="620"/>
    </row>
    <row r="23" spans="1:19" ht="12.75">
      <c r="A23" s="615"/>
      <c r="B23" s="47"/>
      <c r="C23" s="47"/>
      <c r="D23" s="47"/>
      <c r="E23" s="654" t="s">
        <v>1603</v>
      </c>
      <c r="F23" s="47"/>
      <c r="G23" s="47"/>
      <c r="H23" s="47"/>
      <c r="I23" s="47"/>
      <c r="J23" s="655" t="s">
        <v>1604</v>
      </c>
      <c r="K23" s="47"/>
      <c r="L23" s="47"/>
      <c r="M23" s="47"/>
      <c r="N23" s="47"/>
      <c r="O23" s="46"/>
      <c r="P23" s="47"/>
      <c r="Q23" s="47"/>
      <c r="R23" s="114"/>
      <c r="S23" s="616"/>
    </row>
    <row r="24" spans="1:19" ht="15.75">
      <c r="A24" s="621" t="s">
        <v>1605</v>
      </c>
      <c r="B24" s="58"/>
      <c r="C24" s="656" t="s">
        <v>1606</v>
      </c>
      <c r="D24" s="657"/>
      <c r="E24" s="657"/>
      <c r="F24" s="658"/>
      <c r="G24" s="59" t="s">
        <v>1607</v>
      </c>
      <c r="H24" s="659"/>
      <c r="I24" s="656" t="s">
        <v>1608</v>
      </c>
      <c r="J24" s="657"/>
      <c r="K24" s="657"/>
      <c r="L24" s="59" t="s">
        <v>1609</v>
      </c>
      <c r="M24" s="659"/>
      <c r="N24" s="656" t="s">
        <v>1610</v>
      </c>
      <c r="O24" s="660"/>
      <c r="P24" s="657"/>
      <c r="Q24" s="657"/>
      <c r="R24" s="115"/>
      <c r="S24" s="661"/>
    </row>
    <row r="25" spans="1:19" ht="12.75">
      <c r="A25" s="622" t="s">
        <v>1611</v>
      </c>
      <c r="B25" s="465" t="s">
        <v>1612</v>
      </c>
      <c r="C25" s="61"/>
      <c r="D25" s="61" t="s">
        <v>1613</v>
      </c>
      <c r="E25" s="466">
        <f>Objekt_A!$H$17</f>
        <v>0</v>
      </c>
      <c r="F25" s="555"/>
      <c r="G25" s="554" t="s">
        <v>1614</v>
      </c>
      <c r="H25" s="61" t="s">
        <v>1615</v>
      </c>
      <c r="I25" s="61"/>
      <c r="J25" s="467">
        <v>0</v>
      </c>
      <c r="K25" s="468"/>
      <c r="L25" s="63" t="s">
        <v>1616</v>
      </c>
      <c r="M25" s="67" t="s">
        <v>1617</v>
      </c>
      <c r="N25" s="68"/>
      <c r="O25" s="61"/>
      <c r="P25" s="68"/>
      <c r="Q25" s="69"/>
      <c r="R25" s="108">
        <v>0</v>
      </c>
      <c r="S25" s="623"/>
    </row>
    <row r="26" spans="1:19" ht="12.75">
      <c r="A26" s="622" t="s">
        <v>1618</v>
      </c>
      <c r="B26" s="61"/>
      <c r="C26" s="61"/>
      <c r="D26" s="61" t="s">
        <v>1619</v>
      </c>
      <c r="E26" s="466">
        <f>Objekt_B_1!$H$17</f>
        <v>0</v>
      </c>
      <c r="F26" s="555"/>
      <c r="G26" s="554" t="s">
        <v>1620</v>
      </c>
      <c r="H26" s="61" t="s">
        <v>1621</v>
      </c>
      <c r="I26" s="61"/>
      <c r="J26" s="467">
        <v>0</v>
      </c>
      <c r="K26" s="468"/>
      <c r="L26" s="63" t="s">
        <v>1622</v>
      </c>
      <c r="M26" s="67" t="s">
        <v>1623</v>
      </c>
      <c r="N26" s="68"/>
      <c r="O26" s="61"/>
      <c r="P26" s="68"/>
      <c r="Q26" s="69"/>
      <c r="R26" s="108">
        <v>0</v>
      </c>
      <c r="S26" s="623"/>
    </row>
    <row r="27" spans="1:19" ht="12.75">
      <c r="A27" s="622" t="s">
        <v>1624</v>
      </c>
      <c r="B27" s="61"/>
      <c r="C27" s="61"/>
      <c r="D27" s="61" t="s">
        <v>1625</v>
      </c>
      <c r="E27" s="466">
        <f>Objekt_B_2!$H$17</f>
        <v>0</v>
      </c>
      <c r="F27" s="555"/>
      <c r="G27" s="554"/>
      <c r="H27" s="61"/>
      <c r="I27" s="61"/>
      <c r="J27" s="467"/>
      <c r="K27" s="468"/>
      <c r="L27" s="63"/>
      <c r="M27" s="67"/>
      <c r="N27" s="68"/>
      <c r="O27" s="61"/>
      <c r="P27" s="68"/>
      <c r="Q27" s="69"/>
      <c r="R27" s="108"/>
      <c r="S27" s="623"/>
    </row>
    <row r="28" spans="1:19" ht="12.75">
      <c r="A28" s="622" t="s">
        <v>1626</v>
      </c>
      <c r="B28" s="61"/>
      <c r="C28" s="61"/>
      <c r="D28" s="61" t="s">
        <v>1627</v>
      </c>
      <c r="E28" s="466">
        <f>Objekt_C_1!$H$17</f>
        <v>0</v>
      </c>
      <c r="F28" s="555"/>
      <c r="G28" s="554"/>
      <c r="H28" s="61"/>
      <c r="I28" s="61"/>
      <c r="J28" s="467"/>
      <c r="K28" s="468"/>
      <c r="L28" s="63"/>
      <c r="M28" s="67"/>
      <c r="N28" s="68"/>
      <c r="O28" s="61"/>
      <c r="P28" s="68"/>
      <c r="Q28" s="69"/>
      <c r="R28" s="108"/>
      <c r="S28" s="623"/>
    </row>
    <row r="29" spans="1:19" ht="12.75">
      <c r="A29" s="622" t="s">
        <v>1628</v>
      </c>
      <c r="B29" s="61"/>
      <c r="C29" s="61"/>
      <c r="D29" s="61" t="s">
        <v>1629</v>
      </c>
      <c r="E29" s="466">
        <f>Objekt_C_2!$H$17</f>
        <v>0</v>
      </c>
      <c r="F29" s="555"/>
      <c r="G29" s="554"/>
      <c r="H29" s="61"/>
      <c r="I29" s="61"/>
      <c r="J29" s="467"/>
      <c r="K29" s="468"/>
      <c r="L29" s="63"/>
      <c r="M29" s="67"/>
      <c r="N29" s="68"/>
      <c r="O29" s="61"/>
      <c r="P29" s="68"/>
      <c r="Q29" s="69"/>
      <c r="R29" s="108"/>
      <c r="S29" s="623"/>
    </row>
    <row r="30" spans="1:19" ht="12.75">
      <c r="A30" s="622" t="s">
        <v>1630</v>
      </c>
      <c r="B30" s="61"/>
      <c r="C30" s="61"/>
      <c r="D30" s="61" t="s">
        <v>1631</v>
      </c>
      <c r="E30" s="466">
        <f>Objekt_D_1!$H$17</f>
        <v>0</v>
      </c>
      <c r="F30" s="555"/>
      <c r="G30" s="554"/>
      <c r="H30" s="61"/>
      <c r="I30" s="61"/>
      <c r="J30" s="467"/>
      <c r="K30" s="468"/>
      <c r="L30" s="63"/>
      <c r="M30" s="67"/>
      <c r="N30" s="68"/>
      <c r="O30" s="61"/>
      <c r="P30" s="68"/>
      <c r="Q30" s="69"/>
      <c r="R30" s="108"/>
      <c r="S30" s="623"/>
    </row>
    <row r="31" spans="1:19" ht="12.75">
      <c r="A31" s="622" t="s">
        <v>1632</v>
      </c>
      <c r="B31" s="61"/>
      <c r="C31" s="61"/>
      <c r="D31" s="61" t="s">
        <v>1633</v>
      </c>
      <c r="E31" s="466">
        <f>Objekt_D_2!$H$17</f>
        <v>0</v>
      </c>
      <c r="F31" s="555"/>
      <c r="G31" s="554"/>
      <c r="H31" s="61"/>
      <c r="I31" s="61"/>
      <c r="J31" s="467"/>
      <c r="K31" s="468"/>
      <c r="L31" s="63"/>
      <c r="M31" s="67"/>
      <c r="N31" s="68"/>
      <c r="O31" s="61"/>
      <c r="P31" s="68"/>
      <c r="Q31" s="69"/>
      <c r="R31" s="108"/>
      <c r="S31" s="623"/>
    </row>
    <row r="32" spans="1:19" ht="12.75">
      <c r="A32" s="622"/>
      <c r="B32" s="61"/>
      <c r="C32" s="61"/>
      <c r="D32" s="61" t="s">
        <v>1634</v>
      </c>
      <c r="E32" s="466">
        <f>Objekt_E!$H$17</f>
        <v>0</v>
      </c>
      <c r="F32" s="555"/>
      <c r="G32" s="554"/>
      <c r="H32" s="61"/>
      <c r="I32" s="61"/>
      <c r="J32" s="467"/>
      <c r="K32" s="468"/>
      <c r="L32" s="63"/>
      <c r="M32" s="67"/>
      <c r="N32" s="68"/>
      <c r="O32" s="61"/>
      <c r="P32" s="68"/>
      <c r="Q32" s="69"/>
      <c r="R32" s="108"/>
      <c r="S32" s="623"/>
    </row>
    <row r="33" spans="1:19" ht="12.75">
      <c r="A33" s="622"/>
      <c r="B33" s="556" t="s">
        <v>1635</v>
      </c>
      <c r="C33" s="61"/>
      <c r="D33" s="61" t="s">
        <v>1636</v>
      </c>
      <c r="E33" s="466">
        <f>Hromosvod!$H$14</f>
        <v>0</v>
      </c>
      <c r="F33" s="555"/>
      <c r="G33" s="554"/>
      <c r="H33" s="61"/>
      <c r="I33" s="61"/>
      <c r="J33" s="467"/>
      <c r="K33" s="468"/>
      <c r="L33" s="63"/>
      <c r="M33" s="67"/>
      <c r="N33" s="68"/>
      <c r="O33" s="61"/>
      <c r="P33" s="68"/>
      <c r="Q33" s="69"/>
      <c r="R33" s="108"/>
      <c r="S33" s="623"/>
    </row>
    <row r="34" spans="1:19" ht="33" customHeight="1">
      <c r="A34" s="622"/>
      <c r="B34" s="556" t="s">
        <v>1637</v>
      </c>
      <c r="C34" s="61"/>
      <c r="D34" s="452" t="str">
        <f>REVIZE_1_STAVBA!$B$8</f>
        <v xml:space="preserve"> Doplněk výkazu výměr   REVIZE  č.1  20.1.2015  </v>
      </c>
      <c r="E34" s="662">
        <f>REVIZE_1_STAVBA!$H$122</f>
        <v>0</v>
      </c>
      <c r="F34" s="62"/>
      <c r="G34" s="554" t="s">
        <v>1638</v>
      </c>
      <c r="H34" s="64" t="s">
        <v>1639</v>
      </c>
      <c r="I34" s="65"/>
      <c r="J34" s="111">
        <v>0</v>
      </c>
      <c r="K34" s="66"/>
      <c r="L34" s="63"/>
      <c r="M34" s="67"/>
      <c r="N34" s="68"/>
      <c r="O34" s="61"/>
      <c r="P34" s="68"/>
      <c r="Q34" s="69"/>
      <c r="R34" s="108"/>
      <c r="S34" s="623"/>
    </row>
    <row r="35" spans="1:19" ht="30" customHeight="1">
      <c r="A35" s="622"/>
      <c r="B35" s="556" t="s">
        <v>1640</v>
      </c>
      <c r="C35" s="61"/>
      <c r="D35" s="602" t="str">
        <f>'REVIZE_2_STAVBA '!$B$8</f>
        <v xml:space="preserve"> Doplněk výkazu výměr  REVIZE  č.2   30.3.2016</v>
      </c>
      <c r="E35" s="663">
        <f>'REVIZE_2_STAVBA '!$H$14</f>
        <v>0</v>
      </c>
      <c r="F35" s="62"/>
      <c r="G35" s="63" t="s">
        <v>1641</v>
      </c>
      <c r="H35" s="64"/>
      <c r="I35" s="65"/>
      <c r="J35" s="111">
        <v>0</v>
      </c>
      <c r="K35" s="66"/>
      <c r="L35" s="63"/>
      <c r="M35" s="67"/>
      <c r="N35" s="68"/>
      <c r="O35" s="61"/>
      <c r="P35" s="68"/>
      <c r="Q35" s="69"/>
      <c r="R35" s="108"/>
      <c r="S35" s="623"/>
    </row>
    <row r="36" spans="1:19" ht="12.75">
      <c r="A36" s="622"/>
      <c r="B36" s="61"/>
      <c r="C36" s="61"/>
      <c r="D36" s="664"/>
      <c r="E36" s="466"/>
      <c r="F36" s="62"/>
      <c r="G36" s="70"/>
      <c r="H36" s="68"/>
      <c r="I36" s="65"/>
      <c r="J36" s="111"/>
      <c r="K36" s="66"/>
      <c r="L36" s="63"/>
      <c r="M36" s="67"/>
      <c r="N36" s="68"/>
      <c r="O36" s="61"/>
      <c r="P36" s="68"/>
      <c r="Q36" s="69"/>
      <c r="R36" s="108"/>
      <c r="S36" s="623"/>
    </row>
    <row r="37" spans="1:19" ht="12.75">
      <c r="A37" s="622"/>
      <c r="B37" s="61"/>
      <c r="C37" s="61"/>
      <c r="D37" s="665" t="str">
        <f>Rekuperace_stavba!$C$8</f>
        <v>REKUPERACE  Stavba</v>
      </c>
      <c r="E37" s="663">
        <f>Rekuperace_stavba!$H$14</f>
        <v>0</v>
      </c>
      <c r="F37" s="62"/>
      <c r="G37" s="70"/>
      <c r="H37" s="68"/>
      <c r="I37" s="65"/>
      <c r="J37" s="111"/>
      <c r="K37" s="66"/>
      <c r="L37" s="63"/>
      <c r="M37" s="67"/>
      <c r="N37" s="68"/>
      <c r="O37" s="61"/>
      <c r="P37" s="61"/>
      <c r="Q37" s="574"/>
      <c r="R37" s="108"/>
      <c r="S37" s="623"/>
    </row>
    <row r="38" spans="1:19" ht="12.75">
      <c r="A38" s="622"/>
      <c r="B38" s="61"/>
      <c r="C38" s="61"/>
      <c r="D38" s="665" t="str">
        <f>Rekuperace_VZT!$C$8</f>
        <v>REKUPERACE  VZT</v>
      </c>
      <c r="E38" s="663">
        <f>Rekuperace_VZT!$H$15</f>
        <v>0</v>
      </c>
      <c r="F38" s="62"/>
      <c r="G38" s="70"/>
      <c r="H38" s="68"/>
      <c r="I38" s="65"/>
      <c r="J38" s="111"/>
      <c r="K38" s="72"/>
      <c r="L38" s="63" t="s">
        <v>1642</v>
      </c>
      <c r="M38" s="67" t="s">
        <v>1643</v>
      </c>
      <c r="N38" s="68"/>
      <c r="O38" s="61"/>
      <c r="P38" s="61"/>
      <c r="Q38" s="574"/>
      <c r="R38" s="108">
        <v>0</v>
      </c>
      <c r="S38" s="624"/>
    </row>
    <row r="39" spans="1:19" ht="12.75">
      <c r="A39" s="622"/>
      <c r="B39" s="61"/>
      <c r="C39" s="61"/>
      <c r="D39" s="665" t="str">
        <f>Rekuperace_ZTI!$C$8</f>
        <v>REKUPERACE    ZTI</v>
      </c>
      <c r="E39" s="663">
        <f>Rekuperace_ZTI!$H$14</f>
        <v>0</v>
      </c>
      <c r="F39" s="62"/>
      <c r="G39" s="70"/>
      <c r="H39" s="68"/>
      <c r="I39" s="65"/>
      <c r="J39" s="111"/>
      <c r="K39" s="78"/>
      <c r="L39" s="63" t="s">
        <v>1644</v>
      </c>
      <c r="M39" s="67" t="s">
        <v>1645</v>
      </c>
      <c r="N39" s="68"/>
      <c r="O39" s="61"/>
      <c r="P39" s="61"/>
      <c r="Q39" s="574"/>
      <c r="R39" s="108"/>
      <c r="S39" s="625"/>
    </row>
    <row r="40" spans="1:19" ht="12.75">
      <c r="A40" s="622"/>
      <c r="B40" s="465"/>
      <c r="C40" s="61"/>
      <c r="D40" s="665" t="str">
        <f>Rekuperace_elektro!$C$8</f>
        <v>REKUPERACE    Elektro</v>
      </c>
      <c r="E40" s="663">
        <f>Rekuperace_elektro!$H$14</f>
        <v>0</v>
      </c>
      <c r="F40" s="62"/>
      <c r="G40" s="70"/>
      <c r="H40" s="68"/>
      <c r="I40" s="65"/>
      <c r="J40" s="112"/>
      <c r="K40" s="81"/>
      <c r="L40" s="63" t="s">
        <v>1646</v>
      </c>
      <c r="M40" s="67" t="s">
        <v>1647</v>
      </c>
      <c r="N40" s="68"/>
      <c r="O40" s="61"/>
      <c r="P40" s="61"/>
      <c r="Q40" s="574"/>
      <c r="R40" s="108">
        <v>0</v>
      </c>
      <c r="S40" s="626"/>
    </row>
    <row r="41" spans="1:19" ht="12.75">
      <c r="A41" s="627"/>
      <c r="B41" s="537"/>
      <c r="C41" s="537"/>
      <c r="D41" s="537"/>
      <c r="E41" s="538"/>
      <c r="F41" s="539"/>
      <c r="G41" s="540"/>
      <c r="H41" s="541"/>
      <c r="I41" s="60"/>
      <c r="J41" s="542"/>
      <c r="K41" s="84"/>
      <c r="L41" s="63" t="s">
        <v>1648</v>
      </c>
      <c r="M41" s="64" t="s">
        <v>1649</v>
      </c>
      <c r="N41" s="68"/>
      <c r="O41" s="61"/>
      <c r="P41" s="61"/>
      <c r="Q41" s="65"/>
      <c r="R41" s="108">
        <v>0</v>
      </c>
      <c r="S41" s="628"/>
    </row>
    <row r="42" spans="1:19" ht="12.75">
      <c r="A42" s="629" t="s">
        <v>1632</v>
      </c>
      <c r="B42" s="547" t="s">
        <v>1650</v>
      </c>
      <c r="C42" s="548"/>
      <c r="D42" s="549"/>
      <c r="E42" s="550">
        <f>SUM(E25:E41)</f>
        <v>0</v>
      </c>
      <c r="F42" s="551"/>
      <c r="G42" s="552" t="s">
        <v>1651</v>
      </c>
      <c r="H42" s="547" t="s">
        <v>1652</v>
      </c>
      <c r="I42" s="549"/>
      <c r="J42" s="553"/>
      <c r="K42" s="89"/>
      <c r="L42" s="63" t="s">
        <v>1653</v>
      </c>
      <c r="M42" s="71" t="s">
        <v>1654</v>
      </c>
      <c r="N42" s="68"/>
      <c r="O42" s="61"/>
      <c r="P42" s="61"/>
      <c r="Q42" s="65"/>
      <c r="R42" s="109">
        <f>SUM(R24:R41)</f>
        <v>0</v>
      </c>
      <c r="S42" s="630"/>
    </row>
    <row r="43" spans="1:19" ht="12.75">
      <c r="A43" s="631" t="s">
        <v>1655</v>
      </c>
      <c r="B43" s="543" t="s">
        <v>1656</v>
      </c>
      <c r="C43" s="79"/>
      <c r="D43" s="544"/>
      <c r="E43" s="110">
        <v>0</v>
      </c>
      <c r="F43" s="76"/>
      <c r="G43" s="545" t="s">
        <v>1657</v>
      </c>
      <c r="H43" s="543" t="s">
        <v>1658</v>
      </c>
      <c r="I43" s="544"/>
      <c r="J43" s="546">
        <v>0</v>
      </c>
      <c r="K43" s="89"/>
      <c r="L43" s="77" t="s">
        <v>1659</v>
      </c>
      <c r="M43" s="73" t="s">
        <v>1660</v>
      </c>
      <c r="N43" s="74"/>
      <c r="O43" s="575"/>
      <c r="P43" s="575"/>
      <c r="Q43" s="75"/>
      <c r="R43" s="110">
        <v>0</v>
      </c>
      <c r="S43" s="632"/>
    </row>
    <row r="44" spans="1:19" ht="15.75">
      <c r="A44" s="633"/>
      <c r="B44" s="80"/>
      <c r="C44" s="666" t="s">
        <v>1661</v>
      </c>
      <c r="D44" s="81"/>
      <c r="E44" s="81"/>
      <c r="F44" s="81"/>
      <c r="G44" s="81"/>
      <c r="H44" s="81"/>
      <c r="I44" s="81"/>
      <c r="J44" s="81"/>
      <c r="K44" s="89"/>
      <c r="L44" s="59" t="s">
        <v>1662</v>
      </c>
      <c r="M44" s="82"/>
      <c r="N44" s="657" t="s">
        <v>1663</v>
      </c>
      <c r="O44" s="83"/>
      <c r="P44" s="83"/>
      <c r="Q44" s="83"/>
      <c r="R44" s="116">
        <f>E42+R42</f>
        <v>0</v>
      </c>
      <c r="S44" s="634"/>
    </row>
    <row r="45" spans="1:19" ht="12.75">
      <c r="A45" s="635"/>
      <c r="B45" s="84"/>
      <c r="C45" s="84"/>
      <c r="D45" s="84"/>
      <c r="E45" s="84"/>
      <c r="F45" s="84"/>
      <c r="G45" s="84"/>
      <c r="H45" s="84"/>
      <c r="I45" s="84"/>
      <c r="J45" s="84"/>
      <c r="K45" s="89"/>
      <c r="L45" s="85"/>
      <c r="M45" s="86" t="s">
        <v>1664</v>
      </c>
      <c r="N45" s="87"/>
      <c r="O45" s="88" t="s">
        <v>1665</v>
      </c>
      <c r="P45" s="87"/>
      <c r="Q45" s="88" t="s">
        <v>1666</v>
      </c>
      <c r="R45" s="88" t="s">
        <v>1667</v>
      </c>
      <c r="S45" s="636"/>
    </row>
    <row r="46" spans="1:19" ht="12.75">
      <c r="A46" s="637"/>
      <c r="B46" s="89"/>
      <c r="C46" s="89"/>
      <c r="D46" s="89"/>
      <c r="E46" s="89"/>
      <c r="F46" s="89"/>
      <c r="G46" s="89"/>
      <c r="H46" s="89"/>
      <c r="I46" s="89"/>
      <c r="J46" s="89"/>
      <c r="K46" s="89"/>
      <c r="L46" s="90"/>
      <c r="M46" s="91" t="s">
        <v>1668</v>
      </c>
      <c r="N46" s="92"/>
      <c r="O46" s="93">
        <v>15</v>
      </c>
      <c r="P46" s="1305">
        <v>0</v>
      </c>
      <c r="Q46" s="1305"/>
      <c r="R46" s="648">
        <v>0</v>
      </c>
      <c r="S46" s="638"/>
    </row>
    <row r="47" spans="1:19" ht="12.75">
      <c r="A47" s="637"/>
      <c r="B47" s="89"/>
      <c r="C47" s="89"/>
      <c r="D47" s="89"/>
      <c r="E47" s="89"/>
      <c r="F47" s="89"/>
      <c r="G47" s="89"/>
      <c r="H47" s="89"/>
      <c r="I47" s="89"/>
      <c r="J47" s="89"/>
      <c r="K47" s="89"/>
      <c r="L47" s="90"/>
      <c r="M47" s="94" t="s">
        <v>1669</v>
      </c>
      <c r="N47" s="95"/>
      <c r="O47" s="96">
        <v>21</v>
      </c>
      <c r="P47" s="1299">
        <f>R44</f>
        <v>0</v>
      </c>
      <c r="Q47" s="1299"/>
      <c r="R47" s="649">
        <f>O47*P47*0.01</f>
        <v>0</v>
      </c>
      <c r="S47" s="638"/>
    </row>
    <row r="48" spans="1:19" ht="13.5" thickBot="1">
      <c r="A48" s="637"/>
      <c r="B48" s="89"/>
      <c r="C48" s="89"/>
      <c r="D48" s="89"/>
      <c r="E48" s="89"/>
      <c r="F48" s="89"/>
      <c r="G48" s="89"/>
      <c r="H48" s="89"/>
      <c r="I48" s="89"/>
      <c r="J48" s="89"/>
      <c r="K48" s="107"/>
      <c r="L48" s="97"/>
      <c r="M48" s="98" t="s">
        <v>1670</v>
      </c>
      <c r="N48" s="99"/>
      <c r="O48" s="100"/>
      <c r="P48" s="117"/>
      <c r="Q48" s="118"/>
      <c r="R48" s="119">
        <f>SUM(P46:R47)</f>
        <v>0</v>
      </c>
      <c r="S48" s="639"/>
    </row>
    <row r="49" spans="1:19" ht="15.75">
      <c r="A49" s="637"/>
      <c r="B49" s="89"/>
      <c r="C49" s="89"/>
      <c r="D49" s="89"/>
      <c r="E49" s="89"/>
      <c r="F49" s="89"/>
      <c r="G49" s="89"/>
      <c r="H49" s="89"/>
      <c r="I49" s="89"/>
      <c r="J49" s="89"/>
      <c r="K49" s="640"/>
      <c r="L49" s="101" t="s">
        <v>1671</v>
      </c>
      <c r="M49" s="102"/>
      <c r="N49" s="667" t="s">
        <v>1672</v>
      </c>
      <c r="O49" s="103"/>
      <c r="P49" s="120"/>
      <c r="Q49" s="120"/>
      <c r="R49" s="120"/>
      <c r="S49" s="641"/>
    </row>
    <row r="50" spans="1:19" ht="12.75">
      <c r="A50" s="637"/>
      <c r="B50" s="89"/>
      <c r="C50" s="89"/>
      <c r="D50" s="89"/>
      <c r="E50" s="89"/>
      <c r="F50" s="89"/>
      <c r="G50" s="89"/>
      <c r="H50" s="89"/>
      <c r="I50" s="89"/>
      <c r="J50" s="89"/>
      <c r="K50" s="640"/>
      <c r="L50" s="104"/>
      <c r="M50" s="105" t="s">
        <v>1673</v>
      </c>
      <c r="N50" s="106"/>
      <c r="O50" s="106"/>
      <c r="P50" s="121"/>
      <c r="Q50" s="121"/>
      <c r="R50" s="668">
        <v>0</v>
      </c>
      <c r="S50" s="641"/>
    </row>
    <row r="51" spans="1:19" ht="12.75">
      <c r="A51" s="637"/>
      <c r="B51" s="89"/>
      <c r="C51" s="89"/>
      <c r="D51" s="89"/>
      <c r="E51" s="89"/>
      <c r="F51" s="89"/>
      <c r="G51" s="89"/>
      <c r="H51" s="89"/>
      <c r="I51" s="89"/>
      <c r="J51" s="89"/>
      <c r="K51" s="640"/>
      <c r="L51" s="104"/>
      <c r="M51" s="105" t="s">
        <v>1674</v>
      </c>
      <c r="N51" s="106"/>
      <c r="O51" s="106"/>
      <c r="P51" s="121"/>
      <c r="Q51" s="121"/>
      <c r="R51" s="668">
        <v>0</v>
      </c>
      <c r="S51" s="641"/>
    </row>
    <row r="52" spans="1:19" ht="13.5" thickBot="1">
      <c r="A52" s="637"/>
      <c r="B52" s="89"/>
      <c r="C52" s="89"/>
      <c r="D52" s="89"/>
      <c r="E52" s="89"/>
      <c r="F52" s="89"/>
      <c r="G52" s="89"/>
      <c r="H52" s="89"/>
      <c r="I52" s="89"/>
      <c r="J52" s="89"/>
      <c r="K52" s="640"/>
      <c r="L52" s="104"/>
      <c r="M52" s="642" t="s">
        <v>1675</v>
      </c>
      <c r="N52" s="643"/>
      <c r="O52" s="643"/>
      <c r="P52" s="644"/>
      <c r="Q52" s="644"/>
      <c r="R52" s="669">
        <v>0</v>
      </c>
      <c r="S52" s="641"/>
    </row>
    <row r="53" spans="1:19" ht="12.75">
      <c r="A53" s="645"/>
      <c r="B53" s="646" t="s">
        <v>1676</v>
      </c>
      <c r="C53" s="645"/>
      <c r="D53" s="645"/>
      <c r="E53" s="645"/>
      <c r="F53" s="645"/>
      <c r="G53" s="645"/>
      <c r="H53" s="645"/>
      <c r="I53" s="645"/>
      <c r="J53" s="645"/>
      <c r="K53" s="645"/>
      <c r="L53" s="645"/>
      <c r="M53" s="645"/>
      <c r="N53" s="645"/>
      <c r="O53" s="645"/>
      <c r="P53" s="645"/>
      <c r="Q53" s="645"/>
      <c r="R53" s="645"/>
      <c r="S53" s="645"/>
    </row>
    <row r="54" spans="2:5" ht="12.75">
      <c r="B54" t="s">
        <v>1677</v>
      </c>
      <c r="E54" s="462" t="s">
        <v>1678</v>
      </c>
    </row>
    <row r="55" spans="2:9" ht="12.75">
      <c r="B55" t="s">
        <v>1679</v>
      </c>
      <c r="E55" s="463" t="s">
        <v>1680</v>
      </c>
      <c r="F55" s="464"/>
      <c r="G55" s="464"/>
      <c r="H55" s="517"/>
      <c r="I55" s="1220" t="s">
        <v>1635</v>
      </c>
    </row>
    <row r="56" spans="2:9" ht="12.75">
      <c r="B56" t="s">
        <v>1679</v>
      </c>
      <c r="E56" s="516" t="s">
        <v>1681</v>
      </c>
      <c r="H56" s="518"/>
      <c r="I56" s="1220" t="s">
        <v>1682</v>
      </c>
    </row>
    <row r="57" spans="5:9" ht="12.75">
      <c r="E57" s="516" t="s">
        <v>2956</v>
      </c>
      <c r="I57" s="1220" t="s">
        <v>2957</v>
      </c>
    </row>
    <row r="58" spans="5:9" ht="12.75">
      <c r="E58" s="1276" t="s">
        <v>2959</v>
      </c>
      <c r="F58" s="1277"/>
      <c r="G58" s="1277"/>
      <c r="H58" s="1277"/>
      <c r="I58" s="1220" t="s">
        <v>2958</v>
      </c>
    </row>
    <row r="59" spans="2:5" ht="12.75">
      <c r="B59" s="1220" t="s">
        <v>2960</v>
      </c>
      <c r="E59" s="1221" t="s">
        <v>2961</v>
      </c>
    </row>
    <row r="60" spans="5:14" ht="12.75">
      <c r="E60" s="1349" t="s">
        <v>3009</v>
      </c>
      <c r="F60" s="1277"/>
      <c r="G60" s="1277"/>
      <c r="H60" s="1277"/>
      <c r="I60" s="1277"/>
      <c r="J60" s="1277"/>
      <c r="K60" s="1277"/>
      <c r="L60" s="1277"/>
      <c r="M60" s="1277"/>
      <c r="N60" s="1277"/>
    </row>
  </sheetData>
  <mergeCells count="20">
    <mergeCell ref="O9:P9"/>
    <mergeCell ref="E9:L9"/>
    <mergeCell ref="E10:L10"/>
    <mergeCell ref="P47:Q47"/>
    <mergeCell ref="O10:P10"/>
    <mergeCell ref="O12:P12"/>
    <mergeCell ref="O13:P13"/>
    <mergeCell ref="Q10:R10"/>
    <mergeCell ref="P46:Q46"/>
    <mergeCell ref="E7:L7"/>
    <mergeCell ref="E8:L8"/>
    <mergeCell ref="O6:P6"/>
    <mergeCell ref="O7:P7"/>
    <mergeCell ref="O8:P8"/>
    <mergeCell ref="O3:P3"/>
    <mergeCell ref="O4:P4"/>
    <mergeCell ref="O5:P5"/>
    <mergeCell ref="E3:L3"/>
    <mergeCell ref="E4:L4"/>
    <mergeCell ref="E5:L5"/>
  </mergeCells>
  <printOptions/>
  <pageMargins left="0.36" right="0.38" top="0.38" bottom="0.44" header="0.28" footer="0.37"/>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Q58"/>
  <sheetViews>
    <sheetView showGridLines="0" view="pageBreakPreview" zoomScaleSheetLayoutView="100" workbookViewId="0" topLeftCell="A1">
      <selection activeCell="I11" sqref="I11:J11"/>
    </sheetView>
  </sheetViews>
  <sheetFormatPr defaultColWidth="9.140625" defaultRowHeight="12.75"/>
  <cols>
    <col min="1" max="1" width="5.28125" style="28" customWidth="1"/>
    <col min="2" max="2" width="14.7109375" style="0" customWidth="1"/>
    <col min="3" max="3" width="46.00390625" style="0" customWidth="1"/>
    <col min="4" max="4" width="5.8515625" style="0" customWidth="1"/>
    <col min="5" max="5" width="8.00390625" style="33" customWidth="1"/>
    <col min="6" max="6" width="9.8515625" style="0" customWidth="1"/>
    <col min="7" max="7" width="10.7109375" style="0" customWidth="1"/>
    <col min="8" max="8" width="16.00390625" style="0" customWidth="1"/>
    <col min="9" max="9" width="9.140625" style="12" customWidth="1"/>
    <col min="10" max="10" width="11.28125" style="12" customWidth="1"/>
    <col min="17" max="17" width="9.140625" style="33" customWidth="1"/>
  </cols>
  <sheetData>
    <row r="1" spans="1:10" ht="23.25">
      <c r="A1" s="23"/>
      <c r="B1" s="13"/>
      <c r="C1" s="14" t="s">
        <v>1683</v>
      </c>
      <c r="D1" s="14"/>
      <c r="E1" s="13"/>
      <c r="F1" s="13"/>
      <c r="G1" s="13"/>
      <c r="H1" s="13"/>
      <c r="I1" s="15"/>
      <c r="J1" s="16"/>
    </row>
    <row r="2" spans="1:10" ht="12.75">
      <c r="A2" s="24"/>
      <c r="B2" s="653"/>
      <c r="C2" s="1310" t="s">
        <v>1684</v>
      </c>
      <c r="D2" s="1308" t="s">
        <v>1685</v>
      </c>
      <c r="E2" s="1308"/>
      <c r="F2" s="1308"/>
      <c r="G2" s="1320" t="s">
        <v>1686</v>
      </c>
      <c r="H2" s="1324" t="s">
        <v>1687</v>
      </c>
      <c r="I2" s="1325"/>
      <c r="J2" s="1326"/>
    </row>
    <row r="3" spans="1:10" ht="12.75">
      <c r="A3" s="24"/>
      <c r="B3" s="652"/>
      <c r="C3" s="1311"/>
      <c r="D3" s="1309"/>
      <c r="E3" s="1309"/>
      <c r="F3" s="1309"/>
      <c r="G3" s="1321"/>
      <c r="H3" s="1316"/>
      <c r="I3" s="1316"/>
      <c r="J3" s="1317"/>
    </row>
    <row r="4" spans="1:10" ht="12.75">
      <c r="A4" s="24"/>
      <c r="B4" s="652"/>
      <c r="C4" s="1309" t="s">
        <v>1688</v>
      </c>
      <c r="D4" s="1309" t="s">
        <v>1689</v>
      </c>
      <c r="E4" s="1309"/>
      <c r="F4" s="1327"/>
      <c r="G4" s="1321" t="s">
        <v>1690</v>
      </c>
      <c r="H4" s="1315" t="s">
        <v>1586</v>
      </c>
      <c r="I4" s="1315"/>
      <c r="J4" s="1328"/>
    </row>
    <row r="5" spans="1:10" ht="12.75">
      <c r="A5" s="24"/>
      <c r="B5" s="652"/>
      <c r="C5" s="1312"/>
      <c r="D5" s="1309"/>
      <c r="E5" s="1309"/>
      <c r="F5" s="1327"/>
      <c r="G5" s="1321"/>
      <c r="H5" s="1315"/>
      <c r="I5" s="1315"/>
      <c r="J5" s="1328"/>
    </row>
    <row r="6" spans="1:10" ht="12.75" customHeight="1">
      <c r="A6" s="24"/>
      <c r="B6" s="652"/>
      <c r="C6" s="1309" t="s">
        <v>1580</v>
      </c>
      <c r="D6" s="1309" t="s">
        <v>1691</v>
      </c>
      <c r="E6" s="1309"/>
      <c r="F6" s="1327"/>
      <c r="G6" s="1321" t="s">
        <v>1692</v>
      </c>
      <c r="H6" s="1315"/>
      <c r="I6" s="1316"/>
      <c r="J6" s="1317"/>
    </row>
    <row r="7" spans="1:10" ht="12.75" customHeight="1">
      <c r="A7" s="24"/>
      <c r="B7" s="652"/>
      <c r="C7" s="1309"/>
      <c r="D7" s="1309"/>
      <c r="E7" s="1309"/>
      <c r="F7" s="1327"/>
      <c r="G7" s="1321"/>
      <c r="H7" s="1316"/>
      <c r="I7" s="1316"/>
      <c r="J7" s="1317"/>
    </row>
    <row r="8" spans="1:10" ht="12.75" customHeight="1">
      <c r="A8" s="24"/>
      <c r="B8" s="652"/>
      <c r="C8" s="1306" t="s">
        <v>1290</v>
      </c>
      <c r="D8" s="1333" t="s">
        <v>2831</v>
      </c>
      <c r="E8" s="1334"/>
      <c r="F8" s="1334"/>
      <c r="G8" s="1321" t="s">
        <v>1693</v>
      </c>
      <c r="H8" s="1315" t="s">
        <v>1586</v>
      </c>
      <c r="I8" s="1316"/>
      <c r="J8" s="1317"/>
    </row>
    <row r="9" spans="1:10" ht="12.75" customHeight="1">
      <c r="A9" s="24"/>
      <c r="B9" s="1"/>
      <c r="C9" s="1332"/>
      <c r="D9" s="1335"/>
      <c r="E9" s="1335"/>
      <c r="F9" s="1335"/>
      <c r="G9" s="1338"/>
      <c r="H9" s="1336"/>
      <c r="I9" s="1336"/>
      <c r="J9" s="1337"/>
    </row>
    <row r="10" spans="1:17" ht="13.5" thickBot="1">
      <c r="A10" s="160"/>
      <c r="B10" s="161"/>
      <c r="C10" s="162"/>
      <c r="D10" s="162"/>
      <c r="E10" s="161"/>
      <c r="F10" s="161"/>
      <c r="G10" s="161"/>
      <c r="H10" s="161"/>
      <c r="I10" s="163"/>
      <c r="J10" s="164"/>
      <c r="Q10"/>
    </row>
    <row r="11" spans="1:17" s="18" customFormat="1" ht="12.75">
      <c r="A11" s="25"/>
      <c r="B11" s="17" t="s">
        <v>1694</v>
      </c>
      <c r="C11" s="2" t="s">
        <v>1694</v>
      </c>
      <c r="D11" s="3"/>
      <c r="E11" s="30" t="s">
        <v>1694</v>
      </c>
      <c r="F11" s="2" t="s">
        <v>1694</v>
      </c>
      <c r="G11" s="1322" t="s">
        <v>1695</v>
      </c>
      <c r="H11" s="1323"/>
      <c r="I11" s="1318" t="s">
        <v>1696</v>
      </c>
      <c r="J11" s="1319"/>
      <c r="Q11" s="135"/>
    </row>
    <row r="12" spans="1:17" s="18" customFormat="1" ht="13.5" thickBot="1">
      <c r="A12" s="26"/>
      <c r="B12" s="19" t="s">
        <v>1697</v>
      </c>
      <c r="C12" s="4" t="s">
        <v>1698</v>
      </c>
      <c r="D12" s="5"/>
      <c r="E12" s="6" t="s">
        <v>1699</v>
      </c>
      <c r="F12" s="6" t="s">
        <v>1700</v>
      </c>
      <c r="G12" s="7" t="s">
        <v>1701</v>
      </c>
      <c r="H12" s="8" t="s">
        <v>1702</v>
      </c>
      <c r="I12" s="10" t="s">
        <v>1701</v>
      </c>
      <c r="J12" s="11" t="s">
        <v>1702</v>
      </c>
      <c r="Q12" s="135"/>
    </row>
    <row r="13" spans="1:17" ht="16.5" customHeight="1" thickBot="1">
      <c r="A13" s="266"/>
      <c r="B13" s="175"/>
      <c r="C13" s="176"/>
      <c r="D13" s="176"/>
      <c r="E13" s="175"/>
      <c r="F13" s="175"/>
      <c r="G13" s="175"/>
      <c r="H13" s="185"/>
      <c r="I13" s="177"/>
      <c r="J13" s="178"/>
      <c r="Q13"/>
    </row>
    <row r="14" spans="1:17" s="18" customFormat="1" ht="16.5" customHeight="1" thickBot="1">
      <c r="A14" s="27"/>
      <c r="B14" s="122"/>
      <c r="C14" s="122" t="s">
        <v>1703</v>
      </c>
      <c r="D14" s="122"/>
      <c r="E14" s="123"/>
      <c r="F14" s="123"/>
      <c r="G14" s="124"/>
      <c r="H14" s="125">
        <f>H15</f>
        <v>0</v>
      </c>
      <c r="I14" s="126"/>
      <c r="J14" s="127"/>
      <c r="Q14" s="135"/>
    </row>
    <row r="15" spans="1:17" ht="16.5" customHeight="1" thickBot="1">
      <c r="A15" s="266" t="s">
        <v>695</v>
      </c>
      <c r="B15" s="175" t="s">
        <v>708</v>
      </c>
      <c r="C15" s="176" t="s">
        <v>709</v>
      </c>
      <c r="D15" s="176"/>
      <c r="E15" s="175"/>
      <c r="F15" s="175"/>
      <c r="G15" s="175"/>
      <c r="H15" s="185">
        <f>SUM(H16:H55)</f>
        <v>0</v>
      </c>
      <c r="I15" s="177"/>
      <c r="J15" s="178">
        <f>SUM(J17:J55)</f>
        <v>0</v>
      </c>
      <c r="Q15"/>
    </row>
    <row r="16" spans="1:17" s="22" customFormat="1" ht="18.75" customHeight="1">
      <c r="A16" s="190"/>
      <c r="B16" s="191"/>
      <c r="C16" s="265"/>
      <c r="D16" s="191"/>
      <c r="E16" s="192"/>
      <c r="F16" s="193"/>
      <c r="G16" s="193"/>
      <c r="H16" s="193"/>
      <c r="I16" s="194"/>
      <c r="J16" s="195"/>
      <c r="Q16" s="136"/>
    </row>
    <row r="17" spans="1:17" s="22" customFormat="1" ht="18.75" customHeight="1">
      <c r="A17" s="196" t="s">
        <v>698</v>
      </c>
      <c r="B17" s="197" t="s">
        <v>1291</v>
      </c>
      <c r="C17" s="199" t="s">
        <v>1292</v>
      </c>
      <c r="D17" s="197"/>
      <c r="E17" s="198" t="s">
        <v>1826</v>
      </c>
      <c r="F17" s="332">
        <v>986</v>
      </c>
      <c r="G17" s="406"/>
      <c r="H17" s="332">
        <f aca="true" t="shared" si="0" ref="H17:H53">F17*G17</f>
        <v>0</v>
      </c>
      <c r="I17" s="333">
        <v>0</v>
      </c>
      <c r="J17" s="334">
        <f aca="true" t="shared" si="1" ref="J17:J53">F17*I17</f>
        <v>0</v>
      </c>
      <c r="Q17" s="136"/>
    </row>
    <row r="18" spans="1:17" s="22" customFormat="1" ht="18.75" customHeight="1">
      <c r="A18" s="196" t="s">
        <v>701</v>
      </c>
      <c r="B18" s="197" t="s">
        <v>1293</v>
      </c>
      <c r="C18" s="199" t="s">
        <v>1294</v>
      </c>
      <c r="D18" s="197"/>
      <c r="E18" s="198" t="s">
        <v>1826</v>
      </c>
      <c r="F18" s="332">
        <v>250</v>
      </c>
      <c r="G18" s="406"/>
      <c r="H18" s="332">
        <f t="shared" si="0"/>
        <v>0</v>
      </c>
      <c r="I18" s="333">
        <v>0</v>
      </c>
      <c r="J18" s="334">
        <f t="shared" si="1"/>
        <v>0</v>
      </c>
      <c r="Q18" s="136"/>
    </row>
    <row r="19" spans="1:17" s="22" customFormat="1" ht="18.75" customHeight="1">
      <c r="A19" s="196" t="s">
        <v>704</v>
      </c>
      <c r="B19" s="197" t="s">
        <v>1295</v>
      </c>
      <c r="C19" s="199" t="s">
        <v>1296</v>
      </c>
      <c r="D19" s="197"/>
      <c r="E19" s="198" t="s">
        <v>1831</v>
      </c>
      <c r="F19" s="332">
        <v>70</v>
      </c>
      <c r="G19" s="406"/>
      <c r="H19" s="332">
        <f t="shared" si="0"/>
        <v>0</v>
      </c>
      <c r="I19" s="333">
        <v>0</v>
      </c>
      <c r="J19" s="334">
        <f t="shared" si="1"/>
        <v>0</v>
      </c>
      <c r="Q19" s="136"/>
    </row>
    <row r="20" spans="1:17" s="22" customFormat="1" ht="18.75" customHeight="1">
      <c r="A20" s="196" t="s">
        <v>1297</v>
      </c>
      <c r="B20" s="197" t="s">
        <v>1298</v>
      </c>
      <c r="C20" s="199" t="s">
        <v>1299</v>
      </c>
      <c r="D20" s="197"/>
      <c r="E20" s="198" t="s">
        <v>1831</v>
      </c>
      <c r="F20" s="332">
        <v>140</v>
      </c>
      <c r="G20" s="406"/>
      <c r="H20" s="332">
        <f t="shared" si="0"/>
        <v>0</v>
      </c>
      <c r="I20" s="333">
        <v>0</v>
      </c>
      <c r="J20" s="334">
        <f t="shared" si="1"/>
        <v>0</v>
      </c>
      <c r="Q20" s="136"/>
    </row>
    <row r="21" spans="1:17" s="22" customFormat="1" ht="18.75" customHeight="1">
      <c r="A21" s="196" t="s">
        <v>1300</v>
      </c>
      <c r="B21" s="197" t="s">
        <v>1301</v>
      </c>
      <c r="C21" s="199" t="s">
        <v>1302</v>
      </c>
      <c r="D21" s="197"/>
      <c r="E21" s="198" t="s">
        <v>1831</v>
      </c>
      <c r="F21" s="332">
        <v>70</v>
      </c>
      <c r="G21" s="406"/>
      <c r="H21" s="332">
        <f t="shared" si="0"/>
        <v>0</v>
      </c>
      <c r="I21" s="333">
        <v>0</v>
      </c>
      <c r="J21" s="334">
        <f t="shared" si="1"/>
        <v>0</v>
      </c>
      <c r="Q21" s="136"/>
    </row>
    <row r="22" spans="1:17" s="22" customFormat="1" ht="18.75" customHeight="1">
      <c r="A22" s="196" t="s">
        <v>1303</v>
      </c>
      <c r="B22" s="197" t="s">
        <v>1301</v>
      </c>
      <c r="C22" s="199" t="s">
        <v>1304</v>
      </c>
      <c r="D22" s="197"/>
      <c r="E22" s="198" t="s">
        <v>1831</v>
      </c>
      <c r="F22" s="332">
        <v>20</v>
      </c>
      <c r="G22" s="406"/>
      <c r="H22" s="332">
        <f t="shared" si="0"/>
        <v>0</v>
      </c>
      <c r="I22" s="333">
        <v>0</v>
      </c>
      <c r="J22" s="334">
        <f t="shared" si="1"/>
        <v>0</v>
      </c>
      <c r="Q22" s="136"/>
    </row>
    <row r="23" spans="1:17" s="22" customFormat="1" ht="18.75" customHeight="1">
      <c r="A23" s="196" t="s">
        <v>1305</v>
      </c>
      <c r="B23" s="197" t="s">
        <v>1301</v>
      </c>
      <c r="C23" s="199" t="s">
        <v>1306</v>
      </c>
      <c r="D23" s="197"/>
      <c r="E23" s="198" t="s">
        <v>1831</v>
      </c>
      <c r="F23" s="332">
        <v>140</v>
      </c>
      <c r="G23" s="406"/>
      <c r="H23" s="332">
        <f t="shared" si="0"/>
        <v>0</v>
      </c>
      <c r="I23" s="333">
        <v>0</v>
      </c>
      <c r="J23" s="334">
        <f t="shared" si="1"/>
        <v>0</v>
      </c>
      <c r="Q23" s="136"/>
    </row>
    <row r="24" spans="1:17" s="22" customFormat="1" ht="27.75" customHeight="1">
      <c r="A24" s="196" t="s">
        <v>1307</v>
      </c>
      <c r="B24" s="197" t="s">
        <v>1308</v>
      </c>
      <c r="C24" s="199" t="s">
        <v>1309</v>
      </c>
      <c r="D24" s="197"/>
      <c r="E24" s="198" t="s">
        <v>1826</v>
      </c>
      <c r="F24" s="332">
        <v>3520</v>
      </c>
      <c r="G24" s="406"/>
      <c r="H24" s="332">
        <f t="shared" si="0"/>
        <v>0</v>
      </c>
      <c r="I24" s="333">
        <v>0</v>
      </c>
      <c r="J24" s="334">
        <f t="shared" si="1"/>
        <v>0</v>
      </c>
      <c r="Q24" s="136"/>
    </row>
    <row r="25" spans="1:17" s="22" customFormat="1" ht="18.75" customHeight="1">
      <c r="A25" s="196" t="s">
        <v>1310</v>
      </c>
      <c r="B25" s="197" t="s">
        <v>1311</v>
      </c>
      <c r="C25" s="199" t="s">
        <v>1312</v>
      </c>
      <c r="D25" s="197"/>
      <c r="E25" s="198" t="s">
        <v>1831</v>
      </c>
      <c r="F25" s="332">
        <v>23</v>
      </c>
      <c r="G25" s="406"/>
      <c r="H25" s="332">
        <f t="shared" si="0"/>
        <v>0</v>
      </c>
      <c r="I25" s="333">
        <v>0</v>
      </c>
      <c r="J25" s="334">
        <f t="shared" si="1"/>
        <v>0</v>
      </c>
      <c r="Q25" s="136"/>
    </row>
    <row r="26" spans="1:17" s="22" customFormat="1" ht="18.75" customHeight="1">
      <c r="A26" s="196" t="s">
        <v>1313</v>
      </c>
      <c r="B26" s="197" t="s">
        <v>1314</v>
      </c>
      <c r="C26" s="199" t="s">
        <v>1315</v>
      </c>
      <c r="D26" s="197"/>
      <c r="E26" s="198" t="s">
        <v>1831</v>
      </c>
      <c r="F26" s="332">
        <v>12</v>
      </c>
      <c r="G26" s="406"/>
      <c r="H26" s="332">
        <f t="shared" si="0"/>
        <v>0</v>
      </c>
      <c r="I26" s="333">
        <v>0</v>
      </c>
      <c r="J26" s="334">
        <f t="shared" si="1"/>
        <v>0</v>
      </c>
      <c r="Q26" s="136"/>
    </row>
    <row r="27" spans="1:17" s="22" customFormat="1" ht="18.75" customHeight="1">
      <c r="A27" s="196" t="s">
        <v>1316</v>
      </c>
      <c r="B27" s="197" t="s">
        <v>1298</v>
      </c>
      <c r="C27" s="199" t="s">
        <v>1317</v>
      </c>
      <c r="D27" s="197"/>
      <c r="E27" s="198" t="s">
        <v>1831</v>
      </c>
      <c r="F27" s="332">
        <v>24</v>
      </c>
      <c r="G27" s="406"/>
      <c r="H27" s="332">
        <f t="shared" si="0"/>
        <v>0</v>
      </c>
      <c r="I27" s="333">
        <v>0</v>
      </c>
      <c r="J27" s="334">
        <f t="shared" si="1"/>
        <v>0</v>
      </c>
      <c r="Q27" s="136"/>
    </row>
    <row r="28" spans="1:17" s="22" customFormat="1" ht="18.75" customHeight="1">
      <c r="A28" s="196" t="s">
        <v>1318</v>
      </c>
      <c r="B28" s="197" t="s">
        <v>1298</v>
      </c>
      <c r="C28" s="199" t="s">
        <v>1319</v>
      </c>
      <c r="D28" s="197"/>
      <c r="E28" s="198" t="s">
        <v>1831</v>
      </c>
      <c r="F28" s="332">
        <v>16</v>
      </c>
      <c r="G28" s="406"/>
      <c r="H28" s="332">
        <f t="shared" si="0"/>
        <v>0</v>
      </c>
      <c r="I28" s="333">
        <v>0</v>
      </c>
      <c r="J28" s="334">
        <f t="shared" si="1"/>
        <v>0</v>
      </c>
      <c r="Q28" s="136"/>
    </row>
    <row r="29" spans="1:17" s="22" customFormat="1" ht="18.75" customHeight="1">
      <c r="A29" s="196" t="s">
        <v>1320</v>
      </c>
      <c r="B29" s="197" t="s">
        <v>1298</v>
      </c>
      <c r="C29" s="199" t="s">
        <v>1321</v>
      </c>
      <c r="D29" s="197"/>
      <c r="E29" s="198" t="s">
        <v>1831</v>
      </c>
      <c r="F29" s="332">
        <v>13</v>
      </c>
      <c r="G29" s="406"/>
      <c r="H29" s="332">
        <f t="shared" si="0"/>
        <v>0</v>
      </c>
      <c r="I29" s="333">
        <v>0</v>
      </c>
      <c r="J29" s="334">
        <f t="shared" si="1"/>
        <v>0</v>
      </c>
      <c r="Q29" s="136"/>
    </row>
    <row r="30" spans="1:17" s="22" customFormat="1" ht="18.75" customHeight="1">
      <c r="A30" s="196" t="s">
        <v>1322</v>
      </c>
      <c r="B30" s="197" t="s">
        <v>1298</v>
      </c>
      <c r="C30" s="199" t="s">
        <v>1323</v>
      </c>
      <c r="D30" s="197"/>
      <c r="E30" s="198" t="s">
        <v>1831</v>
      </c>
      <c r="F30" s="332">
        <v>18</v>
      </c>
      <c r="G30" s="406"/>
      <c r="H30" s="332">
        <f t="shared" si="0"/>
        <v>0</v>
      </c>
      <c r="I30" s="333">
        <v>0</v>
      </c>
      <c r="J30" s="334">
        <f t="shared" si="1"/>
        <v>0</v>
      </c>
      <c r="Q30" s="136"/>
    </row>
    <row r="31" spans="1:17" s="22" customFormat="1" ht="18.75" customHeight="1">
      <c r="A31" s="196" t="s">
        <v>1324</v>
      </c>
      <c r="B31" s="197" t="s">
        <v>1325</v>
      </c>
      <c r="C31" s="199" t="s">
        <v>1326</v>
      </c>
      <c r="D31" s="197"/>
      <c r="E31" s="198" t="s">
        <v>1831</v>
      </c>
      <c r="F31" s="332">
        <v>420</v>
      </c>
      <c r="G31" s="406"/>
      <c r="H31" s="332">
        <f t="shared" si="0"/>
        <v>0</v>
      </c>
      <c r="I31" s="333">
        <v>0</v>
      </c>
      <c r="J31" s="334">
        <f t="shared" si="1"/>
        <v>0</v>
      </c>
      <c r="Q31" s="136"/>
    </row>
    <row r="32" spans="1:17" s="22" customFormat="1" ht="18.75" customHeight="1">
      <c r="A32" s="196" t="s">
        <v>1327</v>
      </c>
      <c r="B32" s="197" t="s">
        <v>1328</v>
      </c>
      <c r="C32" s="199" t="s">
        <v>1329</v>
      </c>
      <c r="D32" s="197"/>
      <c r="E32" s="198" t="s">
        <v>1831</v>
      </c>
      <c r="F32" s="332">
        <v>32</v>
      </c>
      <c r="G32" s="406"/>
      <c r="H32" s="332">
        <f t="shared" si="0"/>
        <v>0</v>
      </c>
      <c r="I32" s="333">
        <v>0</v>
      </c>
      <c r="J32" s="334">
        <f t="shared" si="1"/>
        <v>0</v>
      </c>
      <c r="Q32" s="136"/>
    </row>
    <row r="33" spans="1:17" s="22" customFormat="1" ht="18.75" customHeight="1">
      <c r="A33" s="196" t="s">
        <v>1330</v>
      </c>
      <c r="B33" s="197" t="s">
        <v>1325</v>
      </c>
      <c r="C33" s="199" t="s">
        <v>1331</v>
      </c>
      <c r="D33" s="197"/>
      <c r="E33" s="198" t="s">
        <v>1831</v>
      </c>
      <c r="F33" s="332">
        <v>20</v>
      </c>
      <c r="G33" s="406"/>
      <c r="H33" s="332">
        <f t="shared" si="0"/>
        <v>0</v>
      </c>
      <c r="I33" s="333">
        <v>0</v>
      </c>
      <c r="J33" s="334">
        <f t="shared" si="1"/>
        <v>0</v>
      </c>
      <c r="Q33" s="136"/>
    </row>
    <row r="34" spans="1:17" s="22" customFormat="1" ht="18.75" customHeight="1">
      <c r="A34" s="196" t="s">
        <v>1332</v>
      </c>
      <c r="B34" s="197" t="s">
        <v>1301</v>
      </c>
      <c r="C34" s="199" t="s">
        <v>1333</v>
      </c>
      <c r="D34" s="197"/>
      <c r="E34" s="198" t="s">
        <v>1831</v>
      </c>
      <c r="F34" s="332">
        <v>10</v>
      </c>
      <c r="G34" s="406"/>
      <c r="H34" s="332">
        <f t="shared" si="0"/>
        <v>0</v>
      </c>
      <c r="I34" s="333">
        <v>0</v>
      </c>
      <c r="J34" s="334">
        <f t="shared" si="1"/>
        <v>0</v>
      </c>
      <c r="Q34" s="136"/>
    </row>
    <row r="35" spans="1:17" s="22" customFormat="1" ht="18.75" customHeight="1">
      <c r="A35" s="196" t="s">
        <v>1334</v>
      </c>
      <c r="B35" s="197" t="s">
        <v>1301</v>
      </c>
      <c r="C35" s="199" t="s">
        <v>1335</v>
      </c>
      <c r="D35" s="197"/>
      <c r="E35" s="198" t="s">
        <v>1831</v>
      </c>
      <c r="F35" s="332">
        <v>62</v>
      </c>
      <c r="G35" s="406"/>
      <c r="H35" s="332">
        <f t="shared" si="0"/>
        <v>0</v>
      </c>
      <c r="I35" s="333">
        <v>0</v>
      </c>
      <c r="J35" s="334">
        <f t="shared" si="1"/>
        <v>0</v>
      </c>
      <c r="Q35" s="136"/>
    </row>
    <row r="36" spans="1:17" s="22" customFormat="1" ht="18.75" customHeight="1">
      <c r="A36" s="196" t="s">
        <v>1336</v>
      </c>
      <c r="B36" s="197" t="s">
        <v>1298</v>
      </c>
      <c r="C36" s="199" t="s">
        <v>1337</v>
      </c>
      <c r="D36" s="197"/>
      <c r="E36" s="198" t="s">
        <v>1831</v>
      </c>
      <c r="F36" s="332">
        <v>1650</v>
      </c>
      <c r="G36" s="406"/>
      <c r="H36" s="332">
        <f t="shared" si="0"/>
        <v>0</v>
      </c>
      <c r="I36" s="333">
        <v>0</v>
      </c>
      <c r="J36" s="334">
        <f t="shared" si="1"/>
        <v>0</v>
      </c>
      <c r="Q36" s="136"/>
    </row>
    <row r="37" spans="1:17" s="22" customFormat="1" ht="25.5" customHeight="1">
      <c r="A37" s="196" t="s">
        <v>1338</v>
      </c>
      <c r="B37" s="197" t="s">
        <v>1298</v>
      </c>
      <c r="C37" s="199" t="s">
        <v>1339</v>
      </c>
      <c r="D37" s="197"/>
      <c r="E37" s="198" t="s">
        <v>1831</v>
      </c>
      <c r="F37" s="332">
        <v>290</v>
      </c>
      <c r="G37" s="406"/>
      <c r="H37" s="332">
        <f t="shared" si="0"/>
        <v>0</v>
      </c>
      <c r="I37" s="333">
        <v>0</v>
      </c>
      <c r="J37" s="334">
        <f t="shared" si="1"/>
        <v>0</v>
      </c>
      <c r="Q37" s="136"/>
    </row>
    <row r="38" spans="1:17" s="22" customFormat="1" ht="18.75" customHeight="1">
      <c r="A38" s="196" t="s">
        <v>1340</v>
      </c>
      <c r="B38" s="197" t="s">
        <v>1298</v>
      </c>
      <c r="C38" s="199" t="s">
        <v>1341</v>
      </c>
      <c r="D38" s="197"/>
      <c r="E38" s="198" t="s">
        <v>1831</v>
      </c>
      <c r="F38" s="332">
        <v>1137</v>
      </c>
      <c r="G38" s="406"/>
      <c r="H38" s="332">
        <f t="shared" si="0"/>
        <v>0</v>
      </c>
      <c r="I38" s="333">
        <v>0</v>
      </c>
      <c r="J38" s="334">
        <f t="shared" si="1"/>
        <v>0</v>
      </c>
      <c r="Q38" s="136"/>
    </row>
    <row r="39" spans="1:17" s="22" customFormat="1" ht="28.5" customHeight="1">
      <c r="A39" s="196" t="s">
        <v>1342</v>
      </c>
      <c r="B39" s="197" t="s">
        <v>1298</v>
      </c>
      <c r="C39" s="199" t="s">
        <v>1343</v>
      </c>
      <c r="D39" s="197"/>
      <c r="E39" s="198" t="s">
        <v>1831</v>
      </c>
      <c r="F39" s="332">
        <v>1326</v>
      </c>
      <c r="G39" s="406"/>
      <c r="H39" s="332">
        <f t="shared" si="0"/>
        <v>0</v>
      </c>
      <c r="I39" s="333">
        <v>0</v>
      </c>
      <c r="J39" s="334">
        <f t="shared" si="1"/>
        <v>0</v>
      </c>
      <c r="Q39" s="136"/>
    </row>
    <row r="40" spans="1:17" s="22" customFormat="1" ht="18.75" customHeight="1">
      <c r="A40" s="196" t="s">
        <v>1344</v>
      </c>
      <c r="B40" s="197" t="s">
        <v>1298</v>
      </c>
      <c r="C40" s="199" t="s">
        <v>1345</v>
      </c>
      <c r="D40" s="197"/>
      <c r="E40" s="198" t="s">
        <v>1831</v>
      </c>
      <c r="F40" s="332">
        <v>1898</v>
      </c>
      <c r="G40" s="406"/>
      <c r="H40" s="332">
        <f t="shared" si="0"/>
        <v>0</v>
      </c>
      <c r="I40" s="333">
        <v>0</v>
      </c>
      <c r="J40" s="334">
        <f t="shared" si="1"/>
        <v>0</v>
      </c>
      <c r="Q40" s="136"/>
    </row>
    <row r="41" spans="1:17" s="22" customFormat="1" ht="18.75" customHeight="1">
      <c r="A41" s="196" t="s">
        <v>1346</v>
      </c>
      <c r="B41" s="197" t="s">
        <v>1347</v>
      </c>
      <c r="C41" s="199" t="s">
        <v>1348</v>
      </c>
      <c r="D41" s="197"/>
      <c r="E41" s="198" t="s">
        <v>1831</v>
      </c>
      <c r="F41" s="332">
        <v>14</v>
      </c>
      <c r="G41" s="406"/>
      <c r="H41" s="332">
        <f t="shared" si="0"/>
        <v>0</v>
      </c>
      <c r="I41" s="333">
        <v>0</v>
      </c>
      <c r="J41" s="334">
        <f t="shared" si="1"/>
        <v>0</v>
      </c>
      <c r="Q41" s="136"/>
    </row>
    <row r="42" spans="1:17" s="22" customFormat="1" ht="18.75" customHeight="1">
      <c r="A42" s="196" t="s">
        <v>1349</v>
      </c>
      <c r="B42" s="197" t="s">
        <v>1347</v>
      </c>
      <c r="C42" s="199" t="s">
        <v>1350</v>
      </c>
      <c r="D42" s="197"/>
      <c r="E42" s="198" t="s">
        <v>1831</v>
      </c>
      <c r="F42" s="332">
        <v>7</v>
      </c>
      <c r="G42" s="406"/>
      <c r="H42" s="332">
        <f t="shared" si="0"/>
        <v>0</v>
      </c>
      <c r="I42" s="333">
        <v>0</v>
      </c>
      <c r="J42" s="334">
        <f t="shared" si="1"/>
        <v>0</v>
      </c>
      <c r="Q42" s="136"/>
    </row>
    <row r="43" spans="1:17" s="22" customFormat="1" ht="18.75" customHeight="1">
      <c r="A43" s="196" t="s">
        <v>1351</v>
      </c>
      <c r="B43" s="197" t="s">
        <v>1352</v>
      </c>
      <c r="C43" s="199" t="s">
        <v>1353</v>
      </c>
      <c r="D43" s="197"/>
      <c r="E43" s="198" t="s">
        <v>1831</v>
      </c>
      <c r="F43" s="332">
        <v>2</v>
      </c>
      <c r="G43" s="406"/>
      <c r="H43" s="332">
        <f t="shared" si="0"/>
        <v>0</v>
      </c>
      <c r="I43" s="333">
        <v>0</v>
      </c>
      <c r="J43" s="334">
        <f t="shared" si="1"/>
        <v>0</v>
      </c>
      <c r="Q43" s="136"/>
    </row>
    <row r="44" spans="1:17" s="22" customFormat="1" ht="24.75" customHeight="1">
      <c r="A44" s="196" t="s">
        <v>1354</v>
      </c>
      <c r="B44" s="197" t="s">
        <v>1352</v>
      </c>
      <c r="C44" s="199" t="s">
        <v>1355</v>
      </c>
      <c r="D44" s="197"/>
      <c r="E44" s="198" t="s">
        <v>1831</v>
      </c>
      <c r="F44" s="332">
        <v>5</v>
      </c>
      <c r="G44" s="406"/>
      <c r="H44" s="332">
        <f t="shared" si="0"/>
        <v>0</v>
      </c>
      <c r="I44" s="333">
        <v>0</v>
      </c>
      <c r="J44" s="334">
        <f t="shared" si="1"/>
        <v>0</v>
      </c>
      <c r="Q44" s="136"/>
    </row>
    <row r="45" spans="1:17" s="22" customFormat="1" ht="24.75" customHeight="1">
      <c r="A45" s="196" t="s">
        <v>1356</v>
      </c>
      <c r="B45" s="197" t="s">
        <v>1357</v>
      </c>
      <c r="C45" s="199" t="s">
        <v>1358</v>
      </c>
      <c r="D45" s="197"/>
      <c r="E45" s="198" t="s">
        <v>1831</v>
      </c>
      <c r="F45" s="332">
        <v>70</v>
      </c>
      <c r="G45" s="406"/>
      <c r="H45" s="332">
        <f t="shared" si="0"/>
        <v>0</v>
      </c>
      <c r="I45" s="333">
        <v>0</v>
      </c>
      <c r="J45" s="334">
        <f t="shared" si="1"/>
        <v>0</v>
      </c>
      <c r="Q45" s="136"/>
    </row>
    <row r="46" spans="1:17" s="22" customFormat="1" ht="18.75" customHeight="1">
      <c r="A46" s="196" t="s">
        <v>1359</v>
      </c>
      <c r="B46" s="197" t="s">
        <v>1357</v>
      </c>
      <c r="C46" s="199" t="s">
        <v>1360</v>
      </c>
      <c r="D46" s="197"/>
      <c r="E46" s="198" t="s">
        <v>1831</v>
      </c>
      <c r="F46" s="332">
        <v>20</v>
      </c>
      <c r="G46" s="406"/>
      <c r="H46" s="332">
        <f t="shared" si="0"/>
        <v>0</v>
      </c>
      <c r="I46" s="333">
        <v>0</v>
      </c>
      <c r="J46" s="334">
        <f t="shared" si="1"/>
        <v>0</v>
      </c>
      <c r="Q46" s="136"/>
    </row>
    <row r="47" spans="1:17" s="22" customFormat="1" ht="18.75" customHeight="1">
      <c r="A47" s="196" t="s">
        <v>1361</v>
      </c>
      <c r="B47" s="197" t="s">
        <v>1357</v>
      </c>
      <c r="C47" s="199" t="s">
        <v>1362</v>
      </c>
      <c r="D47" s="197"/>
      <c r="E47" s="198" t="s">
        <v>1831</v>
      </c>
      <c r="F47" s="332">
        <v>70</v>
      </c>
      <c r="G47" s="406"/>
      <c r="H47" s="332">
        <f t="shared" si="0"/>
        <v>0</v>
      </c>
      <c r="I47" s="333">
        <v>0</v>
      </c>
      <c r="J47" s="334">
        <f t="shared" si="1"/>
        <v>0</v>
      </c>
      <c r="Q47" s="136"/>
    </row>
    <row r="48" spans="1:17" s="22" customFormat="1" ht="18.75" customHeight="1">
      <c r="A48" s="196" t="s">
        <v>1363</v>
      </c>
      <c r="B48" s="197" t="s">
        <v>1298</v>
      </c>
      <c r="C48" s="199" t="s">
        <v>1364</v>
      </c>
      <c r="D48" s="197"/>
      <c r="E48" s="198" t="s">
        <v>2695</v>
      </c>
      <c r="F48" s="332">
        <v>1</v>
      </c>
      <c r="G48" s="406"/>
      <c r="H48" s="332">
        <f t="shared" si="0"/>
        <v>0</v>
      </c>
      <c r="I48" s="333">
        <v>0</v>
      </c>
      <c r="J48" s="334">
        <f t="shared" si="1"/>
        <v>0</v>
      </c>
      <c r="Q48" s="136"/>
    </row>
    <row r="49" spans="1:17" s="22" customFormat="1" ht="28.5" customHeight="1">
      <c r="A49" s="196" t="s">
        <v>1365</v>
      </c>
      <c r="B49" s="197" t="s">
        <v>1366</v>
      </c>
      <c r="C49" s="199" t="s">
        <v>1367</v>
      </c>
      <c r="D49" s="197"/>
      <c r="E49" s="198" t="s">
        <v>1831</v>
      </c>
      <c r="F49" s="332">
        <v>1</v>
      </c>
      <c r="G49" s="406"/>
      <c r="H49" s="332">
        <f t="shared" si="0"/>
        <v>0</v>
      </c>
      <c r="I49" s="333">
        <v>0</v>
      </c>
      <c r="J49" s="334">
        <f t="shared" si="1"/>
        <v>0</v>
      </c>
      <c r="Q49" s="136"/>
    </row>
    <row r="50" spans="1:17" s="22" customFormat="1" ht="18.75" customHeight="1">
      <c r="A50" s="196" t="s">
        <v>1368</v>
      </c>
      <c r="B50" s="197"/>
      <c r="C50" s="199" t="s">
        <v>1369</v>
      </c>
      <c r="D50" s="197"/>
      <c r="E50" s="198" t="s">
        <v>2695</v>
      </c>
      <c r="F50" s="332">
        <v>1</v>
      </c>
      <c r="G50" s="406"/>
      <c r="H50" s="332">
        <f t="shared" si="0"/>
        <v>0</v>
      </c>
      <c r="I50" s="333">
        <v>0</v>
      </c>
      <c r="J50" s="334">
        <f t="shared" si="1"/>
        <v>0</v>
      </c>
      <c r="Q50" s="136"/>
    </row>
    <row r="51" spans="1:17" s="22" customFormat="1" ht="18.75" customHeight="1">
      <c r="A51" s="196" t="s">
        <v>1370</v>
      </c>
      <c r="B51" s="197"/>
      <c r="C51" s="199" t="s">
        <v>1371</v>
      </c>
      <c r="D51" s="197"/>
      <c r="E51" s="198" t="s">
        <v>2695</v>
      </c>
      <c r="F51" s="332">
        <v>1</v>
      </c>
      <c r="G51" s="406"/>
      <c r="H51" s="332">
        <f t="shared" si="0"/>
        <v>0</v>
      </c>
      <c r="I51" s="333">
        <v>0</v>
      </c>
      <c r="J51" s="334">
        <f t="shared" si="1"/>
        <v>0</v>
      </c>
      <c r="Q51" s="136"/>
    </row>
    <row r="52" spans="1:17" s="22" customFormat="1" ht="18.75" customHeight="1">
      <c r="A52" s="196" t="s">
        <v>1372</v>
      </c>
      <c r="B52" s="197" t="s">
        <v>1373</v>
      </c>
      <c r="C52" s="199" t="s">
        <v>1374</v>
      </c>
      <c r="D52" s="197"/>
      <c r="E52" s="198" t="s">
        <v>1826</v>
      </c>
      <c r="F52" s="332">
        <v>80</v>
      </c>
      <c r="G52" s="406"/>
      <c r="H52" s="332">
        <f t="shared" si="0"/>
        <v>0</v>
      </c>
      <c r="I52" s="333">
        <v>0</v>
      </c>
      <c r="J52" s="334">
        <f t="shared" si="1"/>
        <v>0</v>
      </c>
      <c r="Q52" s="136"/>
    </row>
    <row r="53" spans="1:10" s="476" customFormat="1" ht="18.75" customHeight="1">
      <c r="A53" s="469" t="s">
        <v>1375</v>
      </c>
      <c r="B53" s="470"/>
      <c r="C53" s="471" t="s">
        <v>1376</v>
      </c>
      <c r="D53" s="470"/>
      <c r="E53" s="472" t="s">
        <v>2695</v>
      </c>
      <c r="F53" s="473">
        <v>1</v>
      </c>
      <c r="G53" s="473"/>
      <c r="H53" s="473">
        <f t="shared" si="0"/>
        <v>0</v>
      </c>
      <c r="I53" s="474">
        <v>0</v>
      </c>
      <c r="J53" s="475">
        <f t="shared" si="1"/>
        <v>0</v>
      </c>
    </row>
    <row r="54" spans="1:10" s="476" customFormat="1" ht="18.75" customHeight="1">
      <c r="A54" s="469" t="s">
        <v>1377</v>
      </c>
      <c r="B54" s="470"/>
      <c r="C54" s="471" t="s">
        <v>1378</v>
      </c>
      <c r="D54" s="470"/>
      <c r="E54" s="472" t="s">
        <v>2695</v>
      </c>
      <c r="F54" s="473">
        <v>1</v>
      </c>
      <c r="G54" s="473"/>
      <c r="H54" s="473">
        <f>F54*G54</f>
        <v>0</v>
      </c>
      <c r="I54" s="474">
        <v>0</v>
      </c>
      <c r="J54" s="475">
        <f>F54*I54</f>
        <v>0</v>
      </c>
    </row>
    <row r="55" spans="1:17" s="22" customFormat="1" ht="18" customHeight="1" thickBot="1">
      <c r="A55" s="255"/>
      <c r="B55" s="256"/>
      <c r="C55" s="264"/>
      <c r="D55" s="256"/>
      <c r="E55" s="257"/>
      <c r="F55" s="368"/>
      <c r="G55" s="368"/>
      <c r="H55" s="368"/>
      <c r="I55" s="369"/>
      <c r="J55" s="370"/>
      <c r="Q55" s="136"/>
    </row>
    <row r="56" spans="1:17" ht="16.5" customHeight="1" thickBot="1">
      <c r="A56" s="266"/>
      <c r="B56" s="175"/>
      <c r="C56" s="176"/>
      <c r="D56" s="176"/>
      <c r="E56" s="175"/>
      <c r="F56" s="341"/>
      <c r="G56" s="341"/>
      <c r="H56" s="342"/>
      <c r="I56" s="343"/>
      <c r="J56" s="344"/>
      <c r="Q56"/>
    </row>
    <row r="57" spans="1:10" ht="15">
      <c r="A57" s="24"/>
      <c r="B57" s="186"/>
      <c r="C57" s="186"/>
      <c r="D57" s="186"/>
      <c r="E57" s="187"/>
      <c r="F57" s="409"/>
      <c r="G57" s="409"/>
      <c r="H57" s="409"/>
      <c r="I57" s="410"/>
      <c r="J57" s="411"/>
    </row>
    <row r="58" spans="1:17" s="451" customFormat="1" ht="22.5" customHeight="1" thickBot="1">
      <c r="A58" s="798"/>
      <c r="B58" s="799"/>
      <c r="C58" s="800" t="s">
        <v>716</v>
      </c>
      <c r="D58" s="799"/>
      <c r="E58" s="801"/>
      <c r="F58" s="802"/>
      <c r="G58" s="802"/>
      <c r="H58" s="803">
        <f>H15</f>
        <v>0</v>
      </c>
      <c r="I58" s="804"/>
      <c r="J58" s="805"/>
      <c r="K58" s="806"/>
      <c r="L58" s="806"/>
      <c r="M58" s="806"/>
      <c r="N58" s="806"/>
      <c r="O58" s="806"/>
      <c r="P58" s="806"/>
      <c r="Q58" s="807"/>
    </row>
  </sheetData>
  <mergeCells count="21">
    <mergeCell ref="H8:J9"/>
    <mergeCell ref="I11:J11"/>
    <mergeCell ref="G2:G3"/>
    <mergeCell ref="G6:G7"/>
    <mergeCell ref="G11:H11"/>
    <mergeCell ref="G4:G5"/>
    <mergeCell ref="G8:G9"/>
    <mergeCell ref="H2:J3"/>
    <mergeCell ref="H4:J5"/>
    <mergeCell ref="H6:J7"/>
    <mergeCell ref="C8:C9"/>
    <mergeCell ref="D2:E3"/>
    <mergeCell ref="C2:C3"/>
    <mergeCell ref="C4:C5"/>
    <mergeCell ref="C6:C7"/>
    <mergeCell ref="D4:E5"/>
    <mergeCell ref="D6:E7"/>
    <mergeCell ref="D8:F9"/>
    <mergeCell ref="F2:F3"/>
    <mergeCell ref="F6:F7"/>
    <mergeCell ref="F4:F5"/>
  </mergeCells>
  <printOptions/>
  <pageMargins left="0.3937007874015748" right="0.35433070866141736" top="0.5905511811023623" bottom="0.6692913385826772" header="0.2362204724409449" footer="0.2362204724409449"/>
  <pageSetup horizontalDpi="600" verticalDpi="600" orientation="portrait" paperSize="9" scale="70" r:id="rId1"/>
  <headerFooter alignWithMargins="0">
    <oddFooter>&amp;L&amp;F
&amp;A&amp;C&amp;P/&amp;N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BH130"/>
  <sheetViews>
    <sheetView showGridLines="0" view="pageBreakPreview" zoomScaleSheetLayoutView="100" workbookViewId="0" topLeftCell="A1">
      <selection activeCell="I11" sqref="I11:J11"/>
    </sheetView>
  </sheetViews>
  <sheetFormatPr defaultColWidth="9.140625" defaultRowHeight="12.75"/>
  <cols>
    <col min="1" max="1" width="5.28125" style="28" customWidth="1"/>
    <col min="2" max="2" width="14.7109375" style="0" customWidth="1"/>
    <col min="3" max="3" width="44.28125" style="0" customWidth="1"/>
    <col min="4" max="4" width="9.7109375" style="987" customWidth="1"/>
    <col min="5" max="5" width="9.140625" style="33" customWidth="1"/>
    <col min="6" max="6" width="9.57421875" style="0" customWidth="1"/>
    <col min="7" max="7" width="10.8515625" style="0" customWidth="1"/>
    <col min="8" max="8" width="14.8515625" style="0" customWidth="1"/>
    <col min="9" max="9" width="9.140625" style="12" customWidth="1"/>
    <col min="10" max="10" width="11.8515625" style="12" customWidth="1"/>
    <col min="11" max="16" width="9.140625" style="131" customWidth="1"/>
    <col min="17" max="17" width="9.140625" style="137" customWidth="1"/>
  </cols>
  <sheetData>
    <row r="1" spans="1:10" ht="23.25">
      <c r="A1" s="23"/>
      <c r="B1" s="13"/>
      <c r="C1" s="14" t="s">
        <v>1683</v>
      </c>
      <c r="D1" s="960"/>
      <c r="E1" s="13"/>
      <c r="F1" s="13"/>
      <c r="G1" s="13"/>
      <c r="H1" s="13"/>
      <c r="I1" s="15"/>
      <c r="J1" s="16"/>
    </row>
    <row r="2" spans="1:10" ht="12.75">
      <c r="A2" s="24"/>
      <c r="B2" s="653"/>
      <c r="C2" s="1310" t="s">
        <v>1684</v>
      </c>
      <c r="D2" s="1308" t="s">
        <v>1685</v>
      </c>
      <c r="E2" s="1308"/>
      <c r="F2" s="1308"/>
      <c r="G2" s="1320" t="s">
        <v>1686</v>
      </c>
      <c r="H2" s="1324" t="s">
        <v>1687</v>
      </c>
      <c r="I2" s="1325"/>
      <c r="J2" s="1326"/>
    </row>
    <row r="3" spans="1:10" ht="12.75">
      <c r="A3" s="24"/>
      <c r="B3" s="652"/>
      <c r="C3" s="1311"/>
      <c r="D3" s="1309"/>
      <c r="E3" s="1309"/>
      <c r="F3" s="1309"/>
      <c r="G3" s="1321"/>
      <c r="H3" s="1316"/>
      <c r="I3" s="1316"/>
      <c r="J3" s="1317"/>
    </row>
    <row r="4" spans="1:10" ht="12.75">
      <c r="A4" s="24"/>
      <c r="B4" s="652"/>
      <c r="C4" s="1309" t="s">
        <v>1688</v>
      </c>
      <c r="D4" s="1309" t="s">
        <v>1689</v>
      </c>
      <c r="E4" s="1309"/>
      <c r="F4" s="1327"/>
      <c r="G4" s="1321" t="s">
        <v>1690</v>
      </c>
      <c r="H4" s="1315" t="s">
        <v>1586</v>
      </c>
      <c r="I4" s="1315"/>
      <c r="J4" s="1328"/>
    </row>
    <row r="5" spans="1:10" ht="12.75">
      <c r="A5" s="24"/>
      <c r="B5" s="652"/>
      <c r="C5" s="1312"/>
      <c r="D5" s="1309"/>
      <c r="E5" s="1309"/>
      <c r="F5" s="1327"/>
      <c r="G5" s="1321"/>
      <c r="H5" s="1315"/>
      <c r="I5" s="1315"/>
      <c r="J5" s="1328"/>
    </row>
    <row r="6" spans="1:10" ht="12.75">
      <c r="A6" s="24"/>
      <c r="B6" s="652"/>
      <c r="C6" s="1309" t="s">
        <v>1580</v>
      </c>
      <c r="D6" s="1309" t="s">
        <v>1691</v>
      </c>
      <c r="E6" s="1309"/>
      <c r="F6" s="1327"/>
      <c r="G6" s="1321" t="s">
        <v>1692</v>
      </c>
      <c r="H6" s="1315"/>
      <c r="I6" s="1316"/>
      <c r="J6" s="1317"/>
    </row>
    <row r="7" spans="1:10" ht="12.75">
      <c r="A7" s="24"/>
      <c r="B7" s="652"/>
      <c r="C7" s="1312"/>
      <c r="D7" s="1309"/>
      <c r="E7" s="1309"/>
      <c r="F7" s="1327"/>
      <c r="G7" s="1321"/>
      <c r="H7" s="1316"/>
      <c r="I7" s="1316"/>
      <c r="J7" s="1317"/>
    </row>
    <row r="8" spans="1:10" ht="12.75">
      <c r="A8" s="24"/>
      <c r="B8" s="1306" t="s">
        <v>1379</v>
      </c>
      <c r="C8" s="1339"/>
      <c r="D8" s="1309" t="s">
        <v>1380</v>
      </c>
      <c r="E8" s="1341"/>
      <c r="F8" s="1341"/>
      <c r="G8" s="1321" t="s">
        <v>1693</v>
      </c>
      <c r="H8" s="1315" t="s">
        <v>1586</v>
      </c>
      <c r="I8" s="1316"/>
      <c r="J8" s="1317"/>
    </row>
    <row r="9" spans="1:10" ht="12.75">
      <c r="A9" s="24"/>
      <c r="B9" s="1340"/>
      <c r="C9" s="1340"/>
      <c r="D9" s="1342"/>
      <c r="E9" s="1342"/>
      <c r="F9" s="1342"/>
      <c r="G9" s="1338"/>
      <c r="H9" s="1336"/>
      <c r="I9" s="1336"/>
      <c r="J9" s="1337"/>
    </row>
    <row r="10" spans="1:17" ht="13.5" thickBot="1">
      <c r="A10" s="160"/>
      <c r="B10" s="161"/>
      <c r="C10" s="162"/>
      <c r="D10" s="161"/>
      <c r="E10" s="161"/>
      <c r="F10" s="161"/>
      <c r="G10" s="161"/>
      <c r="H10" s="161"/>
      <c r="I10" s="163"/>
      <c r="J10" s="164"/>
      <c r="K10"/>
      <c r="L10"/>
      <c r="M10"/>
      <c r="N10"/>
      <c r="O10"/>
      <c r="P10"/>
      <c r="Q10"/>
    </row>
    <row r="11" spans="1:17" s="18" customFormat="1" ht="12.75">
      <c r="A11" s="25"/>
      <c r="B11" s="17" t="s">
        <v>1694</v>
      </c>
      <c r="C11" s="2" t="s">
        <v>1694</v>
      </c>
      <c r="D11" s="1180"/>
      <c r="E11" s="30" t="s">
        <v>1694</v>
      </c>
      <c r="F11" s="2" t="s">
        <v>1694</v>
      </c>
      <c r="G11" s="1322" t="s">
        <v>1695</v>
      </c>
      <c r="H11" s="1323"/>
      <c r="I11" s="1318" t="s">
        <v>1696</v>
      </c>
      <c r="J11" s="1319"/>
      <c r="K11" s="132"/>
      <c r="L11" s="132"/>
      <c r="M11" s="132"/>
      <c r="N11" s="132"/>
      <c r="O11" s="132"/>
      <c r="P11" s="132"/>
      <c r="Q11" s="138"/>
    </row>
    <row r="12" spans="1:17" s="18" customFormat="1" ht="13.5" thickBot="1">
      <c r="A12" s="26"/>
      <c r="B12" s="19" t="s">
        <v>1697</v>
      </c>
      <c r="C12" s="4" t="s">
        <v>1698</v>
      </c>
      <c r="D12" s="1182"/>
      <c r="E12" s="6" t="s">
        <v>1699</v>
      </c>
      <c r="F12" s="6" t="s">
        <v>1700</v>
      </c>
      <c r="G12" s="7" t="s">
        <v>1701</v>
      </c>
      <c r="H12" s="8" t="s">
        <v>1702</v>
      </c>
      <c r="I12" s="10" t="s">
        <v>1701</v>
      </c>
      <c r="J12" s="11" t="s">
        <v>1702</v>
      </c>
      <c r="K12" s="132"/>
      <c r="L12" s="132"/>
      <c r="M12" s="132"/>
      <c r="N12" s="132"/>
      <c r="O12" s="132"/>
      <c r="P12" s="132"/>
      <c r="Q12" s="138"/>
    </row>
    <row r="13" spans="1:17" ht="16.5" customHeight="1" thickBot="1">
      <c r="A13" s="266"/>
      <c r="B13" s="175"/>
      <c r="C13" s="176"/>
      <c r="D13" s="1008"/>
      <c r="E13" s="175"/>
      <c r="F13" s="175"/>
      <c r="G13" s="175"/>
      <c r="H13" s="185"/>
      <c r="I13" s="177"/>
      <c r="J13" s="178"/>
      <c r="K13"/>
      <c r="L13"/>
      <c r="M13"/>
      <c r="N13"/>
      <c r="O13"/>
      <c r="P13"/>
      <c r="Q13"/>
    </row>
    <row r="14" spans="1:17" s="18" customFormat="1" ht="29.25" customHeight="1" thickBot="1">
      <c r="A14" s="477"/>
      <c r="B14" s="478"/>
      <c r="C14" s="479" t="s">
        <v>1381</v>
      </c>
      <c r="D14" s="480"/>
      <c r="E14" s="480"/>
      <c r="F14" s="480"/>
      <c r="G14" s="481"/>
      <c r="H14" s="808">
        <f>H15+H28</f>
        <v>0</v>
      </c>
      <c r="I14" s="482"/>
      <c r="J14" s="483"/>
      <c r="K14" s="132"/>
      <c r="L14" s="132"/>
      <c r="M14" s="132"/>
      <c r="N14" s="132"/>
      <c r="O14" s="132"/>
      <c r="P14" s="132"/>
      <c r="Q14" s="138"/>
    </row>
    <row r="15" spans="1:17" ht="16.5" customHeight="1" thickBot="1">
      <c r="A15" s="266" t="s">
        <v>1611</v>
      </c>
      <c r="B15" s="175" t="s">
        <v>1620</v>
      </c>
      <c r="C15" s="176" t="s">
        <v>1382</v>
      </c>
      <c r="D15" s="1008"/>
      <c r="E15" s="175"/>
      <c r="F15" s="175"/>
      <c r="G15" s="175"/>
      <c r="H15" s="185">
        <f>SUM(H16:H27)</f>
        <v>0</v>
      </c>
      <c r="I15" s="177"/>
      <c r="J15" s="178">
        <f>SUM(J16:J27)</f>
        <v>39.50654399999999</v>
      </c>
      <c r="K15"/>
      <c r="L15"/>
      <c r="M15"/>
      <c r="N15"/>
      <c r="O15"/>
      <c r="P15"/>
      <c r="Q15"/>
    </row>
    <row r="16" spans="1:17" s="22" customFormat="1" ht="12.75" customHeight="1">
      <c r="A16" s="190"/>
      <c r="B16" s="191"/>
      <c r="C16" s="191"/>
      <c r="D16" s="964"/>
      <c r="E16" s="192"/>
      <c r="F16" s="345"/>
      <c r="G16" s="345"/>
      <c r="H16" s="345"/>
      <c r="I16" s="346"/>
      <c r="J16" s="347"/>
      <c r="K16" s="133"/>
      <c r="L16" s="133"/>
      <c r="M16" s="133"/>
      <c r="N16" s="133"/>
      <c r="O16" s="133"/>
      <c r="P16" s="133"/>
      <c r="Q16" s="139"/>
    </row>
    <row r="17" spans="1:17" s="22" customFormat="1" ht="21.75" customHeight="1">
      <c r="A17" s="196" t="s">
        <v>1706</v>
      </c>
      <c r="B17" s="197" t="s">
        <v>971</v>
      </c>
      <c r="C17" s="199" t="s">
        <v>972</v>
      </c>
      <c r="D17" s="917" t="s">
        <v>2766</v>
      </c>
      <c r="E17" s="198" t="s">
        <v>1826</v>
      </c>
      <c r="F17" s="332">
        <v>30.54</v>
      </c>
      <c r="G17" s="332"/>
      <c r="H17" s="332">
        <f>F17*G17</f>
        <v>0</v>
      </c>
      <c r="I17" s="333">
        <v>0</v>
      </c>
      <c r="J17" s="334">
        <f>F17*I17</f>
        <v>0</v>
      </c>
      <c r="K17" s="133"/>
      <c r="L17" s="133"/>
      <c r="M17" s="133"/>
      <c r="N17" s="133"/>
      <c r="O17" s="133"/>
      <c r="P17" s="133"/>
      <c r="Q17" s="139"/>
    </row>
    <row r="18" spans="1:17" s="22" customFormat="1" ht="21.75" customHeight="1">
      <c r="A18" s="196" t="s">
        <v>1711</v>
      </c>
      <c r="B18" s="809" t="s">
        <v>1383</v>
      </c>
      <c r="C18" s="199" t="s">
        <v>1384</v>
      </c>
      <c r="D18" s="917" t="s">
        <v>2766</v>
      </c>
      <c r="E18" s="198" t="s">
        <v>1748</v>
      </c>
      <c r="F18" s="332">
        <f>SUM(E19)</f>
        <v>36.647999999999996</v>
      </c>
      <c r="G18" s="332"/>
      <c r="H18" s="332">
        <f>F18*G18</f>
        <v>0</v>
      </c>
      <c r="I18" s="333">
        <v>0.198</v>
      </c>
      <c r="J18" s="334">
        <f>F18*I18</f>
        <v>7.256303999999999</v>
      </c>
      <c r="K18" s="133"/>
      <c r="L18" s="133"/>
      <c r="M18" s="133"/>
      <c r="N18" s="133"/>
      <c r="O18" s="133"/>
      <c r="P18" s="133"/>
      <c r="Q18" s="139"/>
    </row>
    <row r="19" spans="1:10" s="434" customFormat="1" ht="12.75">
      <c r="A19" s="431"/>
      <c r="B19" s="218"/>
      <c r="C19" s="218" t="s">
        <v>1385</v>
      </c>
      <c r="D19" s="998"/>
      <c r="E19" s="432">
        <f>30.54*1.2</f>
        <v>36.647999999999996</v>
      </c>
      <c r="F19" s="433"/>
      <c r="G19" s="433"/>
      <c r="H19" s="332"/>
      <c r="I19" s="333"/>
      <c r="J19" s="334"/>
    </row>
    <row r="20" spans="1:17" s="22" customFormat="1" ht="21.75" customHeight="1">
      <c r="A20" s="196" t="s">
        <v>1715</v>
      </c>
      <c r="B20" s="809" t="s">
        <v>1386</v>
      </c>
      <c r="C20" s="199" t="s">
        <v>1387</v>
      </c>
      <c r="D20" s="917" t="s">
        <v>2766</v>
      </c>
      <c r="E20" s="198" t="s">
        <v>1748</v>
      </c>
      <c r="F20" s="332">
        <f>F18</f>
        <v>36.647999999999996</v>
      </c>
      <c r="G20" s="332"/>
      <c r="H20" s="332">
        <f>$F20*G20</f>
        <v>0</v>
      </c>
      <c r="I20" s="333">
        <v>0.572</v>
      </c>
      <c r="J20" s="334">
        <f>F20*I20</f>
        <v>20.962655999999996</v>
      </c>
      <c r="K20" s="133"/>
      <c r="L20" s="133"/>
      <c r="M20" s="133"/>
      <c r="N20" s="133"/>
      <c r="O20" s="133"/>
      <c r="P20" s="133"/>
      <c r="Q20" s="139"/>
    </row>
    <row r="21" spans="1:17" s="22" customFormat="1" ht="21.75" customHeight="1">
      <c r="A21" s="196" t="s">
        <v>1719</v>
      </c>
      <c r="B21" s="809" t="s">
        <v>1388</v>
      </c>
      <c r="C21" s="199" t="s">
        <v>1389</v>
      </c>
      <c r="D21" s="917" t="s">
        <v>2766</v>
      </c>
      <c r="E21" s="198" t="s">
        <v>1709</v>
      </c>
      <c r="F21" s="332">
        <f>F20</f>
        <v>36.647999999999996</v>
      </c>
      <c r="G21" s="332"/>
      <c r="H21" s="332">
        <f>$F21*G21</f>
        <v>0</v>
      </c>
      <c r="I21" s="333">
        <v>0.308</v>
      </c>
      <c r="J21" s="334">
        <f>F21*I21</f>
        <v>11.287583999999999</v>
      </c>
      <c r="K21" s="133"/>
      <c r="L21" s="133"/>
      <c r="M21" s="133"/>
      <c r="N21" s="133"/>
      <c r="O21" s="133"/>
      <c r="P21" s="133"/>
      <c r="Q21" s="139"/>
    </row>
    <row r="22" spans="1:17" s="22" customFormat="1" ht="13.5" customHeight="1">
      <c r="A22" s="196"/>
      <c r="B22" s="197"/>
      <c r="C22" s="199"/>
      <c r="D22" s="917"/>
      <c r="E22" s="198"/>
      <c r="F22" s="332"/>
      <c r="G22" s="332"/>
      <c r="H22" s="332"/>
      <c r="I22" s="333"/>
      <c r="J22" s="334"/>
      <c r="K22" s="133"/>
      <c r="L22" s="133"/>
      <c r="M22" s="133"/>
      <c r="N22" s="133"/>
      <c r="O22" s="133"/>
      <c r="P22" s="133"/>
      <c r="Q22" s="139"/>
    </row>
    <row r="23" spans="1:17" s="22" customFormat="1" ht="24" customHeight="1">
      <c r="A23" s="196" t="s">
        <v>1722</v>
      </c>
      <c r="B23" s="197" t="s">
        <v>2536</v>
      </c>
      <c r="C23" s="199" t="s">
        <v>2537</v>
      </c>
      <c r="D23" s="917" t="s">
        <v>2766</v>
      </c>
      <c r="E23" s="198" t="s">
        <v>1783</v>
      </c>
      <c r="F23" s="332">
        <f>J17+J18+J20+J21</f>
        <v>39.50654399999999</v>
      </c>
      <c r="G23" s="332"/>
      <c r="H23" s="332">
        <f>F23*G23</f>
        <v>0</v>
      </c>
      <c r="I23" s="333">
        <v>0</v>
      </c>
      <c r="J23" s="334"/>
      <c r="K23" s="133"/>
      <c r="L23" s="133"/>
      <c r="M23" s="133"/>
      <c r="N23" s="133"/>
      <c r="O23" s="133"/>
      <c r="P23" s="133"/>
      <c r="Q23" s="139"/>
    </row>
    <row r="24" spans="1:17" s="22" customFormat="1" ht="21.75" customHeight="1">
      <c r="A24" s="196" t="s">
        <v>1725</v>
      </c>
      <c r="B24" s="197" t="s">
        <v>2539</v>
      </c>
      <c r="C24" s="199" t="s">
        <v>2540</v>
      </c>
      <c r="D24" s="917" t="s">
        <v>2766</v>
      </c>
      <c r="E24" s="198" t="s">
        <v>1783</v>
      </c>
      <c r="F24" s="332">
        <f>14*F23</f>
        <v>553.0916159999999</v>
      </c>
      <c r="G24" s="332"/>
      <c r="H24" s="332">
        <f>F24*G24</f>
        <v>0</v>
      </c>
      <c r="I24" s="333">
        <v>0</v>
      </c>
      <c r="J24" s="334"/>
      <c r="K24" s="133"/>
      <c r="L24" s="133"/>
      <c r="M24" s="133"/>
      <c r="N24" s="133"/>
      <c r="O24" s="133"/>
      <c r="P24" s="133"/>
      <c r="Q24" s="139"/>
    </row>
    <row r="25" spans="1:17" s="22" customFormat="1" ht="21.75" customHeight="1">
      <c r="A25" s="196" t="s">
        <v>1728</v>
      </c>
      <c r="B25" s="197" t="s">
        <v>1390</v>
      </c>
      <c r="C25" s="199" t="s">
        <v>1391</v>
      </c>
      <c r="D25" s="917" t="s">
        <v>2766</v>
      </c>
      <c r="E25" s="198" t="s">
        <v>1783</v>
      </c>
      <c r="F25" s="332">
        <f>F23-F26</f>
        <v>32.25023999999999</v>
      </c>
      <c r="G25" s="332"/>
      <c r="H25" s="332">
        <f>F25*G25</f>
        <v>0</v>
      </c>
      <c r="I25" s="333">
        <v>0</v>
      </c>
      <c r="J25" s="334"/>
      <c r="K25" s="133"/>
      <c r="L25" s="133"/>
      <c r="M25" s="133"/>
      <c r="N25" s="133"/>
      <c r="O25" s="133"/>
      <c r="P25" s="133"/>
      <c r="Q25" s="139"/>
    </row>
    <row r="26" spans="1:17" s="22" customFormat="1" ht="21.75" customHeight="1">
      <c r="A26" s="196" t="s">
        <v>1731</v>
      </c>
      <c r="B26" s="445" t="s">
        <v>1392</v>
      </c>
      <c r="C26" s="446" t="s">
        <v>1393</v>
      </c>
      <c r="D26" s="917" t="s">
        <v>2766</v>
      </c>
      <c r="E26" s="447" t="s">
        <v>1783</v>
      </c>
      <c r="F26" s="448">
        <f>J18</f>
        <v>7.256303999999999</v>
      </c>
      <c r="G26" s="448"/>
      <c r="H26" s="448">
        <f>F26*G26</f>
        <v>0</v>
      </c>
      <c r="I26" s="449">
        <v>0</v>
      </c>
      <c r="J26" s="450"/>
      <c r="K26" s="133"/>
      <c r="L26" s="133"/>
      <c r="M26" s="133"/>
      <c r="N26" s="133"/>
      <c r="O26" s="133"/>
      <c r="P26" s="133"/>
      <c r="Q26" s="139"/>
    </row>
    <row r="27" spans="1:17" s="22" customFormat="1" ht="11.25" customHeight="1" thickBot="1">
      <c r="A27" s="255"/>
      <c r="B27" s="256"/>
      <c r="C27" s="264"/>
      <c r="D27" s="968"/>
      <c r="E27" s="257"/>
      <c r="F27" s="368"/>
      <c r="G27" s="368"/>
      <c r="H27" s="368"/>
      <c r="I27" s="369"/>
      <c r="J27" s="370"/>
      <c r="K27" s="133"/>
      <c r="L27" s="133"/>
      <c r="M27" s="133"/>
      <c r="N27" s="133"/>
      <c r="O27" s="133"/>
      <c r="P27" s="133"/>
      <c r="Q27" s="139"/>
    </row>
    <row r="28" spans="1:17" ht="16.5" customHeight="1" thickBot="1">
      <c r="A28" s="435" t="s">
        <v>1618</v>
      </c>
      <c r="B28" s="436" t="s">
        <v>1628</v>
      </c>
      <c r="C28" s="437" t="s">
        <v>1847</v>
      </c>
      <c r="D28" s="1219"/>
      <c r="E28" s="436"/>
      <c r="F28" s="438"/>
      <c r="G28" s="438"/>
      <c r="H28" s="439">
        <f>SUM(H29:H43)</f>
        <v>0</v>
      </c>
      <c r="I28" s="440"/>
      <c r="J28" s="441">
        <f>SUM(J29:J42)</f>
        <v>24.128493479999996</v>
      </c>
      <c r="K28"/>
      <c r="L28"/>
      <c r="M28"/>
      <c r="N28"/>
      <c r="O28"/>
      <c r="P28"/>
      <c r="Q28"/>
    </row>
    <row r="29" spans="1:60" s="429" customFormat="1" ht="12.75">
      <c r="A29" s="810"/>
      <c r="B29" s="811"/>
      <c r="C29" s="685"/>
      <c r="D29" s="999"/>
      <c r="E29" s="812"/>
      <c r="F29" s="813"/>
      <c r="G29" s="814"/>
      <c r="H29" s="813"/>
      <c r="I29" s="815"/>
      <c r="J29" s="816"/>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17"/>
      <c r="AY29" s="817"/>
      <c r="AZ29" s="817"/>
      <c r="BA29" s="817"/>
      <c r="BB29" s="817"/>
      <c r="BC29" s="817"/>
      <c r="BD29" s="817"/>
      <c r="BE29" s="817"/>
      <c r="BF29" s="817"/>
      <c r="BG29" s="817"/>
      <c r="BH29" s="817"/>
    </row>
    <row r="30" spans="1:60" s="22" customFormat="1" ht="21.75" customHeight="1">
      <c r="A30" s="196" t="s">
        <v>1734</v>
      </c>
      <c r="B30" s="197" t="s">
        <v>1394</v>
      </c>
      <c r="C30" s="199" t="s">
        <v>1395</v>
      </c>
      <c r="D30" s="917" t="s">
        <v>2766</v>
      </c>
      <c r="E30" s="198" t="s">
        <v>1826</v>
      </c>
      <c r="F30" s="332">
        <f>F17</f>
        <v>30.54</v>
      </c>
      <c r="G30" s="332"/>
      <c r="H30" s="332">
        <f>F30*G30</f>
        <v>0</v>
      </c>
      <c r="I30" s="333">
        <v>0</v>
      </c>
      <c r="J30" s="334">
        <f>F30*I30</f>
        <v>0</v>
      </c>
      <c r="K30" s="133"/>
      <c r="L30" s="133"/>
      <c r="M30" s="133"/>
      <c r="N30" s="133"/>
      <c r="O30" s="133"/>
      <c r="P30" s="133"/>
      <c r="Q30" s="139"/>
      <c r="R30" s="22">
        <v>2</v>
      </c>
      <c r="AB30" s="22">
        <v>12</v>
      </c>
      <c r="AC30" s="22">
        <v>0</v>
      </c>
      <c r="AD30" s="22">
        <v>39</v>
      </c>
      <c r="BC30" s="22">
        <v>1</v>
      </c>
      <c r="BD30" s="22">
        <f>IF(BC30=1,H30,0)</f>
        <v>0</v>
      </c>
      <c r="BE30" s="22">
        <f>IF(BC30=2,H30,0)</f>
        <v>0</v>
      </c>
      <c r="BF30" s="22">
        <f>IF(BC30=3,H30,0)</f>
        <v>0</v>
      </c>
      <c r="BG30" s="22">
        <f>IF(BC30=4,H30,0)</f>
        <v>0</v>
      </c>
      <c r="BH30" s="22">
        <f>IF(BC30=5,H30,0)</f>
        <v>0</v>
      </c>
    </row>
    <row r="31" spans="1:60" s="430" customFormat="1" ht="24">
      <c r="A31" s="196" t="s">
        <v>1753</v>
      </c>
      <c r="B31" s="286" t="s">
        <v>1396</v>
      </c>
      <c r="C31" s="286" t="s">
        <v>1397</v>
      </c>
      <c r="D31" s="917" t="s">
        <v>2766</v>
      </c>
      <c r="E31" s="818" t="s">
        <v>1748</v>
      </c>
      <c r="F31" s="819">
        <f>SUM(E32)</f>
        <v>21.377999999999997</v>
      </c>
      <c r="G31" s="819"/>
      <c r="H31" s="819">
        <f>$F31*G31</f>
        <v>0</v>
      </c>
      <c r="I31" s="333">
        <v>0.12966</v>
      </c>
      <c r="J31" s="334">
        <f aca="true" t="shared" si="0" ref="J31:J38">F31*I31</f>
        <v>2.7718714799999997</v>
      </c>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c r="AU31" s="820"/>
      <c r="AV31" s="820"/>
      <c r="AW31" s="820"/>
      <c r="AX31" s="820"/>
      <c r="AY31" s="820"/>
      <c r="AZ31" s="820"/>
      <c r="BA31" s="820"/>
      <c r="BB31" s="820"/>
      <c r="BC31" s="820"/>
      <c r="BD31" s="820"/>
      <c r="BE31" s="820"/>
      <c r="BF31" s="820"/>
      <c r="BG31" s="820"/>
      <c r="BH31" s="820"/>
    </row>
    <row r="32" spans="1:10" s="434" customFormat="1" ht="12.75">
      <c r="A32" s="196" t="s">
        <v>1758</v>
      </c>
      <c r="B32" s="218"/>
      <c r="C32" s="218" t="s">
        <v>1398</v>
      </c>
      <c r="D32" s="998"/>
      <c r="E32" s="432">
        <f>30.54*0.7</f>
        <v>21.377999999999997</v>
      </c>
      <c r="F32" s="367"/>
      <c r="G32" s="367"/>
      <c r="H32" s="367"/>
      <c r="I32" s="333"/>
      <c r="J32" s="334"/>
    </row>
    <row r="33" spans="1:24" s="430" customFormat="1" ht="24">
      <c r="A33" s="196" t="s">
        <v>1764</v>
      </c>
      <c r="B33" s="286" t="s">
        <v>1399</v>
      </c>
      <c r="C33" s="286" t="s">
        <v>1400</v>
      </c>
      <c r="D33" s="917" t="s">
        <v>2766</v>
      </c>
      <c r="E33" s="818" t="s">
        <v>1748</v>
      </c>
      <c r="F33" s="819">
        <f>F31</f>
        <v>21.377999999999997</v>
      </c>
      <c r="G33" s="819"/>
      <c r="H33" s="819">
        <f aca="true" t="shared" si="1" ref="H33:H40">$F33*G33</f>
        <v>0</v>
      </c>
      <c r="I33" s="333">
        <v>0.00071</v>
      </c>
      <c r="J33" s="334">
        <f t="shared" si="0"/>
        <v>0.015178379999999998</v>
      </c>
      <c r="K33" s="820"/>
      <c r="L33" s="820"/>
      <c r="M33" s="820"/>
      <c r="N33" s="820"/>
      <c r="O33" s="820"/>
      <c r="P33" s="820"/>
      <c r="Q33" s="820"/>
      <c r="R33" s="820"/>
      <c r="S33" s="820"/>
      <c r="T33" s="820"/>
      <c r="U33" s="820"/>
      <c r="V33" s="820"/>
      <c r="W33" s="820"/>
      <c r="X33" s="820"/>
    </row>
    <row r="34" spans="1:24" s="430" customFormat="1" ht="24">
      <c r="A34" s="196" t="s">
        <v>1737</v>
      </c>
      <c r="B34" s="286" t="s">
        <v>1401</v>
      </c>
      <c r="C34" s="286" t="s">
        <v>1402</v>
      </c>
      <c r="D34" s="917" t="s">
        <v>2766</v>
      </c>
      <c r="E34" s="818" t="s">
        <v>1748</v>
      </c>
      <c r="F34" s="819">
        <f>F31</f>
        <v>21.377999999999997</v>
      </c>
      <c r="G34" s="819"/>
      <c r="H34" s="819">
        <f t="shared" si="1"/>
        <v>0</v>
      </c>
      <c r="I34" s="333">
        <v>0.12966</v>
      </c>
      <c r="J34" s="334">
        <f t="shared" si="0"/>
        <v>2.7718714799999997</v>
      </c>
      <c r="K34" s="820"/>
      <c r="L34" s="820"/>
      <c r="M34" s="820"/>
      <c r="N34" s="820"/>
      <c r="O34" s="820"/>
      <c r="P34" s="820"/>
      <c r="Q34" s="820"/>
      <c r="R34" s="820"/>
      <c r="S34" s="820"/>
      <c r="T34" s="820"/>
      <c r="U34" s="820"/>
      <c r="V34" s="820"/>
      <c r="W34" s="820"/>
      <c r="X34" s="820"/>
    </row>
    <row r="35" spans="1:24" s="430" customFormat="1" ht="24">
      <c r="A35" s="196" t="s">
        <v>1740</v>
      </c>
      <c r="B35" s="286" t="s">
        <v>1399</v>
      </c>
      <c r="C35" s="286" t="s">
        <v>1400</v>
      </c>
      <c r="D35" s="917" t="s">
        <v>2766</v>
      </c>
      <c r="E35" s="818" t="s">
        <v>1748</v>
      </c>
      <c r="F35" s="819">
        <f aca="true" t="shared" si="2" ref="F35:F40">F34</f>
        <v>21.377999999999997</v>
      </c>
      <c r="G35" s="819"/>
      <c r="H35" s="819">
        <f t="shared" si="1"/>
        <v>0</v>
      </c>
      <c r="I35" s="333">
        <v>0.00071</v>
      </c>
      <c r="J35" s="334">
        <f t="shared" si="0"/>
        <v>0.015178379999999998</v>
      </c>
      <c r="K35" s="820"/>
      <c r="L35" s="820"/>
      <c r="M35" s="820"/>
      <c r="N35" s="820"/>
      <c r="O35" s="820"/>
      <c r="P35" s="820"/>
      <c r="Q35" s="820"/>
      <c r="R35" s="820"/>
      <c r="S35" s="820"/>
      <c r="T35" s="820"/>
      <c r="U35" s="820"/>
      <c r="V35" s="820"/>
      <c r="W35" s="820"/>
      <c r="X35" s="820"/>
    </row>
    <row r="36" spans="1:24" s="430" customFormat="1" ht="24">
      <c r="A36" s="196" t="s">
        <v>1776</v>
      </c>
      <c r="B36" s="286" t="s">
        <v>1403</v>
      </c>
      <c r="C36" s="286" t="s">
        <v>1404</v>
      </c>
      <c r="D36" s="917" t="s">
        <v>2766</v>
      </c>
      <c r="E36" s="818" t="s">
        <v>1748</v>
      </c>
      <c r="F36" s="819">
        <f t="shared" si="2"/>
        <v>21.377999999999997</v>
      </c>
      <c r="G36" s="819"/>
      <c r="H36" s="819">
        <f t="shared" si="1"/>
        <v>0</v>
      </c>
      <c r="I36" s="333">
        <v>0.13188</v>
      </c>
      <c r="J36" s="334">
        <f t="shared" si="0"/>
        <v>2.8193306399999996</v>
      </c>
      <c r="K36" s="820"/>
      <c r="L36" s="820"/>
      <c r="M36" s="820"/>
      <c r="N36" s="820"/>
      <c r="O36" s="820"/>
      <c r="P36" s="820"/>
      <c r="Q36" s="820"/>
      <c r="R36" s="820"/>
      <c r="S36" s="820"/>
      <c r="T36" s="820"/>
      <c r="U36" s="820"/>
      <c r="V36" s="820"/>
      <c r="W36" s="820"/>
      <c r="X36" s="820"/>
    </row>
    <row r="37" spans="1:24" s="430" customFormat="1" ht="24">
      <c r="A37" s="196" t="s">
        <v>1780</v>
      </c>
      <c r="B37" s="286" t="s">
        <v>1399</v>
      </c>
      <c r="C37" s="286" t="s">
        <v>1405</v>
      </c>
      <c r="D37" s="917" t="s">
        <v>2766</v>
      </c>
      <c r="E37" s="818" t="s">
        <v>1748</v>
      </c>
      <c r="F37" s="819">
        <f t="shared" si="2"/>
        <v>21.377999999999997</v>
      </c>
      <c r="G37" s="819"/>
      <c r="H37" s="819">
        <f t="shared" si="1"/>
        <v>0</v>
      </c>
      <c r="I37" s="333">
        <v>0.00071</v>
      </c>
      <c r="J37" s="334">
        <f t="shared" si="0"/>
        <v>0.015178379999999998</v>
      </c>
      <c r="K37" s="820"/>
      <c r="L37" s="820"/>
      <c r="M37" s="820"/>
      <c r="N37" s="820"/>
      <c r="O37" s="820"/>
      <c r="P37" s="820"/>
      <c r="Q37" s="820"/>
      <c r="R37" s="820"/>
      <c r="S37" s="820"/>
      <c r="T37" s="820"/>
      <c r="U37" s="820"/>
      <c r="V37" s="820"/>
      <c r="W37" s="820"/>
      <c r="X37" s="820"/>
    </row>
    <row r="38" spans="1:24" s="430" customFormat="1" ht="24">
      <c r="A38" s="196" t="s">
        <v>1785</v>
      </c>
      <c r="B38" s="286" t="s">
        <v>1406</v>
      </c>
      <c r="C38" s="286" t="s">
        <v>1407</v>
      </c>
      <c r="D38" s="917" t="s">
        <v>2766</v>
      </c>
      <c r="E38" s="818" t="s">
        <v>1748</v>
      </c>
      <c r="F38" s="819">
        <f t="shared" si="2"/>
        <v>21.377999999999997</v>
      </c>
      <c r="G38" s="819"/>
      <c r="H38" s="819">
        <f t="shared" si="1"/>
        <v>0</v>
      </c>
      <c r="I38" s="333">
        <v>0.00601</v>
      </c>
      <c r="J38" s="334">
        <f t="shared" si="0"/>
        <v>0.12848177999999996</v>
      </c>
      <c r="K38" s="820"/>
      <c r="L38" s="820"/>
      <c r="M38" s="820"/>
      <c r="N38" s="820"/>
      <c r="O38" s="820"/>
      <c r="P38" s="820"/>
      <c r="Q38" s="820"/>
      <c r="R38" s="820"/>
      <c r="S38" s="820"/>
      <c r="T38" s="820"/>
      <c r="U38" s="820"/>
      <c r="V38" s="820"/>
      <c r="W38" s="820"/>
      <c r="X38" s="820"/>
    </row>
    <row r="39" spans="1:24" s="430" customFormat="1" ht="24">
      <c r="A39" s="196" t="s">
        <v>1790</v>
      </c>
      <c r="B39" s="286" t="s">
        <v>1408</v>
      </c>
      <c r="C39" s="286" t="s">
        <v>1409</v>
      </c>
      <c r="D39" s="917" t="s">
        <v>2766</v>
      </c>
      <c r="E39" s="818" t="s">
        <v>1748</v>
      </c>
      <c r="F39" s="819">
        <f t="shared" si="2"/>
        <v>21.377999999999997</v>
      </c>
      <c r="G39" s="819"/>
      <c r="H39" s="819">
        <f t="shared" si="1"/>
        <v>0</v>
      </c>
      <c r="I39" s="333">
        <v>0.32218</v>
      </c>
      <c r="J39" s="334">
        <f>F39*I39</f>
        <v>6.887564039999999</v>
      </c>
      <c r="K39" s="820"/>
      <c r="L39" s="820"/>
      <c r="M39" s="820"/>
      <c r="N39" s="820"/>
      <c r="O39" s="820"/>
      <c r="P39" s="820"/>
      <c r="Q39" s="820"/>
      <c r="R39" s="820"/>
      <c r="S39" s="820"/>
      <c r="T39" s="820"/>
      <c r="U39" s="820"/>
      <c r="V39" s="820"/>
      <c r="W39" s="820"/>
      <c r="X39" s="820"/>
    </row>
    <row r="40" spans="1:24" s="430" customFormat="1" ht="24">
      <c r="A40" s="196" t="s">
        <v>1793</v>
      </c>
      <c r="B40" s="286" t="s">
        <v>1410</v>
      </c>
      <c r="C40" s="286" t="s">
        <v>1411</v>
      </c>
      <c r="D40" s="917" t="s">
        <v>2766</v>
      </c>
      <c r="E40" s="818" t="s">
        <v>1748</v>
      </c>
      <c r="F40" s="819">
        <f t="shared" si="2"/>
        <v>21.377999999999997</v>
      </c>
      <c r="G40" s="819"/>
      <c r="H40" s="819">
        <f t="shared" si="1"/>
        <v>0</v>
      </c>
      <c r="I40" s="333">
        <v>0.40714</v>
      </c>
      <c r="J40" s="334">
        <f>F40*I40</f>
        <v>8.703838919999999</v>
      </c>
      <c r="K40" s="820"/>
      <c r="L40" s="820"/>
      <c r="M40" s="820"/>
      <c r="N40" s="820"/>
      <c r="O40" s="820"/>
      <c r="P40" s="820"/>
      <c r="Q40" s="820"/>
      <c r="R40" s="820"/>
      <c r="S40" s="820"/>
      <c r="T40" s="820"/>
      <c r="U40" s="820"/>
      <c r="V40" s="820"/>
      <c r="W40" s="820"/>
      <c r="X40" s="820"/>
    </row>
    <row r="41" spans="1:10" s="434" customFormat="1" ht="12.75">
      <c r="A41" s="442"/>
      <c r="B41" s="218"/>
      <c r="C41" s="218"/>
      <c r="D41" s="998"/>
      <c r="E41" s="432"/>
      <c r="F41" s="367"/>
      <c r="G41" s="367"/>
      <c r="H41" s="367"/>
      <c r="I41" s="443"/>
      <c r="J41" s="444"/>
    </row>
    <row r="42" spans="1:24" s="430" customFormat="1" ht="18.75" customHeight="1">
      <c r="A42" s="196" t="s">
        <v>1796</v>
      </c>
      <c r="B42" s="286" t="s">
        <v>1412</v>
      </c>
      <c r="C42" s="286" t="s">
        <v>1413</v>
      </c>
      <c r="D42" s="982"/>
      <c r="E42" s="818" t="s">
        <v>1783</v>
      </c>
      <c r="F42" s="819">
        <f>SUM(J30:J41)</f>
        <v>24.128493479999996</v>
      </c>
      <c r="G42" s="819"/>
      <c r="H42" s="819">
        <f>$F42*G42</f>
        <v>0</v>
      </c>
      <c r="I42" s="821"/>
      <c r="J42" s="822"/>
      <c r="K42" s="820"/>
      <c r="L42" s="820"/>
      <c r="M42" s="820"/>
      <c r="N42" s="820"/>
      <c r="O42" s="820"/>
      <c r="P42" s="820"/>
      <c r="Q42" s="820"/>
      <c r="R42" s="820"/>
      <c r="S42" s="820"/>
      <c r="T42" s="820"/>
      <c r="U42" s="820"/>
      <c r="V42" s="820"/>
      <c r="W42" s="820"/>
      <c r="X42" s="820"/>
    </row>
    <row r="43" spans="1:24" s="211" customFormat="1" ht="16.5" customHeight="1" thickBot="1">
      <c r="A43" s="312"/>
      <c r="B43" s="313"/>
      <c r="C43" s="242"/>
      <c r="D43" s="989"/>
      <c r="E43" s="314"/>
      <c r="F43" s="315"/>
      <c r="G43" s="779"/>
      <c r="H43" s="315"/>
      <c r="I43" s="414"/>
      <c r="J43" s="415"/>
      <c r="K43" s="208"/>
      <c r="L43" s="208"/>
      <c r="M43" s="208"/>
      <c r="N43" s="208"/>
      <c r="O43" s="209"/>
      <c r="P43" s="209"/>
      <c r="Q43" s="209"/>
      <c r="R43" s="209"/>
      <c r="S43" s="210"/>
      <c r="T43" s="210"/>
      <c r="U43" s="210"/>
      <c r="V43" s="210"/>
      <c r="W43" s="210"/>
      <c r="X43" s="210"/>
    </row>
    <row r="44" spans="1:17" ht="16.5" customHeight="1" thickBot="1">
      <c r="A44" s="266"/>
      <c r="B44" s="175"/>
      <c r="C44" s="176"/>
      <c r="D44" s="1008"/>
      <c r="E44" s="175"/>
      <c r="F44" s="175"/>
      <c r="G44" s="175"/>
      <c r="H44" s="185"/>
      <c r="I44" s="177"/>
      <c r="J44" s="178"/>
      <c r="K44"/>
      <c r="L44"/>
      <c r="M44"/>
      <c r="N44"/>
      <c r="O44"/>
      <c r="P44"/>
      <c r="Q44"/>
    </row>
    <row r="45" spans="1:17" s="18" customFormat="1" ht="29.25" customHeight="1" thickBot="1">
      <c r="A45" s="477"/>
      <c r="B45" s="478"/>
      <c r="C45" s="479" t="s">
        <v>1414</v>
      </c>
      <c r="D45" s="480"/>
      <c r="E45" s="480"/>
      <c r="F45" s="480"/>
      <c r="G45" s="481"/>
      <c r="H45" s="808">
        <f>H46+H59</f>
        <v>0</v>
      </c>
      <c r="I45" s="482"/>
      <c r="J45" s="483"/>
      <c r="K45" s="132"/>
      <c r="L45" s="132"/>
      <c r="M45" s="132"/>
      <c r="N45" s="132"/>
      <c r="O45" s="132"/>
      <c r="P45" s="132"/>
      <c r="Q45" s="138"/>
    </row>
    <row r="46" spans="1:17" ht="16.5" customHeight="1" thickBot="1">
      <c r="A46" s="266" t="s">
        <v>1611</v>
      </c>
      <c r="B46" s="175" t="s">
        <v>1620</v>
      </c>
      <c r="C46" s="176" t="s">
        <v>1382</v>
      </c>
      <c r="D46" s="1008"/>
      <c r="E46" s="175"/>
      <c r="F46" s="175"/>
      <c r="G46" s="175"/>
      <c r="H46" s="185">
        <f>SUM(H47:H58)</f>
        <v>0</v>
      </c>
      <c r="I46" s="177"/>
      <c r="J46" s="178">
        <f>SUM(J47:J58)</f>
        <v>45.586464</v>
      </c>
      <c r="K46"/>
      <c r="L46"/>
      <c r="M46"/>
      <c r="N46"/>
      <c r="O46"/>
      <c r="P46"/>
      <c r="Q46"/>
    </row>
    <row r="47" spans="1:17" s="22" customFormat="1" ht="12.75" customHeight="1">
      <c r="A47" s="190"/>
      <c r="B47" s="191"/>
      <c r="C47" s="191"/>
      <c r="D47" s="964"/>
      <c r="E47" s="192"/>
      <c r="F47" s="345"/>
      <c r="G47" s="345"/>
      <c r="H47" s="345"/>
      <c r="I47" s="346"/>
      <c r="J47" s="347"/>
      <c r="K47" s="133"/>
      <c r="L47" s="133"/>
      <c r="M47" s="133"/>
      <c r="N47" s="133"/>
      <c r="O47" s="133"/>
      <c r="P47" s="133"/>
      <c r="Q47" s="139"/>
    </row>
    <row r="48" spans="1:17" s="22" customFormat="1" ht="21.75" customHeight="1">
      <c r="A48" s="196" t="s">
        <v>1706</v>
      </c>
      <c r="B48" s="197" t="s">
        <v>971</v>
      </c>
      <c r="C48" s="199" t="s">
        <v>972</v>
      </c>
      <c r="D48" s="917" t="s">
        <v>2766</v>
      </c>
      <c r="E48" s="198" t="s">
        <v>1826</v>
      </c>
      <c r="F48" s="332">
        <v>35.24</v>
      </c>
      <c r="G48" s="332"/>
      <c r="H48" s="332">
        <f>F48*G48</f>
        <v>0</v>
      </c>
      <c r="I48" s="333">
        <v>0</v>
      </c>
      <c r="J48" s="334">
        <f>F48*I48</f>
        <v>0</v>
      </c>
      <c r="K48" s="133"/>
      <c r="L48" s="133"/>
      <c r="M48" s="133"/>
      <c r="N48" s="133"/>
      <c r="O48" s="133"/>
      <c r="P48" s="133"/>
      <c r="Q48" s="139"/>
    </row>
    <row r="49" spans="1:17" s="22" customFormat="1" ht="21.75" customHeight="1">
      <c r="A49" s="196" t="s">
        <v>1711</v>
      </c>
      <c r="B49" s="809" t="s">
        <v>1383</v>
      </c>
      <c r="C49" s="199" t="s">
        <v>1384</v>
      </c>
      <c r="D49" s="917" t="s">
        <v>2766</v>
      </c>
      <c r="E49" s="198" t="s">
        <v>1748</v>
      </c>
      <c r="F49" s="332">
        <f>SUM(E50)</f>
        <v>42.288000000000004</v>
      </c>
      <c r="G49" s="332"/>
      <c r="H49" s="332">
        <f>F49*G49</f>
        <v>0</v>
      </c>
      <c r="I49" s="333">
        <v>0.198</v>
      </c>
      <c r="J49" s="334">
        <f>F49*I49</f>
        <v>8.373024000000001</v>
      </c>
      <c r="K49" s="133"/>
      <c r="L49" s="133"/>
      <c r="M49" s="133"/>
      <c r="N49" s="133"/>
      <c r="O49" s="133"/>
      <c r="P49" s="133"/>
      <c r="Q49" s="139"/>
    </row>
    <row r="50" spans="1:10" s="434" customFormat="1" ht="12.75">
      <c r="A50" s="431"/>
      <c r="B50" s="218"/>
      <c r="C50" s="218" t="s">
        <v>1415</v>
      </c>
      <c r="D50" s="998"/>
      <c r="E50" s="432">
        <f>35.24*1.2</f>
        <v>42.288000000000004</v>
      </c>
      <c r="F50" s="433"/>
      <c r="G50" s="433"/>
      <c r="H50" s="332"/>
      <c r="I50" s="333"/>
      <c r="J50" s="334"/>
    </row>
    <row r="51" spans="1:17" s="22" customFormat="1" ht="21.75" customHeight="1">
      <c r="A51" s="196" t="s">
        <v>1715</v>
      </c>
      <c r="B51" s="809" t="s">
        <v>1386</v>
      </c>
      <c r="C51" s="199" t="s">
        <v>1387</v>
      </c>
      <c r="D51" s="917" t="s">
        <v>2766</v>
      </c>
      <c r="E51" s="198" t="s">
        <v>1748</v>
      </c>
      <c r="F51" s="332">
        <f>F49</f>
        <v>42.288000000000004</v>
      </c>
      <c r="G51" s="332"/>
      <c r="H51" s="332">
        <f>$F51*G51</f>
        <v>0</v>
      </c>
      <c r="I51" s="333">
        <v>0.572</v>
      </c>
      <c r="J51" s="334">
        <f>F51*I51</f>
        <v>24.188736</v>
      </c>
      <c r="K51" s="133"/>
      <c r="L51" s="133"/>
      <c r="M51" s="133"/>
      <c r="N51" s="133"/>
      <c r="O51" s="133"/>
      <c r="P51" s="133"/>
      <c r="Q51" s="139"/>
    </row>
    <row r="52" spans="1:17" s="22" customFormat="1" ht="21.75" customHeight="1">
      <c r="A52" s="196" t="s">
        <v>1719</v>
      </c>
      <c r="B52" s="809" t="s">
        <v>1388</v>
      </c>
      <c r="C52" s="199" t="s">
        <v>1389</v>
      </c>
      <c r="D52" s="917" t="s">
        <v>2766</v>
      </c>
      <c r="E52" s="198" t="s">
        <v>1709</v>
      </c>
      <c r="F52" s="332">
        <f>F51</f>
        <v>42.288000000000004</v>
      </c>
      <c r="G52" s="332"/>
      <c r="H52" s="332">
        <f>$F52*G52</f>
        <v>0</v>
      </c>
      <c r="I52" s="333">
        <v>0.308</v>
      </c>
      <c r="J52" s="334">
        <f>F52*I52</f>
        <v>13.024704000000002</v>
      </c>
      <c r="K52" s="133"/>
      <c r="L52" s="133"/>
      <c r="M52" s="133"/>
      <c r="N52" s="133"/>
      <c r="O52" s="133"/>
      <c r="P52" s="133"/>
      <c r="Q52" s="139"/>
    </row>
    <row r="53" spans="1:17" s="22" customFormat="1" ht="13.5" customHeight="1">
      <c r="A53" s="196"/>
      <c r="B53" s="197"/>
      <c r="C53" s="199"/>
      <c r="D53" s="917"/>
      <c r="E53" s="198"/>
      <c r="F53" s="332"/>
      <c r="G53" s="332"/>
      <c r="H53" s="332"/>
      <c r="I53" s="333"/>
      <c r="J53" s="334"/>
      <c r="K53" s="133"/>
      <c r="L53" s="133"/>
      <c r="M53" s="133"/>
      <c r="N53" s="133"/>
      <c r="O53" s="133"/>
      <c r="P53" s="133"/>
      <c r="Q53" s="139"/>
    </row>
    <row r="54" spans="1:17" s="22" customFormat="1" ht="24" customHeight="1">
      <c r="A54" s="196" t="s">
        <v>1722</v>
      </c>
      <c r="B54" s="197" t="s">
        <v>2536</v>
      </c>
      <c r="C54" s="199" t="s">
        <v>2537</v>
      </c>
      <c r="D54" s="917" t="s">
        <v>2766</v>
      </c>
      <c r="E54" s="198" t="s">
        <v>1783</v>
      </c>
      <c r="F54" s="332">
        <f>J48+J49+J51+J52</f>
        <v>45.586464</v>
      </c>
      <c r="G54" s="332"/>
      <c r="H54" s="332">
        <f>F54*G54</f>
        <v>0</v>
      </c>
      <c r="I54" s="333">
        <v>0</v>
      </c>
      <c r="J54" s="334"/>
      <c r="K54" s="133"/>
      <c r="L54" s="133"/>
      <c r="M54" s="133"/>
      <c r="N54" s="133"/>
      <c r="O54" s="133"/>
      <c r="P54" s="133"/>
      <c r="Q54" s="139"/>
    </row>
    <row r="55" spans="1:17" s="22" customFormat="1" ht="21.75" customHeight="1">
      <c r="A55" s="196" t="s">
        <v>1725</v>
      </c>
      <c r="B55" s="197" t="s">
        <v>2539</v>
      </c>
      <c r="C55" s="199" t="s">
        <v>2540</v>
      </c>
      <c r="D55" s="917" t="s">
        <v>2766</v>
      </c>
      <c r="E55" s="198" t="s">
        <v>1783</v>
      </c>
      <c r="F55" s="332">
        <f>14*F54</f>
        <v>638.210496</v>
      </c>
      <c r="G55" s="332"/>
      <c r="H55" s="332">
        <f>F55*G55</f>
        <v>0</v>
      </c>
      <c r="I55" s="333">
        <v>0</v>
      </c>
      <c r="J55" s="334"/>
      <c r="K55" s="133"/>
      <c r="L55" s="133"/>
      <c r="M55" s="133"/>
      <c r="N55" s="133"/>
      <c r="O55" s="133"/>
      <c r="P55" s="133"/>
      <c r="Q55" s="139"/>
    </row>
    <row r="56" spans="1:17" s="22" customFormat="1" ht="21.75" customHeight="1">
      <c r="A56" s="196" t="s">
        <v>1728</v>
      </c>
      <c r="B56" s="197" t="s">
        <v>1390</v>
      </c>
      <c r="C56" s="199" t="s">
        <v>1391</v>
      </c>
      <c r="D56" s="917" t="s">
        <v>2766</v>
      </c>
      <c r="E56" s="198" t="s">
        <v>1783</v>
      </c>
      <c r="F56" s="332">
        <f>F54-F57</f>
        <v>37.21344</v>
      </c>
      <c r="G56" s="332"/>
      <c r="H56" s="332">
        <f>F56*G56</f>
        <v>0</v>
      </c>
      <c r="I56" s="333">
        <v>0</v>
      </c>
      <c r="J56" s="334"/>
      <c r="K56" s="133"/>
      <c r="L56" s="133"/>
      <c r="M56" s="133"/>
      <c r="N56" s="133"/>
      <c r="O56" s="133"/>
      <c r="P56" s="133"/>
      <c r="Q56" s="139"/>
    </row>
    <row r="57" spans="1:17" s="22" customFormat="1" ht="21.75" customHeight="1">
      <c r="A57" s="196" t="s">
        <v>1731</v>
      </c>
      <c r="B57" s="445" t="s">
        <v>1392</v>
      </c>
      <c r="C57" s="446" t="s">
        <v>1393</v>
      </c>
      <c r="D57" s="917" t="s">
        <v>2766</v>
      </c>
      <c r="E57" s="447" t="s">
        <v>1783</v>
      </c>
      <c r="F57" s="448">
        <f>J49</f>
        <v>8.373024000000001</v>
      </c>
      <c r="G57" s="448"/>
      <c r="H57" s="448">
        <f>F57*G57</f>
        <v>0</v>
      </c>
      <c r="I57" s="449">
        <v>0</v>
      </c>
      <c r="J57" s="450"/>
      <c r="K57" s="133"/>
      <c r="L57" s="133"/>
      <c r="M57" s="133"/>
      <c r="N57" s="133"/>
      <c r="O57" s="133"/>
      <c r="P57" s="133"/>
      <c r="Q57" s="139"/>
    </row>
    <row r="58" spans="1:17" s="22" customFormat="1" ht="11.25" customHeight="1" thickBot="1">
      <c r="A58" s="255"/>
      <c r="B58" s="256"/>
      <c r="C58" s="264"/>
      <c r="D58" s="968"/>
      <c r="E58" s="257"/>
      <c r="F58" s="368"/>
      <c r="G58" s="368"/>
      <c r="H58" s="368"/>
      <c r="I58" s="369"/>
      <c r="J58" s="370"/>
      <c r="K58" s="133"/>
      <c r="L58" s="133"/>
      <c r="M58" s="133"/>
      <c r="N58" s="133"/>
      <c r="O58" s="133"/>
      <c r="P58" s="133"/>
      <c r="Q58" s="139"/>
    </row>
    <row r="59" spans="1:17" ht="16.5" customHeight="1" thickBot="1">
      <c r="A59" s="435" t="s">
        <v>1618</v>
      </c>
      <c r="B59" s="436" t="s">
        <v>1628</v>
      </c>
      <c r="C59" s="437" t="s">
        <v>1847</v>
      </c>
      <c r="D59" s="1219"/>
      <c r="E59" s="436"/>
      <c r="F59" s="438"/>
      <c r="G59" s="438"/>
      <c r="H59" s="439">
        <f>SUM(H60:H74)</f>
        <v>0</v>
      </c>
      <c r="I59" s="440"/>
      <c r="J59" s="441">
        <f>SUM(J60:J73)</f>
        <v>27.841784880000002</v>
      </c>
      <c r="K59"/>
      <c r="L59"/>
      <c r="M59"/>
      <c r="N59"/>
      <c r="O59"/>
      <c r="P59"/>
      <c r="Q59"/>
    </row>
    <row r="60" spans="1:60" s="429" customFormat="1" ht="12.75">
      <c r="A60" s="810"/>
      <c r="B60" s="811"/>
      <c r="C60" s="685"/>
      <c r="D60" s="999"/>
      <c r="E60" s="812"/>
      <c r="F60" s="813"/>
      <c r="G60" s="814"/>
      <c r="H60" s="813"/>
      <c r="I60" s="815"/>
      <c r="J60" s="816"/>
      <c r="K60" s="817"/>
      <c r="L60" s="817"/>
      <c r="M60" s="817"/>
      <c r="N60" s="817"/>
      <c r="O60" s="817"/>
      <c r="P60" s="817"/>
      <c r="Q60" s="817"/>
      <c r="R60" s="817"/>
      <c r="S60" s="817"/>
      <c r="T60" s="817"/>
      <c r="U60" s="817"/>
      <c r="V60" s="817"/>
      <c r="W60" s="817"/>
      <c r="X60" s="817"/>
      <c r="Y60" s="817"/>
      <c r="Z60" s="817"/>
      <c r="AA60" s="817"/>
      <c r="AB60" s="817"/>
      <c r="AC60" s="817"/>
      <c r="AD60" s="817"/>
      <c r="AE60" s="817"/>
      <c r="AF60" s="817"/>
      <c r="AG60" s="817"/>
      <c r="AH60" s="817"/>
      <c r="AI60" s="817"/>
      <c r="AJ60" s="817"/>
      <c r="AK60" s="817"/>
      <c r="AL60" s="817"/>
      <c r="AM60" s="817"/>
      <c r="AN60" s="817"/>
      <c r="AO60" s="817"/>
      <c r="AP60" s="817"/>
      <c r="AQ60" s="817"/>
      <c r="AR60" s="817"/>
      <c r="AS60" s="817"/>
      <c r="AT60" s="817"/>
      <c r="AU60" s="817"/>
      <c r="AV60" s="817"/>
      <c r="AW60" s="817"/>
      <c r="AX60" s="817"/>
      <c r="AY60" s="817"/>
      <c r="AZ60" s="817"/>
      <c r="BA60" s="817"/>
      <c r="BB60" s="817"/>
      <c r="BC60" s="817"/>
      <c r="BD60" s="817"/>
      <c r="BE60" s="817"/>
      <c r="BF60" s="817"/>
      <c r="BG60" s="817"/>
      <c r="BH60" s="817"/>
    </row>
    <row r="61" spans="1:60" s="22" customFormat="1" ht="21.75" customHeight="1">
      <c r="A61" s="196" t="s">
        <v>1734</v>
      </c>
      <c r="B61" s="197" t="s">
        <v>1394</v>
      </c>
      <c r="C61" s="199" t="s">
        <v>1395</v>
      </c>
      <c r="D61" s="917" t="s">
        <v>2766</v>
      </c>
      <c r="E61" s="198" t="s">
        <v>1826</v>
      </c>
      <c r="F61" s="332">
        <f>F48</f>
        <v>35.24</v>
      </c>
      <c r="G61" s="332"/>
      <c r="H61" s="332">
        <f>F61*G61</f>
        <v>0</v>
      </c>
      <c r="I61" s="333">
        <v>0</v>
      </c>
      <c r="J61" s="334">
        <f>F61*I61</f>
        <v>0</v>
      </c>
      <c r="K61" s="133"/>
      <c r="L61" s="133"/>
      <c r="M61" s="133"/>
      <c r="N61" s="133"/>
      <c r="O61" s="133"/>
      <c r="P61" s="133"/>
      <c r="Q61" s="139"/>
      <c r="R61" s="22">
        <v>2</v>
      </c>
      <c r="AB61" s="22">
        <v>12</v>
      </c>
      <c r="AC61" s="22">
        <v>0</v>
      </c>
      <c r="AD61" s="22">
        <v>39</v>
      </c>
      <c r="BC61" s="22">
        <v>1</v>
      </c>
      <c r="BD61" s="22">
        <f>IF(BC61=1,H61,0)</f>
        <v>0</v>
      </c>
      <c r="BE61" s="22">
        <f>IF(BC61=2,H61,0)</f>
        <v>0</v>
      </c>
      <c r="BF61" s="22">
        <f>IF(BC61=3,H61,0)</f>
        <v>0</v>
      </c>
      <c r="BG61" s="22">
        <f>IF(BC61=4,H61,0)</f>
        <v>0</v>
      </c>
      <c r="BH61" s="22">
        <f>IF(BC61=5,H61,0)</f>
        <v>0</v>
      </c>
    </row>
    <row r="62" spans="1:60" s="430" customFormat="1" ht="24">
      <c r="A62" s="196" t="s">
        <v>1753</v>
      </c>
      <c r="B62" s="286" t="s">
        <v>1396</v>
      </c>
      <c r="C62" s="286" t="s">
        <v>1397</v>
      </c>
      <c r="D62" s="917" t="s">
        <v>2766</v>
      </c>
      <c r="E62" s="818" t="s">
        <v>1748</v>
      </c>
      <c r="F62" s="819">
        <f>SUM(E63)</f>
        <v>24.668</v>
      </c>
      <c r="G62" s="819"/>
      <c r="H62" s="819">
        <f>$F62*G62</f>
        <v>0</v>
      </c>
      <c r="I62" s="333">
        <v>0.12966</v>
      </c>
      <c r="J62" s="334">
        <f>F62*I62</f>
        <v>3.19845288</v>
      </c>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820"/>
      <c r="AL62" s="820"/>
      <c r="AM62" s="820"/>
      <c r="AN62" s="820"/>
      <c r="AO62" s="820"/>
      <c r="AP62" s="820"/>
      <c r="AQ62" s="820"/>
      <c r="AR62" s="820"/>
      <c r="AS62" s="820"/>
      <c r="AT62" s="820"/>
      <c r="AU62" s="820"/>
      <c r="AV62" s="820"/>
      <c r="AW62" s="820"/>
      <c r="AX62" s="820"/>
      <c r="AY62" s="820"/>
      <c r="AZ62" s="820"/>
      <c r="BA62" s="820"/>
      <c r="BB62" s="820"/>
      <c r="BC62" s="820"/>
      <c r="BD62" s="820"/>
      <c r="BE62" s="820"/>
      <c r="BF62" s="820"/>
      <c r="BG62" s="820"/>
      <c r="BH62" s="820"/>
    </row>
    <row r="63" spans="1:10" s="434" customFormat="1" ht="12.75">
      <c r="A63" s="196" t="s">
        <v>1758</v>
      </c>
      <c r="B63" s="218"/>
      <c r="C63" s="218" t="s">
        <v>1416</v>
      </c>
      <c r="D63" s="998"/>
      <c r="E63" s="432">
        <f>35.24*0.7</f>
        <v>24.668</v>
      </c>
      <c r="F63" s="367"/>
      <c r="G63" s="367"/>
      <c r="H63" s="367"/>
      <c r="I63" s="333"/>
      <c r="J63" s="334"/>
    </row>
    <row r="64" spans="1:60" s="430" customFormat="1" ht="24">
      <c r="A64" s="196" t="s">
        <v>1764</v>
      </c>
      <c r="B64" s="286" t="s">
        <v>1399</v>
      </c>
      <c r="C64" s="286" t="s">
        <v>1400</v>
      </c>
      <c r="D64" s="917" t="s">
        <v>2766</v>
      </c>
      <c r="E64" s="818" t="s">
        <v>1748</v>
      </c>
      <c r="F64" s="819">
        <f>F62</f>
        <v>24.668</v>
      </c>
      <c r="G64" s="819"/>
      <c r="H64" s="819">
        <f aca="true" t="shared" si="3" ref="H64:H71">$F64*G64</f>
        <v>0</v>
      </c>
      <c r="I64" s="333">
        <v>0.00071</v>
      </c>
      <c r="J64" s="334">
        <f aca="true" t="shared" si="4" ref="J64:J69">F64*I64</f>
        <v>0.01751428</v>
      </c>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20"/>
      <c r="AY64" s="820"/>
      <c r="AZ64" s="820"/>
      <c r="BA64" s="820"/>
      <c r="BB64" s="820"/>
      <c r="BC64" s="820"/>
      <c r="BD64" s="820"/>
      <c r="BE64" s="820"/>
      <c r="BF64" s="820"/>
      <c r="BG64" s="820"/>
      <c r="BH64" s="820"/>
    </row>
    <row r="65" spans="1:24" s="430" customFormat="1" ht="24">
      <c r="A65" s="196" t="s">
        <v>1737</v>
      </c>
      <c r="B65" s="286" t="s">
        <v>1401</v>
      </c>
      <c r="C65" s="286" t="s">
        <v>1402</v>
      </c>
      <c r="D65" s="917" t="s">
        <v>2766</v>
      </c>
      <c r="E65" s="818" t="s">
        <v>1748</v>
      </c>
      <c r="F65" s="819">
        <f>F62</f>
        <v>24.668</v>
      </c>
      <c r="G65" s="819"/>
      <c r="H65" s="819">
        <f t="shared" si="3"/>
        <v>0</v>
      </c>
      <c r="I65" s="333">
        <v>0.12966</v>
      </c>
      <c r="J65" s="334">
        <f t="shared" si="4"/>
        <v>3.19845288</v>
      </c>
      <c r="K65" s="820"/>
      <c r="L65" s="820"/>
      <c r="M65" s="820"/>
      <c r="N65" s="820"/>
      <c r="O65" s="820"/>
      <c r="P65" s="820"/>
      <c r="Q65" s="820"/>
      <c r="R65" s="820"/>
      <c r="S65" s="820"/>
      <c r="T65" s="820"/>
      <c r="U65" s="820"/>
      <c r="V65" s="820"/>
      <c r="W65" s="820"/>
      <c r="X65" s="820"/>
    </row>
    <row r="66" spans="1:24" s="430" customFormat="1" ht="24">
      <c r="A66" s="196" t="s">
        <v>1740</v>
      </c>
      <c r="B66" s="286" t="s">
        <v>1399</v>
      </c>
      <c r="C66" s="286" t="s">
        <v>1400</v>
      </c>
      <c r="D66" s="917" t="s">
        <v>2766</v>
      </c>
      <c r="E66" s="818" t="s">
        <v>1748</v>
      </c>
      <c r="F66" s="819">
        <f aca="true" t="shared" si="5" ref="F66:F71">F65</f>
        <v>24.668</v>
      </c>
      <c r="G66" s="819"/>
      <c r="H66" s="819">
        <f t="shared" si="3"/>
        <v>0</v>
      </c>
      <c r="I66" s="333">
        <v>0.00071</v>
      </c>
      <c r="J66" s="334">
        <f t="shared" si="4"/>
        <v>0.01751428</v>
      </c>
      <c r="K66" s="820"/>
      <c r="L66" s="820"/>
      <c r="M66" s="820"/>
      <c r="N66" s="820"/>
      <c r="O66" s="820"/>
      <c r="P66" s="820"/>
      <c r="Q66" s="820"/>
      <c r="R66" s="820"/>
      <c r="S66" s="820"/>
      <c r="T66" s="820"/>
      <c r="U66" s="820"/>
      <c r="V66" s="820"/>
      <c r="W66" s="820"/>
      <c r="X66" s="820"/>
    </row>
    <row r="67" spans="1:24" s="430" customFormat="1" ht="24">
      <c r="A67" s="196" t="s">
        <v>1776</v>
      </c>
      <c r="B67" s="286" t="s">
        <v>1403</v>
      </c>
      <c r="C67" s="286" t="s">
        <v>1404</v>
      </c>
      <c r="D67" s="917" t="s">
        <v>2766</v>
      </c>
      <c r="E67" s="818" t="s">
        <v>1748</v>
      </c>
      <c r="F67" s="819">
        <f t="shared" si="5"/>
        <v>24.668</v>
      </c>
      <c r="G67" s="819"/>
      <c r="H67" s="819">
        <f t="shared" si="3"/>
        <v>0</v>
      </c>
      <c r="I67" s="333">
        <v>0.13188</v>
      </c>
      <c r="J67" s="334">
        <f t="shared" si="4"/>
        <v>3.2532158399999997</v>
      </c>
      <c r="K67" s="820"/>
      <c r="L67" s="820"/>
      <c r="M67" s="820"/>
      <c r="N67" s="820"/>
      <c r="O67" s="820"/>
      <c r="P67" s="820"/>
      <c r="Q67" s="820"/>
      <c r="R67" s="820"/>
      <c r="S67" s="820"/>
      <c r="T67" s="820"/>
      <c r="U67" s="820"/>
      <c r="V67" s="820"/>
      <c r="W67" s="820"/>
      <c r="X67" s="820"/>
    </row>
    <row r="68" spans="1:24" s="430" customFormat="1" ht="24">
      <c r="A68" s="196" t="s">
        <v>1780</v>
      </c>
      <c r="B68" s="286" t="s">
        <v>1399</v>
      </c>
      <c r="C68" s="286" t="s">
        <v>1405</v>
      </c>
      <c r="D68" s="917" t="s">
        <v>2766</v>
      </c>
      <c r="E68" s="818" t="s">
        <v>1748</v>
      </c>
      <c r="F68" s="819">
        <f t="shared" si="5"/>
        <v>24.668</v>
      </c>
      <c r="G68" s="819"/>
      <c r="H68" s="819">
        <f t="shared" si="3"/>
        <v>0</v>
      </c>
      <c r="I68" s="333">
        <v>0.00071</v>
      </c>
      <c r="J68" s="334">
        <f t="shared" si="4"/>
        <v>0.01751428</v>
      </c>
      <c r="K68" s="820"/>
      <c r="L68" s="820"/>
      <c r="M68" s="820"/>
      <c r="N68" s="820"/>
      <c r="O68" s="820"/>
      <c r="P68" s="820"/>
      <c r="Q68" s="820"/>
      <c r="R68" s="820"/>
      <c r="S68" s="820"/>
      <c r="T68" s="820"/>
      <c r="U68" s="820"/>
      <c r="V68" s="820"/>
      <c r="W68" s="820"/>
      <c r="X68" s="820"/>
    </row>
    <row r="69" spans="1:24" s="430" customFormat="1" ht="24">
      <c r="A69" s="196" t="s">
        <v>1785</v>
      </c>
      <c r="B69" s="286" t="s">
        <v>1406</v>
      </c>
      <c r="C69" s="286" t="s">
        <v>1407</v>
      </c>
      <c r="D69" s="917" t="s">
        <v>2766</v>
      </c>
      <c r="E69" s="818" t="s">
        <v>1748</v>
      </c>
      <c r="F69" s="819">
        <f t="shared" si="5"/>
        <v>24.668</v>
      </c>
      <c r="G69" s="819"/>
      <c r="H69" s="819">
        <f t="shared" si="3"/>
        <v>0</v>
      </c>
      <c r="I69" s="333">
        <v>0.00601</v>
      </c>
      <c r="J69" s="334">
        <f t="shared" si="4"/>
        <v>0.14825468</v>
      </c>
      <c r="K69" s="820"/>
      <c r="L69" s="820"/>
      <c r="M69" s="820"/>
      <c r="N69" s="820"/>
      <c r="O69" s="820"/>
      <c r="P69" s="820"/>
      <c r="Q69" s="820"/>
      <c r="R69" s="820"/>
      <c r="S69" s="820"/>
      <c r="T69" s="820"/>
      <c r="U69" s="820"/>
      <c r="V69" s="820"/>
      <c r="W69" s="820"/>
      <c r="X69" s="820"/>
    </row>
    <row r="70" spans="1:24" s="430" customFormat="1" ht="24">
      <c r="A70" s="196" t="s">
        <v>1790</v>
      </c>
      <c r="B70" s="286" t="s">
        <v>1408</v>
      </c>
      <c r="C70" s="286" t="s">
        <v>1409</v>
      </c>
      <c r="D70" s="917" t="s">
        <v>2766</v>
      </c>
      <c r="E70" s="818" t="s">
        <v>1748</v>
      </c>
      <c r="F70" s="819">
        <f t="shared" si="5"/>
        <v>24.668</v>
      </c>
      <c r="G70" s="819"/>
      <c r="H70" s="819">
        <f t="shared" si="3"/>
        <v>0</v>
      </c>
      <c r="I70" s="333">
        <v>0.32218</v>
      </c>
      <c r="J70" s="334">
        <f>F70*I70</f>
        <v>7.947536240000001</v>
      </c>
      <c r="K70" s="820"/>
      <c r="L70" s="820"/>
      <c r="M70" s="820"/>
      <c r="N70" s="820"/>
      <c r="O70" s="820"/>
      <c r="P70" s="820"/>
      <c r="Q70" s="820"/>
      <c r="R70" s="820"/>
      <c r="S70" s="820"/>
      <c r="T70" s="820"/>
      <c r="U70" s="820"/>
      <c r="V70" s="820"/>
      <c r="W70" s="820"/>
      <c r="X70" s="820"/>
    </row>
    <row r="71" spans="1:24" s="430" customFormat="1" ht="24">
      <c r="A71" s="196" t="s">
        <v>1793</v>
      </c>
      <c r="B71" s="286" t="s">
        <v>1410</v>
      </c>
      <c r="C71" s="286" t="s">
        <v>1411</v>
      </c>
      <c r="D71" s="917" t="s">
        <v>2766</v>
      </c>
      <c r="E71" s="818" t="s">
        <v>1748</v>
      </c>
      <c r="F71" s="819">
        <f t="shared" si="5"/>
        <v>24.668</v>
      </c>
      <c r="G71" s="819"/>
      <c r="H71" s="819">
        <f t="shared" si="3"/>
        <v>0</v>
      </c>
      <c r="I71" s="333">
        <v>0.40714</v>
      </c>
      <c r="J71" s="334">
        <f>F71*I71</f>
        <v>10.04332952</v>
      </c>
      <c r="K71" s="820"/>
      <c r="L71" s="820"/>
      <c r="M71" s="820"/>
      <c r="N71" s="820"/>
      <c r="O71" s="820"/>
      <c r="P71" s="820"/>
      <c r="Q71" s="820"/>
      <c r="R71" s="820"/>
      <c r="S71" s="820"/>
      <c r="T71" s="820"/>
      <c r="U71" s="820"/>
      <c r="V71" s="820"/>
      <c r="W71" s="820"/>
      <c r="X71" s="820"/>
    </row>
    <row r="72" spans="1:10" s="434" customFormat="1" ht="12.75">
      <c r="A72" s="442"/>
      <c r="B72" s="218"/>
      <c r="C72" s="218"/>
      <c r="D72" s="998"/>
      <c r="E72" s="432"/>
      <c r="F72" s="367"/>
      <c r="G72" s="367"/>
      <c r="H72" s="367"/>
      <c r="I72" s="443"/>
      <c r="J72" s="444"/>
    </row>
    <row r="73" spans="1:24" s="430" customFormat="1" ht="17.25" customHeight="1">
      <c r="A73" s="196" t="s">
        <v>1796</v>
      </c>
      <c r="B73" s="286" t="s">
        <v>1412</v>
      </c>
      <c r="C73" s="286" t="s">
        <v>1413</v>
      </c>
      <c r="D73" s="982"/>
      <c r="E73" s="818" t="s">
        <v>1783</v>
      </c>
      <c r="F73" s="819">
        <f>SUM(J61:J72)</f>
        <v>27.841784880000002</v>
      </c>
      <c r="G73" s="819"/>
      <c r="H73" s="819">
        <f>$F73*G73</f>
        <v>0</v>
      </c>
      <c r="I73" s="821"/>
      <c r="J73" s="822"/>
      <c r="K73" s="820"/>
      <c r="L73" s="820"/>
      <c r="M73" s="820"/>
      <c r="N73" s="820"/>
      <c r="O73" s="820"/>
      <c r="P73" s="820"/>
      <c r="Q73" s="820"/>
      <c r="R73" s="820"/>
      <c r="S73" s="820"/>
      <c r="T73" s="820"/>
      <c r="U73" s="820"/>
      <c r="V73" s="820"/>
      <c r="W73" s="820"/>
      <c r="X73" s="820"/>
    </row>
    <row r="74" spans="1:24" s="211" customFormat="1" ht="16.5" customHeight="1" thickBot="1">
      <c r="A74" s="312"/>
      <c r="B74" s="313"/>
      <c r="C74" s="242"/>
      <c r="D74" s="989"/>
      <c r="E74" s="314"/>
      <c r="F74" s="315"/>
      <c r="G74" s="779"/>
      <c r="H74" s="315"/>
      <c r="I74" s="414"/>
      <c r="J74" s="415"/>
      <c r="K74" s="208"/>
      <c r="L74" s="208"/>
      <c r="M74" s="208"/>
      <c r="N74" s="208"/>
      <c r="O74" s="209"/>
      <c r="P74" s="209"/>
      <c r="Q74" s="209"/>
      <c r="R74" s="209"/>
      <c r="S74" s="210"/>
      <c r="T74" s="210"/>
      <c r="U74" s="210"/>
      <c r="V74" s="210"/>
      <c r="W74" s="210"/>
      <c r="X74" s="210"/>
    </row>
    <row r="75" spans="1:17" ht="16.5" customHeight="1" thickBot="1">
      <c r="A75" s="266"/>
      <c r="B75" s="175"/>
      <c r="C75" s="176"/>
      <c r="D75" s="175"/>
      <c r="E75" s="175"/>
      <c r="F75" s="175"/>
      <c r="G75" s="175"/>
      <c r="H75" s="185"/>
      <c r="I75" s="177"/>
      <c r="J75" s="178"/>
      <c r="K75"/>
      <c r="L75"/>
      <c r="M75"/>
      <c r="N75"/>
      <c r="O75"/>
      <c r="P75"/>
      <c r="Q75"/>
    </row>
    <row r="76" spans="1:17" s="18" customFormat="1" ht="29.25" customHeight="1" thickBot="1">
      <c r="A76" s="477"/>
      <c r="B76" s="478"/>
      <c r="C76" s="479" t="s">
        <v>1417</v>
      </c>
      <c r="D76" s="480"/>
      <c r="E76" s="480"/>
      <c r="F76" s="480"/>
      <c r="G76" s="481"/>
      <c r="H76" s="808">
        <f>H77+H90</f>
        <v>0</v>
      </c>
      <c r="I76" s="482"/>
      <c r="J76" s="483"/>
      <c r="K76" s="132"/>
      <c r="L76" s="132"/>
      <c r="M76" s="132"/>
      <c r="N76" s="132"/>
      <c r="O76" s="132"/>
      <c r="P76" s="132"/>
      <c r="Q76" s="138"/>
    </row>
    <row r="77" spans="1:17" ht="16.5" customHeight="1" thickBot="1">
      <c r="A77" s="266" t="s">
        <v>1611</v>
      </c>
      <c r="B77" s="175" t="s">
        <v>1620</v>
      </c>
      <c r="C77" s="176" t="s">
        <v>1382</v>
      </c>
      <c r="D77" s="1008"/>
      <c r="E77" s="175"/>
      <c r="F77" s="175"/>
      <c r="G77" s="175"/>
      <c r="H77" s="185">
        <f>SUM(H78:H89)</f>
        <v>0</v>
      </c>
      <c r="I77" s="177"/>
      <c r="J77" s="178">
        <f>SUM(J78:J89)</f>
        <v>18.1104</v>
      </c>
      <c r="K77"/>
      <c r="L77"/>
      <c r="M77"/>
      <c r="N77"/>
      <c r="O77"/>
      <c r="P77"/>
      <c r="Q77"/>
    </row>
    <row r="78" spans="1:17" s="22" customFormat="1" ht="12.75" customHeight="1">
      <c r="A78" s="190"/>
      <c r="B78" s="191"/>
      <c r="C78" s="191"/>
      <c r="D78" s="964"/>
      <c r="E78" s="192"/>
      <c r="F78" s="345"/>
      <c r="G78" s="345"/>
      <c r="H78" s="345"/>
      <c r="I78" s="346"/>
      <c r="J78" s="347"/>
      <c r="K78" s="133"/>
      <c r="L78" s="133"/>
      <c r="M78" s="133"/>
      <c r="N78" s="133"/>
      <c r="O78" s="133"/>
      <c r="P78" s="133"/>
      <c r="Q78" s="139"/>
    </row>
    <row r="79" spans="1:17" s="22" customFormat="1" ht="21.75" customHeight="1">
      <c r="A79" s="196" t="s">
        <v>1706</v>
      </c>
      <c r="B79" s="197" t="s">
        <v>971</v>
      </c>
      <c r="C79" s="199" t="s">
        <v>972</v>
      </c>
      <c r="D79" s="917" t="s">
        <v>2766</v>
      </c>
      <c r="E79" s="198" t="s">
        <v>1826</v>
      </c>
      <c r="F79" s="332">
        <v>14</v>
      </c>
      <c r="G79" s="332"/>
      <c r="H79" s="332">
        <f>F79*G79</f>
        <v>0</v>
      </c>
      <c r="I79" s="333">
        <v>0</v>
      </c>
      <c r="J79" s="334">
        <f>F79*I79</f>
        <v>0</v>
      </c>
      <c r="K79" s="133"/>
      <c r="L79" s="133"/>
      <c r="M79" s="133"/>
      <c r="N79" s="133"/>
      <c r="O79" s="133"/>
      <c r="P79" s="133"/>
      <c r="Q79" s="139"/>
    </row>
    <row r="80" spans="1:17" s="22" customFormat="1" ht="21.75" customHeight="1">
      <c r="A80" s="196" t="s">
        <v>1711</v>
      </c>
      <c r="B80" s="809" t="s">
        <v>1383</v>
      </c>
      <c r="C80" s="199" t="s">
        <v>1384</v>
      </c>
      <c r="D80" s="917" t="s">
        <v>2766</v>
      </c>
      <c r="E80" s="198" t="s">
        <v>1748</v>
      </c>
      <c r="F80" s="332">
        <f>SUM(E81)</f>
        <v>16.8</v>
      </c>
      <c r="G80" s="332"/>
      <c r="H80" s="332">
        <f>F80*G80</f>
        <v>0</v>
      </c>
      <c r="I80" s="333">
        <v>0.198</v>
      </c>
      <c r="J80" s="334">
        <f>F80*I80</f>
        <v>3.3264000000000005</v>
      </c>
      <c r="K80" s="133"/>
      <c r="L80" s="133"/>
      <c r="M80" s="133"/>
      <c r="N80" s="133"/>
      <c r="O80" s="133"/>
      <c r="P80" s="133"/>
      <c r="Q80" s="139"/>
    </row>
    <row r="81" spans="1:10" s="434" customFormat="1" ht="12.75">
      <c r="A81" s="431"/>
      <c r="B81" s="218"/>
      <c r="C81" s="218" t="s">
        <v>1418</v>
      </c>
      <c r="D81" s="998"/>
      <c r="E81" s="432">
        <f>14*1.2</f>
        <v>16.8</v>
      </c>
      <c r="F81" s="433"/>
      <c r="G81" s="433"/>
      <c r="H81" s="332"/>
      <c r="I81" s="333"/>
      <c r="J81" s="334"/>
    </row>
    <row r="82" spans="1:17" s="22" customFormat="1" ht="21.75" customHeight="1">
      <c r="A82" s="196" t="s">
        <v>1715</v>
      </c>
      <c r="B82" s="809" t="s">
        <v>1386</v>
      </c>
      <c r="C82" s="199" t="s">
        <v>1387</v>
      </c>
      <c r="D82" s="917" t="s">
        <v>2766</v>
      </c>
      <c r="E82" s="198" t="s">
        <v>1748</v>
      </c>
      <c r="F82" s="332">
        <f>F80</f>
        <v>16.8</v>
      </c>
      <c r="G82" s="332"/>
      <c r="H82" s="332">
        <f>$F82*G82</f>
        <v>0</v>
      </c>
      <c r="I82" s="333">
        <v>0.572</v>
      </c>
      <c r="J82" s="334">
        <f>F82*I82</f>
        <v>9.6096</v>
      </c>
      <c r="K82" s="133"/>
      <c r="L82" s="133"/>
      <c r="M82" s="133"/>
      <c r="N82" s="133"/>
      <c r="O82" s="133"/>
      <c r="P82" s="133"/>
      <c r="Q82" s="139"/>
    </row>
    <row r="83" spans="1:17" s="22" customFormat="1" ht="21.75" customHeight="1">
      <c r="A83" s="196" t="s">
        <v>1719</v>
      </c>
      <c r="B83" s="809" t="s">
        <v>1388</v>
      </c>
      <c r="C83" s="199" t="s">
        <v>1389</v>
      </c>
      <c r="D83" s="917" t="s">
        <v>2766</v>
      </c>
      <c r="E83" s="198" t="s">
        <v>1709</v>
      </c>
      <c r="F83" s="332">
        <f>F82</f>
        <v>16.8</v>
      </c>
      <c r="G83" s="332"/>
      <c r="H83" s="332">
        <f>$F83*G83</f>
        <v>0</v>
      </c>
      <c r="I83" s="333">
        <v>0.308</v>
      </c>
      <c r="J83" s="334">
        <f>F83*I83</f>
        <v>5.1744</v>
      </c>
      <c r="K83" s="133"/>
      <c r="L83" s="133"/>
      <c r="M83" s="133"/>
      <c r="N83" s="133"/>
      <c r="O83" s="133"/>
      <c r="P83" s="133"/>
      <c r="Q83" s="139"/>
    </row>
    <row r="84" spans="1:17" s="22" customFormat="1" ht="13.5" customHeight="1">
      <c r="A84" s="196"/>
      <c r="B84" s="197"/>
      <c r="C84" s="199"/>
      <c r="D84" s="917"/>
      <c r="E84" s="198"/>
      <c r="F84" s="332"/>
      <c r="G84" s="332"/>
      <c r="H84" s="332"/>
      <c r="I84" s="333"/>
      <c r="J84" s="334"/>
      <c r="K84" s="133"/>
      <c r="L84" s="133"/>
      <c r="M84" s="133"/>
      <c r="N84" s="133"/>
      <c r="O84" s="133"/>
      <c r="P84" s="133"/>
      <c r="Q84" s="139"/>
    </row>
    <row r="85" spans="1:17" s="22" customFormat="1" ht="24" customHeight="1">
      <c r="A85" s="196" t="s">
        <v>1722</v>
      </c>
      <c r="B85" s="197" t="s">
        <v>2536</v>
      </c>
      <c r="C85" s="199" t="s">
        <v>2537</v>
      </c>
      <c r="D85" s="917" t="s">
        <v>2766</v>
      </c>
      <c r="E85" s="198" t="s">
        <v>1783</v>
      </c>
      <c r="F85" s="332">
        <f>J79+J80+J82+J83</f>
        <v>18.1104</v>
      </c>
      <c r="G85" s="332"/>
      <c r="H85" s="332">
        <f>F85*G85</f>
        <v>0</v>
      </c>
      <c r="I85" s="333">
        <v>0</v>
      </c>
      <c r="J85" s="334"/>
      <c r="K85" s="133"/>
      <c r="L85" s="133"/>
      <c r="M85" s="133"/>
      <c r="N85" s="133"/>
      <c r="O85" s="133"/>
      <c r="P85" s="133"/>
      <c r="Q85" s="139"/>
    </row>
    <row r="86" spans="1:17" s="22" customFormat="1" ht="21.75" customHeight="1">
      <c r="A86" s="196" t="s">
        <v>1725</v>
      </c>
      <c r="B86" s="197" t="s">
        <v>2539</v>
      </c>
      <c r="C86" s="199" t="s">
        <v>2540</v>
      </c>
      <c r="D86" s="917" t="s">
        <v>2766</v>
      </c>
      <c r="E86" s="198" t="s">
        <v>1783</v>
      </c>
      <c r="F86" s="332">
        <f>14*F85</f>
        <v>253.54559999999998</v>
      </c>
      <c r="G86" s="332"/>
      <c r="H86" s="332">
        <f>F86*G86</f>
        <v>0</v>
      </c>
      <c r="I86" s="333">
        <v>0</v>
      </c>
      <c r="J86" s="334"/>
      <c r="K86" s="133"/>
      <c r="L86" s="133"/>
      <c r="M86" s="133"/>
      <c r="N86" s="133"/>
      <c r="O86" s="133"/>
      <c r="P86" s="133"/>
      <c r="Q86" s="139"/>
    </row>
    <row r="87" spans="1:17" s="22" customFormat="1" ht="21.75" customHeight="1">
      <c r="A87" s="196" t="s">
        <v>1728</v>
      </c>
      <c r="B87" s="197" t="s">
        <v>1390</v>
      </c>
      <c r="C87" s="199" t="s">
        <v>1391</v>
      </c>
      <c r="D87" s="917" t="s">
        <v>2766</v>
      </c>
      <c r="E87" s="198" t="s">
        <v>1783</v>
      </c>
      <c r="F87" s="332">
        <f>F85-F88</f>
        <v>14.783999999999999</v>
      </c>
      <c r="G87" s="332"/>
      <c r="H87" s="332">
        <f>F87*G87</f>
        <v>0</v>
      </c>
      <c r="I87" s="333">
        <v>0</v>
      </c>
      <c r="J87" s="334"/>
      <c r="K87" s="133"/>
      <c r="L87" s="133"/>
      <c r="M87" s="133"/>
      <c r="N87" s="133"/>
      <c r="O87" s="133"/>
      <c r="P87" s="133"/>
      <c r="Q87" s="139"/>
    </row>
    <row r="88" spans="1:17" s="22" customFormat="1" ht="21.75" customHeight="1">
      <c r="A88" s="196" t="s">
        <v>1731</v>
      </c>
      <c r="B88" s="445" t="s">
        <v>1392</v>
      </c>
      <c r="C88" s="446" t="s">
        <v>1393</v>
      </c>
      <c r="D88" s="917" t="s">
        <v>2766</v>
      </c>
      <c r="E88" s="447" t="s">
        <v>1783</v>
      </c>
      <c r="F88" s="448">
        <f>J80</f>
        <v>3.3264000000000005</v>
      </c>
      <c r="G88" s="448"/>
      <c r="H88" s="448">
        <f>F88*G88</f>
        <v>0</v>
      </c>
      <c r="I88" s="449">
        <v>0</v>
      </c>
      <c r="J88" s="450"/>
      <c r="K88" s="133"/>
      <c r="L88" s="133"/>
      <c r="M88" s="133"/>
      <c r="N88" s="133"/>
      <c r="O88" s="133"/>
      <c r="P88" s="133"/>
      <c r="Q88" s="139"/>
    </row>
    <row r="89" spans="1:17" s="22" customFormat="1" ht="11.25" customHeight="1" thickBot="1">
      <c r="A89" s="255"/>
      <c r="B89" s="256"/>
      <c r="C89" s="264"/>
      <c r="D89" s="968"/>
      <c r="E89" s="257"/>
      <c r="F89" s="368"/>
      <c r="G89" s="368"/>
      <c r="H89" s="368"/>
      <c r="I89" s="369"/>
      <c r="J89" s="370"/>
      <c r="K89" s="133"/>
      <c r="L89" s="133"/>
      <c r="M89" s="133"/>
      <c r="N89" s="133"/>
      <c r="O89" s="133"/>
      <c r="P89" s="133"/>
      <c r="Q89" s="139"/>
    </row>
    <row r="90" spans="1:17" ht="16.5" customHeight="1" thickBot="1">
      <c r="A90" s="435" t="s">
        <v>1618</v>
      </c>
      <c r="B90" s="436" t="s">
        <v>1628</v>
      </c>
      <c r="C90" s="437" t="s">
        <v>1847</v>
      </c>
      <c r="D90" s="1219"/>
      <c r="E90" s="436"/>
      <c r="F90" s="438"/>
      <c r="G90" s="438"/>
      <c r="H90" s="439">
        <f>SUM(H91:H105)</f>
        <v>0</v>
      </c>
      <c r="I90" s="440"/>
      <c r="J90" s="441">
        <f>SUM(J91:J103)</f>
        <v>11.060868</v>
      </c>
      <c r="K90"/>
      <c r="L90"/>
      <c r="M90"/>
      <c r="N90"/>
      <c r="O90"/>
      <c r="P90"/>
      <c r="Q90"/>
    </row>
    <row r="91" spans="1:60" s="429" customFormat="1" ht="12.75">
      <c r="A91" s="810"/>
      <c r="B91" s="811"/>
      <c r="C91" s="685"/>
      <c r="D91" s="999"/>
      <c r="E91" s="812"/>
      <c r="F91" s="813"/>
      <c r="G91" s="814"/>
      <c r="H91" s="813"/>
      <c r="I91" s="815"/>
      <c r="J91" s="816"/>
      <c r="K91" s="817"/>
      <c r="L91" s="817"/>
      <c r="M91" s="817"/>
      <c r="N91" s="817"/>
      <c r="O91" s="817"/>
      <c r="P91" s="817"/>
      <c r="Q91" s="817"/>
      <c r="R91" s="817"/>
      <c r="S91" s="817"/>
      <c r="T91" s="817"/>
      <c r="U91" s="817"/>
      <c r="V91" s="817"/>
      <c r="W91" s="817"/>
      <c r="X91" s="817"/>
      <c r="Y91" s="817"/>
      <c r="Z91" s="817"/>
      <c r="AA91" s="817"/>
      <c r="AB91" s="817"/>
      <c r="AC91" s="817"/>
      <c r="AD91" s="817"/>
      <c r="AE91" s="817"/>
      <c r="AF91" s="817"/>
      <c r="AG91" s="817"/>
      <c r="AH91" s="817"/>
      <c r="AI91" s="817"/>
      <c r="AJ91" s="817"/>
      <c r="AK91" s="817"/>
      <c r="AL91" s="817"/>
      <c r="AM91" s="817"/>
      <c r="AN91" s="817"/>
      <c r="AO91" s="817"/>
      <c r="AP91" s="817"/>
      <c r="AQ91" s="817"/>
      <c r="AR91" s="817"/>
      <c r="AS91" s="817"/>
      <c r="AT91" s="817"/>
      <c r="AU91" s="817"/>
      <c r="AV91" s="817"/>
      <c r="AW91" s="817"/>
      <c r="AX91" s="817"/>
      <c r="AY91" s="817"/>
      <c r="AZ91" s="817"/>
      <c r="BA91" s="817"/>
      <c r="BB91" s="817"/>
      <c r="BC91" s="817"/>
      <c r="BD91" s="817"/>
      <c r="BE91" s="817"/>
      <c r="BF91" s="817"/>
      <c r="BG91" s="817"/>
      <c r="BH91" s="817"/>
    </row>
    <row r="92" spans="1:60" s="22" customFormat="1" ht="21.75" customHeight="1">
      <c r="A92" s="196" t="s">
        <v>1734</v>
      </c>
      <c r="B92" s="197" t="s">
        <v>1394</v>
      </c>
      <c r="C92" s="199" t="s">
        <v>1395</v>
      </c>
      <c r="D92" s="917" t="s">
        <v>2766</v>
      </c>
      <c r="E92" s="198" t="s">
        <v>1826</v>
      </c>
      <c r="F92" s="332">
        <f>F79</f>
        <v>14</v>
      </c>
      <c r="G92" s="332"/>
      <c r="H92" s="332">
        <f>F92*G92</f>
        <v>0</v>
      </c>
      <c r="I92" s="333">
        <v>0</v>
      </c>
      <c r="J92" s="334">
        <f>F92*I92</f>
        <v>0</v>
      </c>
      <c r="K92" s="133"/>
      <c r="L92" s="133"/>
      <c r="M92" s="133"/>
      <c r="N92" s="133"/>
      <c r="O92" s="133"/>
      <c r="P92" s="133"/>
      <c r="Q92" s="139"/>
      <c r="R92" s="22">
        <v>2</v>
      </c>
      <c r="AB92" s="22">
        <v>12</v>
      </c>
      <c r="AC92" s="22">
        <v>0</v>
      </c>
      <c r="AD92" s="22">
        <v>39</v>
      </c>
      <c r="BC92" s="22">
        <v>1</v>
      </c>
      <c r="BD92" s="22">
        <f>IF(BC92=1,H92,0)</f>
        <v>0</v>
      </c>
      <c r="BE92" s="22">
        <f>IF(BC92=2,H92,0)</f>
        <v>0</v>
      </c>
      <c r="BF92" s="22">
        <f>IF(BC92=3,H92,0)</f>
        <v>0</v>
      </c>
      <c r="BG92" s="22">
        <f>IF(BC92=4,H92,0)</f>
        <v>0</v>
      </c>
      <c r="BH92" s="22">
        <f>IF(BC92=5,H92,0)</f>
        <v>0</v>
      </c>
    </row>
    <row r="93" spans="1:60" s="430" customFormat="1" ht="24">
      <c r="A93" s="196" t="s">
        <v>1753</v>
      </c>
      <c r="B93" s="286" t="s">
        <v>1396</v>
      </c>
      <c r="C93" s="286" t="s">
        <v>1397</v>
      </c>
      <c r="D93" s="917" t="s">
        <v>2766</v>
      </c>
      <c r="E93" s="818" t="s">
        <v>1748</v>
      </c>
      <c r="F93" s="819">
        <f>SUM(E94)</f>
        <v>9.799999999999999</v>
      </c>
      <c r="G93" s="819"/>
      <c r="H93" s="819">
        <f>$F93*G93</f>
        <v>0</v>
      </c>
      <c r="I93" s="333">
        <v>0.12966</v>
      </c>
      <c r="J93" s="334">
        <f>F93*I93</f>
        <v>1.270668</v>
      </c>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820"/>
      <c r="AM93" s="820"/>
      <c r="AN93" s="820"/>
      <c r="AO93" s="820"/>
      <c r="AP93" s="820"/>
      <c r="AQ93" s="820"/>
      <c r="AR93" s="820"/>
      <c r="AS93" s="820"/>
      <c r="AT93" s="820"/>
      <c r="AU93" s="820"/>
      <c r="AV93" s="820"/>
      <c r="AW93" s="820"/>
      <c r="AX93" s="820"/>
      <c r="AY93" s="820"/>
      <c r="AZ93" s="820"/>
      <c r="BA93" s="820"/>
      <c r="BB93" s="820"/>
      <c r="BC93" s="820"/>
      <c r="BD93" s="820"/>
      <c r="BE93" s="820"/>
      <c r="BF93" s="820"/>
      <c r="BG93" s="820"/>
      <c r="BH93" s="820"/>
    </row>
    <row r="94" spans="1:10" s="434" customFormat="1" ht="12.75">
      <c r="A94" s="196"/>
      <c r="B94" s="218"/>
      <c r="C94" s="218" t="s">
        <v>1419</v>
      </c>
      <c r="D94" s="998"/>
      <c r="E94" s="432">
        <f>14*0.7</f>
        <v>9.799999999999999</v>
      </c>
      <c r="F94" s="367"/>
      <c r="G94" s="367"/>
      <c r="H94" s="367"/>
      <c r="I94" s="333"/>
      <c r="J94" s="334"/>
    </row>
    <row r="95" spans="1:60" s="430" customFormat="1" ht="24">
      <c r="A95" s="196" t="s">
        <v>1764</v>
      </c>
      <c r="B95" s="286" t="s">
        <v>1399</v>
      </c>
      <c r="C95" s="286" t="s">
        <v>1400</v>
      </c>
      <c r="D95" s="917" t="s">
        <v>2766</v>
      </c>
      <c r="E95" s="818" t="s">
        <v>1748</v>
      </c>
      <c r="F95" s="819">
        <f>F93</f>
        <v>9.799999999999999</v>
      </c>
      <c r="G95" s="819"/>
      <c r="H95" s="819">
        <f aca="true" t="shared" si="6" ref="H95:H102">$F95*G95</f>
        <v>0</v>
      </c>
      <c r="I95" s="333">
        <v>0.00071</v>
      </c>
      <c r="J95" s="334">
        <f aca="true" t="shared" si="7" ref="J95:J100">F95*I95</f>
        <v>0.006958</v>
      </c>
      <c r="K95" s="820"/>
      <c r="L95" s="820"/>
      <c r="M95" s="820"/>
      <c r="N95" s="820"/>
      <c r="O95" s="820"/>
      <c r="P95" s="820"/>
      <c r="Q95" s="820"/>
      <c r="R95" s="820"/>
      <c r="S95" s="820"/>
      <c r="T95" s="820"/>
      <c r="U95" s="820"/>
      <c r="V95" s="820"/>
      <c r="W95" s="820"/>
      <c r="X95" s="820"/>
      <c r="Y95" s="820"/>
      <c r="Z95" s="820"/>
      <c r="AA95" s="820"/>
      <c r="AB95" s="820"/>
      <c r="AC95" s="820"/>
      <c r="AD95" s="820"/>
      <c r="AE95" s="820"/>
      <c r="AF95" s="820"/>
      <c r="AG95" s="820"/>
      <c r="AH95" s="820"/>
      <c r="AI95" s="820"/>
      <c r="AJ95" s="820"/>
      <c r="AK95" s="820"/>
      <c r="AL95" s="820"/>
      <c r="AM95" s="820"/>
      <c r="AN95" s="820"/>
      <c r="AO95" s="820"/>
      <c r="AP95" s="820"/>
      <c r="AQ95" s="820"/>
      <c r="AR95" s="820"/>
      <c r="AS95" s="820"/>
      <c r="AT95" s="820"/>
      <c r="AU95" s="820"/>
      <c r="AV95" s="820"/>
      <c r="AW95" s="820"/>
      <c r="AX95" s="820"/>
      <c r="AY95" s="820"/>
      <c r="AZ95" s="820"/>
      <c r="BA95" s="820"/>
      <c r="BB95" s="820"/>
      <c r="BC95" s="820"/>
      <c r="BD95" s="820"/>
      <c r="BE95" s="820"/>
      <c r="BF95" s="820"/>
      <c r="BG95" s="820"/>
      <c r="BH95" s="820"/>
    </row>
    <row r="96" spans="1:60" s="430" customFormat="1" ht="24">
      <c r="A96" s="196" t="s">
        <v>1737</v>
      </c>
      <c r="B96" s="286" t="s">
        <v>1401</v>
      </c>
      <c r="C96" s="286" t="s">
        <v>1402</v>
      </c>
      <c r="D96" s="917" t="s">
        <v>2766</v>
      </c>
      <c r="E96" s="818" t="s">
        <v>1748</v>
      </c>
      <c r="F96" s="819">
        <f>F93</f>
        <v>9.799999999999999</v>
      </c>
      <c r="G96" s="819"/>
      <c r="H96" s="819">
        <f t="shared" si="6"/>
        <v>0</v>
      </c>
      <c r="I96" s="333">
        <v>0.12966</v>
      </c>
      <c r="J96" s="334">
        <f t="shared" si="7"/>
        <v>1.270668</v>
      </c>
      <c r="K96" s="820"/>
      <c r="L96" s="820"/>
      <c r="M96" s="820"/>
      <c r="N96" s="820"/>
      <c r="O96" s="820"/>
      <c r="P96" s="820"/>
      <c r="Q96" s="820"/>
      <c r="R96" s="820"/>
      <c r="S96" s="820"/>
      <c r="T96" s="820"/>
      <c r="U96" s="820"/>
      <c r="V96" s="820"/>
      <c r="W96" s="820"/>
      <c r="X96" s="820"/>
      <c r="Y96" s="820"/>
      <c r="Z96" s="820"/>
      <c r="AA96" s="820"/>
      <c r="AB96" s="820"/>
      <c r="AC96" s="820"/>
      <c r="AD96" s="820"/>
      <c r="AE96" s="820"/>
      <c r="AF96" s="820"/>
      <c r="AG96" s="820"/>
      <c r="AH96" s="820"/>
      <c r="AI96" s="820"/>
      <c r="AJ96" s="820"/>
      <c r="AK96" s="820"/>
      <c r="AL96" s="820"/>
      <c r="AM96" s="820"/>
      <c r="AN96" s="820"/>
      <c r="AO96" s="820"/>
      <c r="AP96" s="820"/>
      <c r="AQ96" s="820"/>
      <c r="AR96" s="820"/>
      <c r="AS96" s="820"/>
      <c r="AT96" s="820"/>
      <c r="AU96" s="820"/>
      <c r="AV96" s="820"/>
      <c r="AW96" s="820"/>
      <c r="AX96" s="820"/>
      <c r="AY96" s="820"/>
      <c r="AZ96" s="820"/>
      <c r="BA96" s="820"/>
      <c r="BB96" s="820"/>
      <c r="BC96" s="820"/>
      <c r="BD96" s="820"/>
      <c r="BE96" s="820"/>
      <c r="BF96" s="820"/>
      <c r="BG96" s="820"/>
      <c r="BH96" s="820"/>
    </row>
    <row r="97" spans="1:60" s="430" customFormat="1" ht="24">
      <c r="A97" s="196" t="s">
        <v>1740</v>
      </c>
      <c r="B97" s="286" t="s">
        <v>1399</v>
      </c>
      <c r="C97" s="286" t="s">
        <v>1400</v>
      </c>
      <c r="D97" s="917" t="s">
        <v>2766</v>
      </c>
      <c r="E97" s="818" t="s">
        <v>1748</v>
      </c>
      <c r="F97" s="819">
        <f aca="true" t="shared" si="8" ref="F97:F102">F96</f>
        <v>9.799999999999999</v>
      </c>
      <c r="G97" s="819"/>
      <c r="H97" s="819">
        <f t="shared" si="6"/>
        <v>0</v>
      </c>
      <c r="I97" s="333">
        <v>0.00071</v>
      </c>
      <c r="J97" s="334">
        <f t="shared" si="7"/>
        <v>0.006958</v>
      </c>
      <c r="K97" s="820"/>
      <c r="L97" s="820"/>
      <c r="M97" s="820"/>
      <c r="N97" s="820"/>
      <c r="O97" s="820"/>
      <c r="P97" s="820"/>
      <c r="Q97" s="820"/>
      <c r="R97" s="820"/>
      <c r="S97" s="820"/>
      <c r="T97" s="820"/>
      <c r="U97" s="820"/>
      <c r="V97" s="820"/>
      <c r="W97" s="820"/>
      <c r="X97" s="820"/>
      <c r="Y97" s="820"/>
      <c r="Z97" s="820"/>
      <c r="AA97" s="820"/>
      <c r="AB97" s="820"/>
      <c r="AC97" s="820"/>
      <c r="AD97" s="820"/>
      <c r="AE97" s="820"/>
      <c r="AF97" s="820"/>
      <c r="AG97" s="820"/>
      <c r="AH97" s="820"/>
      <c r="AI97" s="820"/>
      <c r="AJ97" s="820"/>
      <c r="AK97" s="820"/>
      <c r="AL97" s="820"/>
      <c r="AM97" s="820"/>
      <c r="AN97" s="820"/>
      <c r="AO97" s="820"/>
      <c r="AP97" s="820"/>
      <c r="AQ97" s="820"/>
      <c r="AR97" s="820"/>
      <c r="AS97" s="820"/>
      <c r="AT97" s="820"/>
      <c r="AU97" s="820"/>
      <c r="AV97" s="820"/>
      <c r="AW97" s="820"/>
      <c r="AX97" s="820"/>
      <c r="AY97" s="820"/>
      <c r="AZ97" s="820"/>
      <c r="BA97" s="820"/>
      <c r="BB97" s="820"/>
      <c r="BC97" s="820"/>
      <c r="BD97" s="820"/>
      <c r="BE97" s="820"/>
      <c r="BF97" s="820"/>
      <c r="BG97" s="820"/>
      <c r="BH97" s="820"/>
    </row>
    <row r="98" spans="1:60" s="430" customFormat="1" ht="24">
      <c r="A98" s="196" t="s">
        <v>1776</v>
      </c>
      <c r="B98" s="286" t="s">
        <v>1403</v>
      </c>
      <c r="C98" s="286" t="s">
        <v>1404</v>
      </c>
      <c r="D98" s="917" t="s">
        <v>2766</v>
      </c>
      <c r="E98" s="818" t="s">
        <v>1748</v>
      </c>
      <c r="F98" s="819">
        <f t="shared" si="8"/>
        <v>9.799999999999999</v>
      </c>
      <c r="G98" s="819"/>
      <c r="H98" s="819">
        <f t="shared" si="6"/>
        <v>0</v>
      </c>
      <c r="I98" s="333">
        <v>0.13188</v>
      </c>
      <c r="J98" s="334">
        <f t="shared" si="7"/>
        <v>1.2924239999999998</v>
      </c>
      <c r="K98" s="820"/>
      <c r="L98" s="820"/>
      <c r="M98" s="820"/>
      <c r="N98" s="820"/>
      <c r="O98" s="820"/>
      <c r="P98" s="820"/>
      <c r="Q98" s="820"/>
      <c r="R98" s="820"/>
      <c r="S98" s="820"/>
      <c r="T98" s="820"/>
      <c r="U98" s="820"/>
      <c r="V98" s="820"/>
      <c r="W98" s="820"/>
      <c r="X98" s="820"/>
      <c r="Y98" s="820"/>
      <c r="Z98" s="820"/>
      <c r="AA98" s="820"/>
      <c r="AB98" s="820"/>
      <c r="AC98" s="820"/>
      <c r="AD98" s="820"/>
      <c r="AE98" s="820"/>
      <c r="AF98" s="820"/>
      <c r="AG98" s="820"/>
      <c r="AH98" s="820"/>
      <c r="AI98" s="820"/>
      <c r="AJ98" s="820"/>
      <c r="AK98" s="820"/>
      <c r="AL98" s="820"/>
      <c r="AM98" s="820"/>
      <c r="AN98" s="820"/>
      <c r="AO98" s="820"/>
      <c r="AP98" s="820"/>
      <c r="AQ98" s="820"/>
      <c r="AR98" s="820"/>
      <c r="AS98" s="820"/>
      <c r="AT98" s="820"/>
      <c r="AU98" s="820"/>
      <c r="AV98" s="820"/>
      <c r="AW98" s="820"/>
      <c r="AX98" s="820"/>
      <c r="AY98" s="820"/>
      <c r="AZ98" s="820"/>
      <c r="BA98" s="820"/>
      <c r="BB98" s="820"/>
      <c r="BC98" s="820"/>
      <c r="BD98" s="820"/>
      <c r="BE98" s="820"/>
      <c r="BF98" s="820"/>
      <c r="BG98" s="820"/>
      <c r="BH98" s="820"/>
    </row>
    <row r="99" spans="1:60" s="430" customFormat="1" ht="24">
      <c r="A99" s="196" t="s">
        <v>1780</v>
      </c>
      <c r="B99" s="286" t="s">
        <v>1399</v>
      </c>
      <c r="C99" s="286" t="s">
        <v>1405</v>
      </c>
      <c r="D99" s="917" t="s">
        <v>2766</v>
      </c>
      <c r="E99" s="818" t="s">
        <v>1748</v>
      </c>
      <c r="F99" s="819">
        <f t="shared" si="8"/>
        <v>9.799999999999999</v>
      </c>
      <c r="G99" s="819"/>
      <c r="H99" s="819">
        <f t="shared" si="6"/>
        <v>0</v>
      </c>
      <c r="I99" s="333">
        <v>0.00071</v>
      </c>
      <c r="J99" s="334">
        <f t="shared" si="7"/>
        <v>0.006958</v>
      </c>
      <c r="K99" s="820"/>
      <c r="L99" s="820"/>
      <c r="M99" s="820"/>
      <c r="N99" s="820"/>
      <c r="O99" s="820"/>
      <c r="P99" s="820"/>
      <c r="Q99" s="820"/>
      <c r="R99" s="820"/>
      <c r="S99" s="820"/>
      <c r="T99" s="820"/>
      <c r="U99" s="820"/>
      <c r="V99" s="820"/>
      <c r="W99" s="820"/>
      <c r="X99" s="820"/>
      <c r="Y99" s="820"/>
      <c r="Z99" s="820"/>
      <c r="AA99" s="820"/>
      <c r="AB99" s="820"/>
      <c r="AC99" s="820"/>
      <c r="AD99" s="820"/>
      <c r="AE99" s="820"/>
      <c r="AF99" s="820"/>
      <c r="AG99" s="820"/>
      <c r="AH99" s="820"/>
      <c r="AI99" s="820"/>
      <c r="AJ99" s="820"/>
      <c r="AK99" s="820"/>
      <c r="AL99" s="820"/>
      <c r="AM99" s="820"/>
      <c r="AN99" s="820"/>
      <c r="AO99" s="820"/>
      <c r="AP99" s="820"/>
      <c r="AQ99" s="820"/>
      <c r="AR99" s="820"/>
      <c r="AS99" s="820"/>
      <c r="AT99" s="820"/>
      <c r="AU99" s="820"/>
      <c r="AV99" s="820"/>
      <c r="AW99" s="820"/>
      <c r="AX99" s="820"/>
      <c r="AY99" s="820"/>
      <c r="AZ99" s="820"/>
      <c r="BA99" s="820"/>
      <c r="BB99" s="820"/>
      <c r="BC99" s="820"/>
      <c r="BD99" s="820"/>
      <c r="BE99" s="820"/>
      <c r="BF99" s="820"/>
      <c r="BG99" s="820"/>
      <c r="BH99" s="820"/>
    </row>
    <row r="100" spans="1:60" s="430" customFormat="1" ht="24">
      <c r="A100" s="196" t="s">
        <v>1785</v>
      </c>
      <c r="B100" s="286" t="s">
        <v>1406</v>
      </c>
      <c r="C100" s="286" t="s">
        <v>1407</v>
      </c>
      <c r="D100" s="917" t="s">
        <v>2766</v>
      </c>
      <c r="E100" s="818" t="s">
        <v>1748</v>
      </c>
      <c r="F100" s="819">
        <f t="shared" si="8"/>
        <v>9.799999999999999</v>
      </c>
      <c r="G100" s="819"/>
      <c r="H100" s="819">
        <f t="shared" si="6"/>
        <v>0</v>
      </c>
      <c r="I100" s="333">
        <v>0.00601</v>
      </c>
      <c r="J100" s="334">
        <f t="shared" si="7"/>
        <v>0.05889799999999999</v>
      </c>
      <c r="K100" s="820"/>
      <c r="L100" s="820"/>
      <c r="M100" s="820"/>
      <c r="N100" s="820"/>
      <c r="O100" s="820"/>
      <c r="P100" s="820"/>
      <c r="Q100" s="820"/>
      <c r="R100" s="820"/>
      <c r="S100" s="820"/>
      <c r="T100" s="820"/>
      <c r="U100" s="820"/>
      <c r="V100" s="820"/>
      <c r="W100" s="820"/>
      <c r="X100" s="820"/>
      <c r="Y100" s="820"/>
      <c r="Z100" s="820"/>
      <c r="AA100" s="820"/>
      <c r="AB100" s="820"/>
      <c r="AC100" s="820"/>
      <c r="AD100" s="820"/>
      <c r="AE100" s="820"/>
      <c r="AF100" s="820"/>
      <c r="AG100" s="820"/>
      <c r="AH100" s="820"/>
      <c r="AI100" s="820"/>
      <c r="AJ100" s="820"/>
      <c r="AK100" s="820"/>
      <c r="AL100" s="820"/>
      <c r="AM100" s="820"/>
      <c r="AN100" s="820"/>
      <c r="AO100" s="820"/>
      <c r="AP100" s="820"/>
      <c r="AQ100" s="820"/>
      <c r="AR100" s="820"/>
      <c r="AS100" s="820"/>
      <c r="AT100" s="820"/>
      <c r="AU100" s="820"/>
      <c r="AV100" s="820"/>
      <c r="AW100" s="820"/>
      <c r="AX100" s="820"/>
      <c r="AY100" s="820"/>
      <c r="AZ100" s="820"/>
      <c r="BA100" s="820"/>
      <c r="BB100" s="820"/>
      <c r="BC100" s="820"/>
      <c r="BD100" s="820"/>
      <c r="BE100" s="820"/>
      <c r="BF100" s="820"/>
      <c r="BG100" s="820"/>
      <c r="BH100" s="820"/>
    </row>
    <row r="101" spans="1:60" s="430" customFormat="1" ht="24">
      <c r="A101" s="196" t="s">
        <v>1790</v>
      </c>
      <c r="B101" s="286" t="s">
        <v>1408</v>
      </c>
      <c r="C101" s="286" t="s">
        <v>1409</v>
      </c>
      <c r="D101" s="917" t="s">
        <v>2766</v>
      </c>
      <c r="E101" s="818" t="s">
        <v>1748</v>
      </c>
      <c r="F101" s="819">
        <f t="shared" si="8"/>
        <v>9.799999999999999</v>
      </c>
      <c r="G101" s="819"/>
      <c r="H101" s="819">
        <f t="shared" si="6"/>
        <v>0</v>
      </c>
      <c r="I101" s="333">
        <v>0.32218</v>
      </c>
      <c r="J101" s="334">
        <f>F101*I101</f>
        <v>3.157364</v>
      </c>
      <c r="K101" s="820"/>
      <c r="L101" s="820"/>
      <c r="M101" s="820"/>
      <c r="N101" s="820"/>
      <c r="O101" s="820"/>
      <c r="P101" s="820"/>
      <c r="Q101" s="820"/>
      <c r="R101" s="820"/>
      <c r="S101" s="820"/>
      <c r="T101" s="820"/>
      <c r="U101" s="820"/>
      <c r="V101" s="820"/>
      <c r="W101" s="820"/>
      <c r="X101" s="820"/>
      <c r="Y101" s="820"/>
      <c r="Z101" s="820"/>
      <c r="AA101" s="820"/>
      <c r="AB101" s="820"/>
      <c r="AC101" s="820"/>
      <c r="AD101" s="820"/>
      <c r="AE101" s="820"/>
      <c r="AF101" s="820"/>
      <c r="AG101" s="820"/>
      <c r="AH101" s="820"/>
      <c r="AI101" s="820"/>
      <c r="AJ101" s="820"/>
      <c r="AK101" s="820"/>
      <c r="AL101" s="820"/>
      <c r="AM101" s="820"/>
      <c r="AN101" s="820"/>
      <c r="AO101" s="820"/>
      <c r="AP101" s="820"/>
      <c r="AQ101" s="820"/>
      <c r="AR101" s="820"/>
      <c r="AS101" s="820"/>
      <c r="AT101" s="820"/>
      <c r="AU101" s="820"/>
      <c r="AV101" s="820"/>
      <c r="AW101" s="820"/>
      <c r="AX101" s="820"/>
      <c r="AY101" s="820"/>
      <c r="AZ101" s="820"/>
      <c r="BA101" s="820"/>
      <c r="BB101" s="820"/>
      <c r="BC101" s="820"/>
      <c r="BD101" s="820"/>
      <c r="BE101" s="820"/>
      <c r="BF101" s="820"/>
      <c r="BG101" s="820"/>
      <c r="BH101" s="820"/>
    </row>
    <row r="102" spans="1:60" s="430" customFormat="1" ht="24">
      <c r="A102" s="196" t="s">
        <v>1793</v>
      </c>
      <c r="B102" s="286" t="s">
        <v>1410</v>
      </c>
      <c r="C102" s="286" t="s">
        <v>1411</v>
      </c>
      <c r="D102" s="917" t="s">
        <v>2766</v>
      </c>
      <c r="E102" s="818" t="s">
        <v>1748</v>
      </c>
      <c r="F102" s="819">
        <f t="shared" si="8"/>
        <v>9.799999999999999</v>
      </c>
      <c r="G102" s="819"/>
      <c r="H102" s="819">
        <f t="shared" si="6"/>
        <v>0</v>
      </c>
      <c r="I102" s="333">
        <v>0.40714</v>
      </c>
      <c r="J102" s="334">
        <f>F102*I102</f>
        <v>3.9899719999999994</v>
      </c>
      <c r="K102" s="820"/>
      <c r="L102" s="820"/>
      <c r="M102" s="820"/>
      <c r="N102" s="820"/>
      <c r="O102" s="820"/>
      <c r="P102" s="820"/>
      <c r="Q102" s="820"/>
      <c r="R102" s="820"/>
      <c r="S102" s="820"/>
      <c r="T102" s="820"/>
      <c r="U102" s="820"/>
      <c r="V102" s="820"/>
      <c r="W102" s="820"/>
      <c r="X102" s="820"/>
      <c r="Y102" s="820"/>
      <c r="Z102" s="820"/>
      <c r="AA102" s="820"/>
      <c r="AB102" s="820"/>
      <c r="AC102" s="820"/>
      <c r="AD102" s="820"/>
      <c r="AE102" s="820"/>
      <c r="AF102" s="820"/>
      <c r="AG102" s="820"/>
      <c r="AH102" s="820"/>
      <c r="AI102" s="820"/>
      <c r="AJ102" s="820"/>
      <c r="AK102" s="820"/>
      <c r="AL102" s="820"/>
      <c r="AM102" s="820"/>
      <c r="AN102" s="820"/>
      <c r="AO102" s="820"/>
      <c r="AP102" s="820"/>
      <c r="AQ102" s="820"/>
      <c r="AR102" s="820"/>
      <c r="AS102" s="820"/>
      <c r="AT102" s="820"/>
      <c r="AU102" s="820"/>
      <c r="AV102" s="820"/>
      <c r="AW102" s="820"/>
      <c r="AX102" s="820"/>
      <c r="AY102" s="820"/>
      <c r="AZ102" s="820"/>
      <c r="BA102" s="820"/>
      <c r="BB102" s="820"/>
      <c r="BC102" s="820"/>
      <c r="BD102" s="820"/>
      <c r="BE102" s="820"/>
      <c r="BF102" s="820"/>
      <c r="BG102" s="820"/>
      <c r="BH102" s="820"/>
    </row>
    <row r="103" spans="1:10" s="434" customFormat="1" ht="12.75">
      <c r="A103" s="442"/>
      <c r="B103" s="218"/>
      <c r="C103" s="218"/>
      <c r="D103" s="998"/>
      <c r="E103" s="432"/>
      <c r="F103" s="367"/>
      <c r="G103" s="367"/>
      <c r="H103" s="367"/>
      <c r="I103" s="443"/>
      <c r="J103" s="444"/>
    </row>
    <row r="104" spans="1:60" s="430" customFormat="1" ht="17.25" customHeight="1">
      <c r="A104" s="196" t="s">
        <v>1796</v>
      </c>
      <c r="B104" s="286" t="s">
        <v>1412</v>
      </c>
      <c r="C104" s="286" t="s">
        <v>1413</v>
      </c>
      <c r="D104" s="982"/>
      <c r="E104" s="818" t="s">
        <v>1783</v>
      </c>
      <c r="F104" s="819">
        <f>SUM(J92:J103)</f>
        <v>11.060868</v>
      </c>
      <c r="G104" s="819"/>
      <c r="H104" s="819">
        <f>$F104*G104</f>
        <v>0</v>
      </c>
      <c r="I104" s="821"/>
      <c r="J104" s="822"/>
      <c r="K104" s="820"/>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820"/>
      <c r="AI104" s="820"/>
      <c r="AJ104" s="820"/>
      <c r="AK104" s="820"/>
      <c r="AL104" s="820"/>
      <c r="AM104" s="820"/>
      <c r="AN104" s="820"/>
      <c r="AO104" s="820"/>
      <c r="AP104" s="820"/>
      <c r="AQ104" s="820"/>
      <c r="AR104" s="820"/>
      <c r="AS104" s="820"/>
      <c r="AT104" s="820"/>
      <c r="AU104" s="820"/>
      <c r="AV104" s="820"/>
      <c r="AW104" s="820"/>
      <c r="AX104" s="820"/>
      <c r="AY104" s="820"/>
      <c r="AZ104" s="820"/>
      <c r="BA104" s="820"/>
      <c r="BB104" s="820"/>
      <c r="BC104" s="820"/>
      <c r="BD104" s="820"/>
      <c r="BE104" s="820"/>
      <c r="BF104" s="820"/>
      <c r="BG104" s="820"/>
      <c r="BH104" s="820"/>
    </row>
    <row r="105" spans="1:24" s="211" customFormat="1" ht="12" customHeight="1" thickBot="1">
      <c r="A105" s="312"/>
      <c r="B105" s="313"/>
      <c r="C105" s="242"/>
      <c r="D105" s="989"/>
      <c r="E105" s="314"/>
      <c r="F105" s="315"/>
      <c r="G105" s="779"/>
      <c r="H105" s="315"/>
      <c r="I105" s="414"/>
      <c r="J105" s="415"/>
      <c r="K105" s="208"/>
      <c r="L105" s="208"/>
      <c r="M105" s="208"/>
      <c r="N105" s="208"/>
      <c r="O105" s="209"/>
      <c r="P105" s="209"/>
      <c r="Q105" s="209"/>
      <c r="R105" s="209"/>
      <c r="S105" s="210"/>
      <c r="T105" s="210"/>
      <c r="U105" s="210"/>
      <c r="V105" s="210"/>
      <c r="W105" s="210"/>
      <c r="X105" s="210"/>
    </row>
    <row r="106" spans="1:17" s="18" customFormat="1" ht="29.25" customHeight="1">
      <c r="A106" s="477"/>
      <c r="B106" s="478"/>
      <c r="C106" s="479" t="s">
        <v>1420</v>
      </c>
      <c r="D106" s="480"/>
      <c r="E106" s="480"/>
      <c r="F106" s="480"/>
      <c r="G106" s="481"/>
      <c r="H106" s="808">
        <f>H107</f>
        <v>0</v>
      </c>
      <c r="I106" s="482"/>
      <c r="J106" s="483"/>
      <c r="K106" s="132"/>
      <c r="L106" s="132"/>
      <c r="M106" s="132"/>
      <c r="N106" s="132"/>
      <c r="O106" s="132"/>
      <c r="P106" s="132"/>
      <c r="Q106" s="138"/>
    </row>
    <row r="107" spans="1:17" ht="22.5" customHeight="1" thickBot="1">
      <c r="A107" s="435" t="s">
        <v>1611</v>
      </c>
      <c r="B107" s="436" t="s">
        <v>1620</v>
      </c>
      <c r="C107" s="437" t="s">
        <v>1421</v>
      </c>
      <c r="D107" s="1219"/>
      <c r="E107" s="436"/>
      <c r="F107" s="438"/>
      <c r="G107" s="438"/>
      <c r="H107" s="439">
        <f>SUM(H108:H116)</f>
        <v>0</v>
      </c>
      <c r="I107" s="440"/>
      <c r="J107" s="441">
        <f>SUM(J108:J113)</f>
        <v>111.1057</v>
      </c>
      <c r="K107"/>
      <c r="L107"/>
      <c r="M107"/>
      <c r="N107"/>
      <c r="O107"/>
      <c r="P107"/>
      <c r="Q107"/>
    </row>
    <row r="108" spans="1:60" s="429" customFormat="1" ht="12.75">
      <c r="A108" s="810"/>
      <c r="B108" s="811"/>
      <c r="C108" s="685"/>
      <c r="D108" s="999"/>
      <c r="E108" s="812"/>
      <c r="F108" s="813"/>
      <c r="G108" s="814"/>
      <c r="H108" s="813"/>
      <c r="I108" s="815"/>
      <c r="J108" s="816"/>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7"/>
      <c r="AY108" s="817"/>
      <c r="AZ108" s="817"/>
      <c r="BA108" s="817"/>
      <c r="BB108" s="817"/>
      <c r="BC108" s="817"/>
      <c r="BD108" s="817"/>
      <c r="BE108" s="817"/>
      <c r="BF108" s="817"/>
      <c r="BG108" s="817"/>
      <c r="BH108" s="817"/>
    </row>
    <row r="109" spans="1:60" s="476" customFormat="1" ht="30" customHeight="1">
      <c r="A109" s="469" t="s">
        <v>1706</v>
      </c>
      <c r="B109" s="470" t="s">
        <v>1422</v>
      </c>
      <c r="C109" s="471" t="s">
        <v>1423</v>
      </c>
      <c r="D109" s="997" t="s">
        <v>2798</v>
      </c>
      <c r="E109" s="472" t="s">
        <v>1826</v>
      </c>
      <c r="F109" s="473">
        <v>335</v>
      </c>
      <c r="G109" s="473"/>
      <c r="H109" s="473">
        <f>F109*G109</f>
        <v>0</v>
      </c>
      <c r="I109" s="474">
        <v>0.02112</v>
      </c>
      <c r="J109" s="475">
        <f>F109*I109</f>
        <v>7.0752</v>
      </c>
      <c r="R109" s="476">
        <v>2</v>
      </c>
      <c r="AB109" s="476">
        <v>12</v>
      </c>
      <c r="AC109" s="476">
        <v>0</v>
      </c>
      <c r="AD109" s="476">
        <v>39</v>
      </c>
      <c r="BC109" s="476">
        <v>1</v>
      </c>
      <c r="BD109" s="476">
        <f>IF(BC109=1,H109,0)</f>
        <v>0</v>
      </c>
      <c r="BE109" s="476">
        <f>IF(BC109=2,H109,0)</f>
        <v>0</v>
      </c>
      <c r="BF109" s="476">
        <f>IF(BC109=3,H109,0)</f>
        <v>0</v>
      </c>
      <c r="BG109" s="476">
        <f>IF(BC109=4,H109,0)</f>
        <v>0</v>
      </c>
      <c r="BH109" s="476">
        <f>IF(BC109=5,H109,0)</f>
        <v>0</v>
      </c>
    </row>
    <row r="110" spans="1:10" s="476" customFormat="1" ht="30" customHeight="1">
      <c r="A110" s="469" t="s">
        <v>1711</v>
      </c>
      <c r="B110" s="470" t="s">
        <v>1424</v>
      </c>
      <c r="C110" s="471" t="s">
        <v>1425</v>
      </c>
      <c r="D110" s="997" t="s">
        <v>2798</v>
      </c>
      <c r="E110" s="472" t="s">
        <v>1826</v>
      </c>
      <c r="F110" s="473">
        <v>1400</v>
      </c>
      <c r="G110" s="473"/>
      <c r="H110" s="473">
        <f>$F110*G110</f>
        <v>0</v>
      </c>
      <c r="I110" s="474">
        <v>0.000495</v>
      </c>
      <c r="J110" s="475">
        <f>F110*I110</f>
        <v>0.693</v>
      </c>
    </row>
    <row r="111" spans="1:10" s="476" customFormat="1" ht="30" customHeight="1">
      <c r="A111" s="469" t="s">
        <v>1715</v>
      </c>
      <c r="B111" s="470" t="s">
        <v>1426</v>
      </c>
      <c r="C111" s="471" t="s">
        <v>1427</v>
      </c>
      <c r="D111" s="997" t="s">
        <v>2798</v>
      </c>
      <c r="E111" s="472" t="s">
        <v>1826</v>
      </c>
      <c r="F111" s="473">
        <v>350</v>
      </c>
      <c r="G111" s="473"/>
      <c r="H111" s="473">
        <f>$F111*G111</f>
        <v>0</v>
      </c>
      <c r="I111" s="474">
        <v>0.00297</v>
      </c>
      <c r="J111" s="475">
        <f>F111*I111</f>
        <v>1.0395</v>
      </c>
    </row>
    <row r="112" spans="1:12" s="476" customFormat="1" ht="30" customHeight="1">
      <c r="A112" s="469" t="s">
        <v>1719</v>
      </c>
      <c r="B112" s="470" t="s">
        <v>1428</v>
      </c>
      <c r="C112" s="471" t="s">
        <v>1429</v>
      </c>
      <c r="D112" s="997" t="s">
        <v>2798</v>
      </c>
      <c r="E112" s="472" t="s">
        <v>1748</v>
      </c>
      <c r="F112" s="473">
        <v>3500</v>
      </c>
      <c r="G112" s="473"/>
      <c r="H112" s="473">
        <f>$F112*G112</f>
        <v>0</v>
      </c>
      <c r="I112" s="474">
        <v>0.01782</v>
      </c>
      <c r="J112" s="475">
        <f>F112*I112</f>
        <v>62.37</v>
      </c>
      <c r="L112" s="476">
        <v>420</v>
      </c>
    </row>
    <row r="113" spans="1:10" s="476" customFormat="1" ht="30" customHeight="1">
      <c r="A113" s="469" t="s">
        <v>1722</v>
      </c>
      <c r="B113" s="470" t="s">
        <v>1430</v>
      </c>
      <c r="C113" s="471" t="s">
        <v>1431</v>
      </c>
      <c r="D113" s="997" t="s">
        <v>2798</v>
      </c>
      <c r="E113" s="472" t="s">
        <v>1748</v>
      </c>
      <c r="F113" s="473">
        <v>2800</v>
      </c>
      <c r="G113" s="473"/>
      <c r="H113" s="473">
        <f>$F113*G113</f>
        <v>0</v>
      </c>
      <c r="I113" s="474">
        <v>0.01426</v>
      </c>
      <c r="J113" s="475">
        <f>F113*I113</f>
        <v>39.928</v>
      </c>
    </row>
    <row r="114" spans="1:10" s="434" customFormat="1" ht="12.75">
      <c r="A114" s="442"/>
      <c r="B114" s="218"/>
      <c r="C114" s="218"/>
      <c r="D114" s="432"/>
      <c r="E114" s="432"/>
      <c r="F114" s="367"/>
      <c r="G114" s="367"/>
      <c r="H114" s="367"/>
      <c r="I114" s="443"/>
      <c r="J114" s="444"/>
    </row>
    <row r="115" spans="1:10" s="476" customFormat="1" ht="30" customHeight="1">
      <c r="A115" s="469" t="s">
        <v>1725</v>
      </c>
      <c r="B115" s="470" t="s">
        <v>1432</v>
      </c>
      <c r="C115" s="471" t="s">
        <v>1433</v>
      </c>
      <c r="D115" s="997"/>
      <c r="E115" s="472" t="s">
        <v>1783</v>
      </c>
      <c r="F115" s="473">
        <f>SUM(J109:J114)</f>
        <v>111.1057</v>
      </c>
      <c r="G115" s="473"/>
      <c r="H115" s="473">
        <f>$F115*G115</f>
        <v>0</v>
      </c>
      <c r="I115" s="474"/>
      <c r="J115" s="475"/>
    </row>
    <row r="116" spans="1:24" s="211" customFormat="1" ht="12" customHeight="1" thickBot="1">
      <c r="A116" s="312"/>
      <c r="B116" s="313"/>
      <c r="C116" s="242"/>
      <c r="D116" s="1217"/>
      <c r="E116" s="314"/>
      <c r="F116" s="315"/>
      <c r="G116" s="779"/>
      <c r="H116" s="315"/>
      <c r="I116" s="414"/>
      <c r="J116" s="415"/>
      <c r="K116" s="208"/>
      <c r="L116" s="208"/>
      <c r="M116" s="208"/>
      <c r="N116" s="208"/>
      <c r="O116" s="209"/>
      <c r="P116" s="209"/>
      <c r="Q116" s="209"/>
      <c r="R116" s="209"/>
      <c r="S116" s="210"/>
      <c r="T116" s="210"/>
      <c r="U116" s="210"/>
      <c r="V116" s="210"/>
      <c r="W116" s="210"/>
      <c r="X116" s="210"/>
    </row>
    <row r="117" spans="1:21" ht="16.5" customHeight="1" thickBot="1">
      <c r="A117" s="266" t="s">
        <v>2686</v>
      </c>
      <c r="B117" s="175" t="s">
        <v>2687</v>
      </c>
      <c r="C117" s="176" t="s">
        <v>2688</v>
      </c>
      <c r="D117" s="1008"/>
      <c r="E117" s="175"/>
      <c r="F117" s="341"/>
      <c r="G117" s="341"/>
      <c r="H117" s="342">
        <f>SUM(H119:H119)</f>
        <v>0</v>
      </c>
      <c r="I117" s="343"/>
      <c r="J117" s="344">
        <f>SUM(J119:J119)</f>
        <v>0</v>
      </c>
      <c r="K117" s="670"/>
      <c r="L117" s="670"/>
      <c r="M117" s="670"/>
      <c r="N117" s="670"/>
      <c r="O117" s="670"/>
      <c r="P117" s="670"/>
      <c r="Q117" s="670"/>
      <c r="R117" s="670"/>
      <c r="S117" s="670"/>
      <c r="T117" s="670"/>
      <c r="U117" s="670"/>
    </row>
    <row r="118" spans="1:60" s="429" customFormat="1" ht="12.75">
      <c r="A118" s="810"/>
      <c r="B118" s="811"/>
      <c r="C118" s="685"/>
      <c r="D118" s="1218"/>
      <c r="E118" s="812"/>
      <c r="F118" s="813"/>
      <c r="G118" s="814"/>
      <c r="H118" s="813"/>
      <c r="I118" s="815"/>
      <c r="J118" s="816"/>
      <c r="K118" s="817"/>
      <c r="L118" s="817"/>
      <c r="M118" s="817"/>
      <c r="N118" s="817"/>
      <c r="O118" s="817"/>
      <c r="P118" s="817"/>
      <c r="Q118" s="817"/>
      <c r="R118" s="817"/>
      <c r="S118" s="817"/>
      <c r="T118" s="817"/>
      <c r="U118" s="817"/>
      <c r="V118" s="817"/>
      <c r="W118" s="817"/>
      <c r="X118" s="817"/>
      <c r="Y118" s="817"/>
      <c r="Z118" s="817"/>
      <c r="AA118" s="817"/>
      <c r="AB118" s="817"/>
      <c r="AC118" s="817"/>
      <c r="AD118" s="817"/>
      <c r="AE118" s="817"/>
      <c r="AF118" s="817"/>
      <c r="AG118" s="817"/>
      <c r="AH118" s="817"/>
      <c r="AI118" s="817"/>
      <c r="AJ118" s="817"/>
      <c r="AK118" s="817"/>
      <c r="AL118" s="817"/>
      <c r="AM118" s="817"/>
      <c r="AN118" s="817"/>
      <c r="AO118" s="817"/>
      <c r="AP118" s="817"/>
      <c r="AQ118" s="817"/>
      <c r="AR118" s="817"/>
      <c r="AS118" s="817"/>
      <c r="AT118" s="817"/>
      <c r="AU118" s="817"/>
      <c r="AV118" s="817"/>
      <c r="AW118" s="817"/>
      <c r="AX118" s="817"/>
      <c r="AY118" s="817"/>
      <c r="AZ118" s="817"/>
      <c r="BA118" s="817"/>
      <c r="BB118" s="817"/>
      <c r="BC118" s="817"/>
      <c r="BD118" s="817"/>
      <c r="BE118" s="817"/>
      <c r="BF118" s="817"/>
      <c r="BG118" s="817"/>
      <c r="BH118" s="817"/>
    </row>
    <row r="119" spans="1:60" s="597" customFormat="1" ht="94.5" customHeight="1">
      <c r="A119" s="591"/>
      <c r="B119" s="592" t="s">
        <v>1434</v>
      </c>
      <c r="C119" s="823" t="s">
        <v>1435</v>
      </c>
      <c r="D119" s="997" t="s">
        <v>2749</v>
      </c>
      <c r="E119" s="593"/>
      <c r="F119" s="594"/>
      <c r="G119" s="594"/>
      <c r="H119" s="594"/>
      <c r="I119" s="595"/>
      <c r="J119" s="596"/>
      <c r="R119" s="597">
        <v>2</v>
      </c>
      <c r="AB119" s="597">
        <v>12</v>
      </c>
      <c r="AC119" s="597">
        <v>0</v>
      </c>
      <c r="AD119" s="597">
        <v>39</v>
      </c>
      <c r="BC119" s="597">
        <v>1</v>
      </c>
      <c r="BD119" s="597">
        <f>IF(BC119=1,H119,0)</f>
        <v>0</v>
      </c>
      <c r="BE119" s="597">
        <f>IF(BC119=2,H119,0)</f>
        <v>0</v>
      </c>
      <c r="BF119" s="597">
        <f>IF(BC119=3,H119,0)</f>
        <v>0</v>
      </c>
      <c r="BG119" s="597">
        <f>IF(BC119=4,H119,0)</f>
        <v>0</v>
      </c>
      <c r="BH119" s="597">
        <f>IF(BC119=5,H119,0)</f>
        <v>0</v>
      </c>
    </row>
    <row r="120" spans="1:24" s="211" customFormat="1" ht="12" customHeight="1" thickBot="1">
      <c r="A120" s="312"/>
      <c r="B120" s="313"/>
      <c r="C120" s="242"/>
      <c r="D120" s="1217"/>
      <c r="E120" s="314"/>
      <c r="F120" s="315"/>
      <c r="G120" s="779"/>
      <c r="H120" s="315"/>
      <c r="I120" s="414"/>
      <c r="J120" s="415"/>
      <c r="K120" s="208"/>
      <c r="L120" s="208"/>
      <c r="M120" s="208"/>
      <c r="N120" s="208"/>
      <c r="O120" s="209"/>
      <c r="P120" s="209"/>
      <c r="Q120" s="209"/>
      <c r="R120" s="209"/>
      <c r="S120" s="210"/>
      <c r="T120" s="210"/>
      <c r="U120" s="210"/>
      <c r="V120" s="210"/>
      <c r="W120" s="210"/>
      <c r="X120" s="210"/>
    </row>
    <row r="121" spans="1:17" ht="16.5" customHeight="1" thickBot="1">
      <c r="A121" s="266"/>
      <c r="B121" s="175"/>
      <c r="C121" s="176"/>
      <c r="D121" s="1008"/>
      <c r="E121" s="175"/>
      <c r="F121" s="175"/>
      <c r="G121" s="175"/>
      <c r="H121" s="185"/>
      <c r="I121" s="177"/>
      <c r="J121" s="178"/>
      <c r="K121"/>
      <c r="L121"/>
      <c r="M121"/>
      <c r="N121"/>
      <c r="O121"/>
      <c r="P121"/>
      <c r="Q121"/>
    </row>
    <row r="122" spans="1:60" s="451" customFormat="1" ht="22.5" customHeight="1" thickBot="1">
      <c r="A122" s="798"/>
      <c r="B122" s="799"/>
      <c r="C122" s="800" t="s">
        <v>1436</v>
      </c>
      <c r="D122" s="801"/>
      <c r="E122" s="801"/>
      <c r="F122" s="802"/>
      <c r="G122" s="802"/>
      <c r="H122" s="803">
        <f>H14+H45+H76+H106</f>
        <v>0</v>
      </c>
      <c r="I122" s="804"/>
      <c r="J122" s="805"/>
      <c r="K122" s="806"/>
      <c r="L122" s="806"/>
      <c r="M122" s="806"/>
      <c r="N122" s="806"/>
      <c r="O122" s="806"/>
      <c r="P122" s="806"/>
      <c r="Q122" s="807"/>
      <c r="R122" s="824"/>
      <c r="S122" s="824"/>
      <c r="T122" s="824"/>
      <c r="U122" s="824"/>
      <c r="V122" s="824"/>
      <c r="W122" s="824"/>
      <c r="X122" s="824"/>
      <c r="Y122" s="824"/>
      <c r="Z122" s="824"/>
      <c r="AA122" s="824"/>
      <c r="AB122" s="824"/>
      <c r="AC122" s="824"/>
      <c r="AD122" s="824"/>
      <c r="AE122" s="824"/>
      <c r="AF122" s="824"/>
      <c r="AG122" s="824"/>
      <c r="AH122" s="824"/>
      <c r="AI122" s="824"/>
      <c r="AJ122" s="824"/>
      <c r="AK122" s="824"/>
      <c r="AL122" s="824"/>
      <c r="AM122" s="824"/>
      <c r="AN122" s="824"/>
      <c r="AO122" s="824"/>
      <c r="AP122" s="824"/>
      <c r="AQ122" s="824"/>
      <c r="AR122" s="824"/>
      <c r="AS122" s="824"/>
      <c r="AT122" s="824"/>
      <c r="AU122" s="824"/>
      <c r="AV122" s="824"/>
      <c r="AW122" s="824"/>
      <c r="AX122" s="824"/>
      <c r="AY122" s="824"/>
      <c r="AZ122" s="824"/>
      <c r="BA122" s="824"/>
      <c r="BB122" s="824"/>
      <c r="BC122" s="824"/>
      <c r="BD122" s="824"/>
      <c r="BE122" s="824"/>
      <c r="BF122" s="824"/>
      <c r="BG122" s="824"/>
      <c r="BH122" s="824"/>
    </row>
    <row r="123" spans="6:10" ht="12.75">
      <c r="F123" s="412"/>
      <c r="G123" s="412"/>
      <c r="H123" s="412"/>
      <c r="I123" s="413"/>
      <c r="J123" s="413"/>
    </row>
    <row r="130" ht="15.75">
      <c r="C130" s="590"/>
    </row>
  </sheetData>
  <mergeCells count="21">
    <mergeCell ref="B8:C9"/>
    <mergeCell ref="F2:F3"/>
    <mergeCell ref="G2:G3"/>
    <mergeCell ref="D6:E7"/>
    <mergeCell ref="C6:C7"/>
    <mergeCell ref="D2:E3"/>
    <mergeCell ref="D4:E5"/>
    <mergeCell ref="D8:F9"/>
    <mergeCell ref="C4:C5"/>
    <mergeCell ref="C2:C3"/>
    <mergeCell ref="F6:F7"/>
    <mergeCell ref="G6:G7"/>
    <mergeCell ref="F4:F5"/>
    <mergeCell ref="I11:J11"/>
    <mergeCell ref="H2:J3"/>
    <mergeCell ref="H4:J5"/>
    <mergeCell ref="H6:J7"/>
    <mergeCell ref="H8:J9"/>
    <mergeCell ref="G11:H11"/>
    <mergeCell ref="G4:G5"/>
    <mergeCell ref="G8:G9"/>
  </mergeCells>
  <printOptions/>
  <pageMargins left="0.3937007874015748" right="0.35433070866141736" top="0.5905511811023623" bottom="0.6692913385826772" header="0.2362204724409449" footer="0.2362204724409449"/>
  <pageSetup horizontalDpi="600" verticalDpi="600" orientation="portrait" paperSize="9" scale="69" r:id="rId1"/>
  <headerFooter alignWithMargins="0">
    <oddFooter>&amp;L&amp;F
&amp;A&amp;C&amp;P/&amp;N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H22"/>
  <sheetViews>
    <sheetView showGridLines="0" view="pageBreakPreview" zoomScaleSheetLayoutView="100" workbookViewId="0" topLeftCell="A1">
      <selection activeCell="I11" sqref="I11:J11"/>
    </sheetView>
  </sheetViews>
  <sheetFormatPr defaultColWidth="9.140625" defaultRowHeight="12.75"/>
  <cols>
    <col min="1" max="1" width="5.28125" style="28" customWidth="1"/>
    <col min="2" max="2" width="14.7109375" style="0" customWidth="1"/>
    <col min="3" max="3" width="44.28125" style="0" customWidth="1"/>
    <col min="4" max="4" width="9.7109375" style="987" customWidth="1"/>
    <col min="5" max="5" width="9.140625" style="33" customWidth="1"/>
    <col min="6" max="6" width="9.57421875" style="0" customWidth="1"/>
    <col min="7" max="7" width="10.8515625" style="0" customWidth="1"/>
    <col min="8" max="8" width="14.8515625" style="0" customWidth="1"/>
    <col min="9" max="9" width="9.140625" style="12" customWidth="1"/>
    <col min="10" max="10" width="11.8515625" style="12" customWidth="1"/>
    <col min="11" max="16" width="9.140625" style="131" customWidth="1"/>
    <col min="17" max="17" width="9.140625" style="137" customWidth="1"/>
  </cols>
  <sheetData>
    <row r="1" spans="1:10" ht="23.25">
      <c r="A1" s="23"/>
      <c r="B1" s="13"/>
      <c r="C1" s="14" t="s">
        <v>1683</v>
      </c>
      <c r="D1" s="960"/>
      <c r="E1" s="13"/>
      <c r="F1" s="13"/>
      <c r="G1" s="13"/>
      <c r="H1" s="13"/>
      <c r="I1" s="15"/>
      <c r="J1" s="16"/>
    </row>
    <row r="2" spans="1:10" ht="12.75">
      <c r="A2" s="24"/>
      <c r="B2" s="653"/>
      <c r="C2" s="1310" t="s">
        <v>1684</v>
      </c>
      <c r="D2" s="1308" t="s">
        <v>1685</v>
      </c>
      <c r="E2" s="1308"/>
      <c r="F2" s="1308"/>
      <c r="G2" s="1320" t="s">
        <v>1686</v>
      </c>
      <c r="H2" s="1324" t="s">
        <v>1687</v>
      </c>
      <c r="I2" s="1325"/>
      <c r="J2" s="1326"/>
    </row>
    <row r="3" spans="1:10" ht="12.75">
      <c r="A3" s="24"/>
      <c r="B3" s="652"/>
      <c r="C3" s="1311"/>
      <c r="D3" s="1309"/>
      <c r="E3" s="1309"/>
      <c r="F3" s="1309"/>
      <c r="G3" s="1321"/>
      <c r="H3" s="1316"/>
      <c r="I3" s="1316"/>
      <c r="J3" s="1317"/>
    </row>
    <row r="4" spans="1:10" ht="12.75">
      <c r="A4" s="24"/>
      <c r="B4" s="652"/>
      <c r="C4" s="1309" t="s">
        <v>1688</v>
      </c>
      <c r="D4" s="1309" t="s">
        <v>1689</v>
      </c>
      <c r="E4" s="1309"/>
      <c r="F4" s="1327"/>
      <c r="G4" s="1321" t="s">
        <v>1690</v>
      </c>
      <c r="H4" s="1315" t="s">
        <v>1586</v>
      </c>
      <c r="I4" s="1315"/>
      <c r="J4" s="1328"/>
    </row>
    <row r="5" spans="1:10" ht="12.75">
      <c r="A5" s="24"/>
      <c r="B5" s="652"/>
      <c r="C5" s="1312"/>
      <c r="D5" s="1309"/>
      <c r="E5" s="1309"/>
      <c r="F5" s="1327"/>
      <c r="G5" s="1321"/>
      <c r="H5" s="1315"/>
      <c r="I5" s="1315"/>
      <c r="J5" s="1328"/>
    </row>
    <row r="6" spans="1:10" ht="12.75">
      <c r="A6" s="24"/>
      <c r="B6" s="652"/>
      <c r="C6" s="1309" t="s">
        <v>1580</v>
      </c>
      <c r="D6" s="1309" t="s">
        <v>1691</v>
      </c>
      <c r="E6" s="1309"/>
      <c r="F6" s="1327"/>
      <c r="G6" s="1321" t="s">
        <v>1692</v>
      </c>
      <c r="H6" s="1315"/>
      <c r="I6" s="1316"/>
      <c r="J6" s="1317"/>
    </row>
    <row r="7" spans="1:10" ht="12.75">
      <c r="A7" s="24"/>
      <c r="B7" s="652"/>
      <c r="C7" s="1312"/>
      <c r="D7" s="1309"/>
      <c r="E7" s="1309"/>
      <c r="F7" s="1327"/>
      <c r="G7" s="1321"/>
      <c r="H7" s="1316"/>
      <c r="I7" s="1316"/>
      <c r="J7" s="1317"/>
    </row>
    <row r="8" spans="1:10" ht="12.75">
      <c r="A8" s="24"/>
      <c r="B8" s="1306" t="s">
        <v>1437</v>
      </c>
      <c r="C8" s="1339"/>
      <c r="D8" s="1309" t="s">
        <v>1380</v>
      </c>
      <c r="E8" s="1341"/>
      <c r="F8" s="1341"/>
      <c r="G8" s="1321" t="s">
        <v>1693</v>
      </c>
      <c r="H8" s="1315" t="s">
        <v>1586</v>
      </c>
      <c r="I8" s="1316"/>
      <c r="J8" s="1317"/>
    </row>
    <row r="9" spans="1:10" ht="12.75">
      <c r="A9" s="24"/>
      <c r="B9" s="1340"/>
      <c r="C9" s="1340"/>
      <c r="D9" s="1342"/>
      <c r="E9" s="1342"/>
      <c r="F9" s="1342"/>
      <c r="G9" s="1338"/>
      <c r="H9" s="1336"/>
      <c r="I9" s="1336"/>
      <c r="J9" s="1337"/>
    </row>
    <row r="10" spans="1:17" ht="13.5" thickBot="1">
      <c r="A10" s="160"/>
      <c r="B10" s="161"/>
      <c r="C10" s="162"/>
      <c r="D10" s="161"/>
      <c r="E10" s="161"/>
      <c r="F10" s="161"/>
      <c r="G10" s="161"/>
      <c r="H10" s="161"/>
      <c r="I10" s="163"/>
      <c r="J10" s="164"/>
      <c r="K10"/>
      <c r="L10"/>
      <c r="M10"/>
      <c r="N10"/>
      <c r="O10"/>
      <c r="P10" s="959"/>
      <c r="Q10"/>
    </row>
    <row r="11" spans="1:17" s="18" customFormat="1" ht="12.75">
      <c r="A11" s="25"/>
      <c r="B11" s="17" t="s">
        <v>1694</v>
      </c>
      <c r="C11" s="2" t="s">
        <v>1694</v>
      </c>
      <c r="D11" s="1180"/>
      <c r="E11" s="30" t="s">
        <v>1694</v>
      </c>
      <c r="F11" s="2" t="s">
        <v>1694</v>
      </c>
      <c r="G11" s="1322" t="s">
        <v>1695</v>
      </c>
      <c r="H11" s="1323"/>
      <c r="I11" s="1318" t="s">
        <v>1696</v>
      </c>
      <c r="J11" s="1319"/>
      <c r="K11" s="132"/>
      <c r="L11" s="132"/>
      <c r="M11" s="132"/>
      <c r="N11" s="132"/>
      <c r="O11" s="132"/>
      <c r="P11" s="132"/>
      <c r="Q11" s="138"/>
    </row>
    <row r="12" spans="1:17" s="18" customFormat="1" ht="13.5" thickBot="1">
      <c r="A12" s="26"/>
      <c r="B12" s="19" t="s">
        <v>1697</v>
      </c>
      <c r="C12" s="4" t="s">
        <v>1698</v>
      </c>
      <c r="D12" s="1182"/>
      <c r="E12" s="6" t="s">
        <v>1699</v>
      </c>
      <c r="F12" s="6" t="s">
        <v>1700</v>
      </c>
      <c r="G12" s="7" t="s">
        <v>1701</v>
      </c>
      <c r="H12" s="8" t="s">
        <v>1702</v>
      </c>
      <c r="I12" s="10" t="s">
        <v>1701</v>
      </c>
      <c r="J12" s="11" t="s">
        <v>1702</v>
      </c>
      <c r="K12" s="132"/>
      <c r="L12" s="132"/>
      <c r="M12" s="132"/>
      <c r="N12" s="132"/>
      <c r="O12" s="132"/>
      <c r="P12" s="132"/>
      <c r="Q12" s="138"/>
    </row>
    <row r="13" spans="1:17" ht="16.5" customHeight="1" thickBot="1">
      <c r="A13" s="266"/>
      <c r="B13" s="175"/>
      <c r="C13" s="176"/>
      <c r="D13" s="175"/>
      <c r="E13" s="175"/>
      <c r="F13" s="175"/>
      <c r="G13" s="175"/>
      <c r="H13" s="185"/>
      <c r="I13" s="177"/>
      <c r="J13" s="178"/>
      <c r="K13"/>
      <c r="L13"/>
      <c r="M13"/>
      <c r="N13"/>
      <c r="O13"/>
      <c r="P13"/>
      <c r="Q13"/>
    </row>
    <row r="14" spans="1:17" s="18" customFormat="1" ht="29.25" customHeight="1">
      <c r="A14" s="477"/>
      <c r="B14" s="478"/>
      <c r="C14" s="479" t="s">
        <v>1438</v>
      </c>
      <c r="D14" s="480"/>
      <c r="E14" s="480"/>
      <c r="F14" s="480"/>
      <c r="G14" s="481"/>
      <c r="H14" s="808">
        <f>H15</f>
        <v>0</v>
      </c>
      <c r="I14" s="482"/>
      <c r="J14" s="483"/>
      <c r="K14" s="132"/>
      <c r="L14" s="132"/>
      <c r="M14" s="132"/>
      <c r="N14" s="132"/>
      <c r="O14" s="132"/>
      <c r="P14" s="132"/>
      <c r="Q14" s="138"/>
    </row>
    <row r="15" spans="1:17" ht="16.5" customHeight="1" thickBot="1">
      <c r="A15" s="435" t="s">
        <v>1618</v>
      </c>
      <c r="B15" s="436" t="s">
        <v>1620</v>
      </c>
      <c r="C15" s="437" t="s">
        <v>1439</v>
      </c>
      <c r="D15" s="436"/>
      <c r="E15" s="436"/>
      <c r="F15" s="438"/>
      <c r="G15" s="438"/>
      <c r="H15" s="439">
        <f>SUM(H16:H19)</f>
        <v>0</v>
      </c>
      <c r="I15" s="440"/>
      <c r="J15" s="441">
        <f>SUM(J16:J18)</f>
        <v>0.6483</v>
      </c>
      <c r="K15"/>
      <c r="L15"/>
      <c r="M15"/>
      <c r="N15"/>
      <c r="O15"/>
      <c r="P15"/>
      <c r="Q15"/>
    </row>
    <row r="16" spans="1:17" s="429" customFormat="1" ht="12.75">
      <c r="A16" s="810"/>
      <c r="B16" s="811"/>
      <c r="C16" s="685"/>
      <c r="D16" s="999"/>
      <c r="E16" s="812"/>
      <c r="F16" s="813"/>
      <c r="G16" s="814"/>
      <c r="H16" s="813"/>
      <c r="I16" s="815"/>
      <c r="J16" s="816"/>
      <c r="K16" s="817"/>
      <c r="L16" s="817"/>
      <c r="M16" s="817"/>
      <c r="N16" s="817"/>
      <c r="O16" s="817"/>
      <c r="P16" s="817"/>
      <c r="Q16" s="817"/>
    </row>
    <row r="17" spans="1:60" s="22" customFormat="1" ht="29.25" customHeight="1">
      <c r="A17" s="196" t="s">
        <v>1734</v>
      </c>
      <c r="B17" s="197" t="s">
        <v>1440</v>
      </c>
      <c r="C17" s="199" t="s">
        <v>1441</v>
      </c>
      <c r="D17" s="917" t="s">
        <v>2749</v>
      </c>
      <c r="E17" s="198" t="s">
        <v>1831</v>
      </c>
      <c r="F17" s="332">
        <v>10</v>
      </c>
      <c r="G17" s="332"/>
      <c r="H17" s="332">
        <f>F17*G17</f>
        <v>0</v>
      </c>
      <c r="I17" s="333">
        <v>0</v>
      </c>
      <c r="J17" s="334">
        <f>F17*I17</f>
        <v>0</v>
      </c>
      <c r="K17" s="133"/>
      <c r="L17" s="133"/>
      <c r="M17" s="133"/>
      <c r="N17" s="133"/>
      <c r="O17" s="133"/>
      <c r="P17" s="133"/>
      <c r="Q17" s="139"/>
      <c r="AB17" s="22">
        <v>12</v>
      </c>
      <c r="AC17" s="22">
        <v>0</v>
      </c>
      <c r="AD17" s="22">
        <v>39</v>
      </c>
      <c r="BC17" s="22">
        <v>1</v>
      </c>
      <c r="BD17" s="22">
        <f>IF(BC17=1,H17,0)</f>
        <v>0</v>
      </c>
      <c r="BE17" s="22">
        <f>IF(BC17=2,H17,0)</f>
        <v>0</v>
      </c>
      <c r="BF17" s="22">
        <f>IF(BC17=3,H17,0)</f>
        <v>0</v>
      </c>
      <c r="BG17" s="22">
        <f>IF(BC17=4,H17,0)</f>
        <v>0</v>
      </c>
      <c r="BH17" s="22">
        <f>IF(BC17=5,H17,0)</f>
        <v>0</v>
      </c>
    </row>
    <row r="18" spans="1:60" s="430" customFormat="1" ht="29.25" customHeight="1">
      <c r="A18" s="196" t="s">
        <v>1753</v>
      </c>
      <c r="B18" s="197" t="s">
        <v>1442</v>
      </c>
      <c r="C18" s="286" t="s">
        <v>1443</v>
      </c>
      <c r="D18" s="982" t="s">
        <v>2749</v>
      </c>
      <c r="E18" s="198" t="s">
        <v>1831</v>
      </c>
      <c r="F18" s="819">
        <v>5</v>
      </c>
      <c r="G18" s="819"/>
      <c r="H18" s="819">
        <f>$F18*G18</f>
        <v>0</v>
      </c>
      <c r="I18" s="333">
        <v>0.12966</v>
      </c>
      <c r="J18" s="334">
        <f>F18*I18</f>
        <v>0.6483</v>
      </c>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0"/>
      <c r="AI18" s="820"/>
      <c r="AJ18" s="820"/>
      <c r="AK18" s="820"/>
      <c r="AL18" s="820"/>
      <c r="AM18" s="820"/>
      <c r="AN18" s="820"/>
      <c r="AO18" s="820"/>
      <c r="AP18" s="820"/>
      <c r="AQ18" s="820"/>
      <c r="AR18" s="820"/>
      <c r="AS18" s="820"/>
      <c r="AT18" s="820"/>
      <c r="AU18" s="820"/>
      <c r="AV18" s="820"/>
      <c r="AW18" s="820"/>
      <c r="AX18" s="820"/>
      <c r="AY18" s="820"/>
      <c r="AZ18" s="820"/>
      <c r="BA18" s="820"/>
      <c r="BB18" s="820"/>
      <c r="BC18" s="820"/>
      <c r="BD18" s="820"/>
      <c r="BE18" s="820"/>
      <c r="BF18" s="820"/>
      <c r="BG18" s="820"/>
      <c r="BH18" s="820"/>
    </row>
    <row r="19" spans="1:24" s="211" customFormat="1" ht="16.5" customHeight="1" thickBot="1">
      <c r="A19" s="312"/>
      <c r="B19" s="313"/>
      <c r="C19" s="242"/>
      <c r="D19" s="989"/>
      <c r="E19" s="314"/>
      <c r="F19" s="315"/>
      <c r="G19" s="779"/>
      <c r="H19" s="315"/>
      <c r="I19" s="414"/>
      <c r="J19" s="415"/>
      <c r="K19" s="208"/>
      <c r="L19" s="208"/>
      <c r="M19" s="208"/>
      <c r="N19" s="208"/>
      <c r="O19" s="209"/>
      <c r="P19" s="209"/>
      <c r="Q19" s="209"/>
      <c r="R19" s="209"/>
      <c r="S19" s="210"/>
      <c r="T19" s="210"/>
      <c r="U19" s="210"/>
      <c r="V19" s="210"/>
      <c r="W19" s="210"/>
      <c r="X19" s="210"/>
    </row>
    <row r="20" spans="1:17" ht="16.5" customHeight="1" thickBot="1">
      <c r="A20" s="266"/>
      <c r="B20" s="175"/>
      <c r="C20" s="176"/>
      <c r="D20" s="175"/>
      <c r="E20" s="175"/>
      <c r="F20" s="175"/>
      <c r="G20" s="175"/>
      <c r="H20" s="185"/>
      <c r="I20" s="177"/>
      <c r="J20" s="178"/>
      <c r="K20"/>
      <c r="L20"/>
      <c r="M20"/>
      <c r="N20"/>
      <c r="O20"/>
      <c r="P20"/>
      <c r="Q20"/>
    </row>
    <row r="21" spans="1:60" s="451" customFormat="1" ht="22.5" customHeight="1" thickBot="1">
      <c r="A21" s="798"/>
      <c r="B21" s="799"/>
      <c r="C21" s="800" t="s">
        <v>1436</v>
      </c>
      <c r="D21" s="801"/>
      <c r="E21" s="801"/>
      <c r="F21" s="802"/>
      <c r="G21" s="802"/>
      <c r="H21" s="803">
        <f>H14</f>
        <v>0</v>
      </c>
      <c r="I21" s="804"/>
      <c r="J21" s="805"/>
      <c r="K21" s="806"/>
      <c r="L21" s="806"/>
      <c r="M21" s="806"/>
      <c r="N21" s="806"/>
      <c r="O21" s="806"/>
      <c r="P21" s="806"/>
      <c r="Q21" s="807"/>
      <c r="R21" s="824"/>
      <c r="S21" s="824"/>
      <c r="T21" s="824"/>
      <c r="U21" s="824"/>
      <c r="V21" s="824"/>
      <c r="W21" s="824"/>
      <c r="X21" s="824"/>
      <c r="Y21" s="824"/>
      <c r="Z21" s="824"/>
      <c r="AA21" s="824"/>
      <c r="AB21" s="824"/>
      <c r="AC21" s="824"/>
      <c r="AD21" s="824"/>
      <c r="AE21" s="824"/>
      <c r="AF21" s="824"/>
      <c r="AG21" s="824"/>
      <c r="AH21" s="824"/>
      <c r="AI21" s="824"/>
      <c r="AJ21" s="824"/>
      <c r="AK21" s="824"/>
      <c r="AL21" s="824"/>
      <c r="AM21" s="824"/>
      <c r="AN21" s="824"/>
      <c r="AO21" s="824"/>
      <c r="AP21" s="824"/>
      <c r="AQ21" s="824"/>
      <c r="AR21" s="824"/>
      <c r="AS21" s="824"/>
      <c r="AT21" s="824"/>
      <c r="AU21" s="824"/>
      <c r="AV21" s="824"/>
      <c r="AW21" s="824"/>
      <c r="AX21" s="824"/>
      <c r="AY21" s="824"/>
      <c r="AZ21" s="824"/>
      <c r="BA21" s="824"/>
      <c r="BB21" s="824"/>
      <c r="BC21" s="824"/>
      <c r="BD21" s="824"/>
      <c r="BE21" s="824"/>
      <c r="BF21" s="824"/>
      <c r="BG21" s="824"/>
      <c r="BH21" s="824"/>
    </row>
    <row r="22" spans="6:10" ht="12.75">
      <c r="F22" s="412"/>
      <c r="G22" s="412"/>
      <c r="H22" s="412"/>
      <c r="I22" s="413"/>
      <c r="J22" s="413"/>
    </row>
  </sheetData>
  <mergeCells count="21">
    <mergeCell ref="C6:C7"/>
    <mergeCell ref="D6:E7"/>
    <mergeCell ref="F6:F7"/>
    <mergeCell ref="G6:G7"/>
    <mergeCell ref="D8:F9"/>
    <mergeCell ref="G2:G3"/>
    <mergeCell ref="H4:J5"/>
    <mergeCell ref="G4:G5"/>
    <mergeCell ref="C2:C3"/>
    <mergeCell ref="G11:H11"/>
    <mergeCell ref="I11:J11"/>
    <mergeCell ref="H8:J9"/>
    <mergeCell ref="H2:J3"/>
    <mergeCell ref="H6:J7"/>
    <mergeCell ref="G8:G9"/>
    <mergeCell ref="F4:F5"/>
    <mergeCell ref="D4:E5"/>
    <mergeCell ref="B8:C9"/>
    <mergeCell ref="C4:C5"/>
    <mergeCell ref="D2:E3"/>
    <mergeCell ref="F2:F3"/>
  </mergeCells>
  <printOptions/>
  <pageMargins left="0.3937007874015748" right="0.35433070866141736" top="0.5905511811023623" bottom="0.6692913385826772" header="0.2362204724409449" footer="0.2362204724409449"/>
  <pageSetup horizontalDpi="600" verticalDpi="600" orientation="portrait" paperSize="9" scale="69" r:id="rId1"/>
  <headerFooter alignWithMargins="0">
    <oddFooter>&amp;L&amp;F
&amp;A&amp;C&amp;P/&amp;N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508"/>
  <sheetViews>
    <sheetView showGridLines="0" view="pageBreakPreview" zoomScaleSheetLayoutView="100" workbookViewId="0" topLeftCell="A1">
      <selection activeCell="I11" sqref="I11:J11"/>
    </sheetView>
  </sheetViews>
  <sheetFormatPr defaultColWidth="9.140625" defaultRowHeight="12.75"/>
  <cols>
    <col min="1" max="1" width="5.28125" style="28" customWidth="1"/>
    <col min="2" max="2" width="14.28125" style="0" customWidth="1"/>
    <col min="3" max="3" width="42.421875" style="0" customWidth="1"/>
    <col min="4" max="4" width="8.421875" style="0" customWidth="1"/>
    <col min="5" max="5" width="10.28125" style="33" customWidth="1"/>
    <col min="6" max="6" width="10.57421875" style="0" customWidth="1"/>
    <col min="7" max="7" width="11.57421875" style="0" customWidth="1"/>
    <col min="8" max="8" width="15.421875" style="0" customWidth="1"/>
    <col min="9" max="9" width="9.140625" style="12" customWidth="1"/>
    <col min="10" max="10" width="10.421875" style="573" customWidth="1"/>
    <col min="15" max="16" width="9.140625" style="513" customWidth="1"/>
    <col min="20" max="20" width="27.140625" style="507" customWidth="1"/>
  </cols>
  <sheetData>
    <row r="1" spans="1:20" ht="23.25">
      <c r="A1" s="23"/>
      <c r="B1" s="13"/>
      <c r="C1" s="14" t="s">
        <v>1683</v>
      </c>
      <c r="D1" s="14"/>
      <c r="E1" s="13"/>
      <c r="F1" s="13"/>
      <c r="G1" s="13"/>
      <c r="H1" s="13"/>
      <c r="I1" s="15"/>
      <c r="J1" s="559"/>
      <c r="O1" s="511"/>
      <c r="P1" s="511"/>
      <c r="T1" s="670"/>
    </row>
    <row r="2" spans="1:20" ht="12.75">
      <c r="A2" s="24"/>
      <c r="B2" s="653"/>
      <c r="C2" s="1310" t="s">
        <v>1684</v>
      </c>
      <c r="D2" s="1308" t="s">
        <v>1685</v>
      </c>
      <c r="E2" s="1308"/>
      <c r="F2" s="1308"/>
      <c r="G2" s="1320" t="s">
        <v>1686</v>
      </c>
      <c r="H2" s="1324" t="s">
        <v>1687</v>
      </c>
      <c r="I2" s="1325"/>
      <c r="J2" s="1326"/>
      <c r="O2" s="511"/>
      <c r="P2" s="511"/>
      <c r="T2" s="670"/>
    </row>
    <row r="3" spans="1:20" ht="12.75">
      <c r="A3" s="24"/>
      <c r="B3" s="652"/>
      <c r="C3" s="1311"/>
      <c r="D3" s="1309"/>
      <c r="E3" s="1309"/>
      <c r="F3" s="1309"/>
      <c r="G3" s="1321"/>
      <c r="H3" s="1316"/>
      <c r="I3" s="1316"/>
      <c r="J3" s="1317"/>
      <c r="O3" s="511"/>
      <c r="P3" s="511"/>
      <c r="T3" s="670"/>
    </row>
    <row r="4" spans="1:20" ht="12.75">
      <c r="A4" s="24"/>
      <c r="B4" s="652"/>
      <c r="C4" s="1309" t="s">
        <v>1688</v>
      </c>
      <c r="D4" s="1309" t="s">
        <v>1689</v>
      </c>
      <c r="E4" s="1309"/>
      <c r="F4" s="1327"/>
      <c r="G4" s="1321" t="s">
        <v>1690</v>
      </c>
      <c r="H4" s="1315" t="s">
        <v>1586</v>
      </c>
      <c r="I4" s="1315"/>
      <c r="J4" s="1328"/>
      <c r="O4" s="511"/>
      <c r="P4" s="511"/>
      <c r="T4" s="670"/>
    </row>
    <row r="5" spans="1:20" ht="12.75">
      <c r="A5" s="24"/>
      <c r="B5" s="652"/>
      <c r="C5" s="1312"/>
      <c r="D5" s="1309"/>
      <c r="E5" s="1309"/>
      <c r="F5" s="1327"/>
      <c r="G5" s="1321"/>
      <c r="H5" s="1315"/>
      <c r="I5" s="1315"/>
      <c r="J5" s="1328"/>
      <c r="O5" s="511"/>
      <c r="P5" s="511"/>
      <c r="T5" s="670"/>
    </row>
    <row r="6" spans="1:20" ht="12.75">
      <c r="A6" s="24"/>
      <c r="B6" s="652"/>
      <c r="C6" s="1309" t="s">
        <v>1580</v>
      </c>
      <c r="D6" s="1309" t="s">
        <v>1691</v>
      </c>
      <c r="E6" s="1309"/>
      <c r="F6" s="1327"/>
      <c r="G6" s="1321" t="s">
        <v>1692</v>
      </c>
      <c r="H6" s="1315"/>
      <c r="I6" s="1316"/>
      <c r="J6" s="1317"/>
      <c r="O6" s="511"/>
      <c r="P6" s="511"/>
      <c r="T6" s="670"/>
    </row>
    <row r="7" spans="1:20" ht="12.75">
      <c r="A7" s="24"/>
      <c r="B7" s="652"/>
      <c r="C7" s="1312"/>
      <c r="D7" s="1309"/>
      <c r="E7" s="1309"/>
      <c r="F7" s="1327"/>
      <c r="G7" s="1321"/>
      <c r="H7" s="1316"/>
      <c r="I7" s="1316"/>
      <c r="J7" s="1317"/>
      <c r="O7" s="511"/>
      <c r="P7" s="511"/>
      <c r="T7" s="670"/>
    </row>
    <row r="8" spans="1:20" ht="12.75" customHeight="1">
      <c r="A8" s="24"/>
      <c r="B8" s="652"/>
      <c r="C8" s="1306" t="s">
        <v>1444</v>
      </c>
      <c r="D8" s="1333" t="s">
        <v>2832</v>
      </c>
      <c r="E8" s="1334"/>
      <c r="F8" s="1334"/>
      <c r="G8" s="1321" t="s">
        <v>1693</v>
      </c>
      <c r="H8" s="1315" t="s">
        <v>1586</v>
      </c>
      <c r="I8" s="1316"/>
      <c r="J8" s="1317"/>
      <c r="O8" s="511"/>
      <c r="P8" s="511"/>
      <c r="T8" s="670"/>
    </row>
    <row r="9" spans="1:20" ht="40.5" customHeight="1">
      <c r="A9" s="24"/>
      <c r="B9" s="1"/>
      <c r="C9" s="1343"/>
      <c r="D9" s="1335"/>
      <c r="E9" s="1335"/>
      <c r="F9" s="1335"/>
      <c r="G9" s="1338"/>
      <c r="H9" s="1336"/>
      <c r="I9" s="1336"/>
      <c r="J9" s="1337"/>
      <c r="O9" s="511"/>
      <c r="P9" s="511"/>
      <c r="T9" s="670"/>
    </row>
    <row r="10" spans="1:20" ht="13.5" thickBot="1">
      <c r="A10" s="160"/>
      <c r="B10" s="161"/>
      <c r="C10" s="162"/>
      <c r="D10" s="162"/>
      <c r="E10" s="161"/>
      <c r="F10" s="161"/>
      <c r="G10" s="161"/>
      <c r="H10" s="161"/>
      <c r="I10" s="163"/>
      <c r="J10" s="560"/>
      <c r="O10" s="511"/>
      <c r="P10" s="511"/>
      <c r="T10" s="670"/>
    </row>
    <row r="11" spans="1:20" s="18" customFormat="1" ht="12.75">
      <c r="A11" s="25"/>
      <c r="B11" s="17" t="s">
        <v>1694</v>
      </c>
      <c r="C11" s="2" t="s">
        <v>1694</v>
      </c>
      <c r="D11" s="3"/>
      <c r="E11" s="30" t="s">
        <v>1694</v>
      </c>
      <c r="F11" s="2" t="s">
        <v>1694</v>
      </c>
      <c r="G11" s="1322" t="s">
        <v>1695</v>
      </c>
      <c r="H11" s="1323"/>
      <c r="I11" s="1318" t="s">
        <v>1696</v>
      </c>
      <c r="J11" s="1319"/>
      <c r="O11" s="512"/>
      <c r="P11" s="512"/>
      <c r="T11" s="671"/>
    </row>
    <row r="12" spans="1:20" s="18" customFormat="1" ht="13.5" thickBot="1">
      <c r="A12" s="165"/>
      <c r="B12" s="166" t="s">
        <v>1697</v>
      </c>
      <c r="C12" s="167" t="s">
        <v>1698</v>
      </c>
      <c r="D12" s="168"/>
      <c r="E12" s="169" t="s">
        <v>1699</v>
      </c>
      <c r="F12" s="169" t="s">
        <v>1700</v>
      </c>
      <c r="G12" s="170" t="s">
        <v>1701</v>
      </c>
      <c r="H12" s="171" t="s">
        <v>1702</v>
      </c>
      <c r="I12" s="172" t="s">
        <v>1701</v>
      </c>
      <c r="J12" s="561" t="s">
        <v>1702</v>
      </c>
      <c r="O12" s="512"/>
      <c r="P12" s="512"/>
      <c r="T12" s="671"/>
    </row>
    <row r="13" spans="1:20" ht="13.5" thickBot="1">
      <c r="A13" s="174"/>
      <c r="B13" s="175"/>
      <c r="C13" s="176"/>
      <c r="D13" s="176"/>
      <c r="E13" s="175"/>
      <c r="F13" s="175"/>
      <c r="G13" s="175"/>
      <c r="H13" s="175"/>
      <c r="I13" s="177"/>
      <c r="J13" s="562"/>
      <c r="O13" s="511"/>
      <c r="P13" s="511"/>
      <c r="T13" s="670"/>
    </row>
    <row r="14" spans="1:20" s="18" customFormat="1" ht="21" customHeight="1" thickBot="1">
      <c r="A14" s="25"/>
      <c r="B14" s="179"/>
      <c r="C14" s="179" t="s">
        <v>1703</v>
      </c>
      <c r="D14" s="179"/>
      <c r="E14" s="180"/>
      <c r="F14" s="180"/>
      <c r="G14" s="181"/>
      <c r="H14" s="182">
        <f>H15+H198+H431+H502</f>
        <v>0</v>
      </c>
      <c r="I14" s="183"/>
      <c r="J14" s="563"/>
      <c r="O14" s="512"/>
      <c r="P14" s="512"/>
      <c r="T14" s="671"/>
    </row>
    <row r="15" spans="1:20" ht="16.5" customHeight="1" thickBot="1">
      <c r="A15" s="226" t="s">
        <v>1611</v>
      </c>
      <c r="B15" s="175" t="s">
        <v>1744</v>
      </c>
      <c r="C15" s="176" t="s">
        <v>1445</v>
      </c>
      <c r="D15" s="176"/>
      <c r="E15" s="175"/>
      <c r="F15" s="341"/>
      <c r="G15" s="341"/>
      <c r="H15" s="342">
        <f>SUM(H16:H197)</f>
        <v>0</v>
      </c>
      <c r="I15" s="343"/>
      <c r="J15" s="564">
        <f>SUM(J16:J197)</f>
        <v>19.88500908096</v>
      </c>
      <c r="O15" s="511"/>
      <c r="P15" s="511"/>
      <c r="T15" s="670"/>
    </row>
    <row r="16" spans="1:20" s="22" customFormat="1" ht="17.25" customHeight="1">
      <c r="A16" s="190"/>
      <c r="B16" s="191"/>
      <c r="C16" s="191"/>
      <c r="D16" s="191"/>
      <c r="E16" s="192"/>
      <c r="F16" s="345"/>
      <c r="G16" s="345"/>
      <c r="H16" s="345"/>
      <c r="I16" s="346"/>
      <c r="J16" s="565"/>
      <c r="T16" s="509"/>
    </row>
    <row r="17" spans="1:20" s="22" customFormat="1" ht="29.25" customHeight="1">
      <c r="A17" s="196" t="s">
        <v>1706</v>
      </c>
      <c r="B17" s="197" t="s">
        <v>1446</v>
      </c>
      <c r="C17" s="199" t="s">
        <v>1447</v>
      </c>
      <c r="D17" s="197"/>
      <c r="E17" s="198" t="s">
        <v>1709</v>
      </c>
      <c r="F17" s="332">
        <f>SUM(E18:E34)</f>
        <v>2.10975</v>
      </c>
      <c r="G17" s="332"/>
      <c r="H17" s="332">
        <f>F17*G17</f>
        <v>0</v>
      </c>
      <c r="I17" s="333">
        <v>1.796</v>
      </c>
      <c r="J17" s="566">
        <f>F17*I17</f>
        <v>3.789111</v>
      </c>
      <c r="T17" s="509"/>
    </row>
    <row r="18" spans="1:20" s="22" customFormat="1" ht="23.25" customHeight="1">
      <c r="A18" s="196"/>
      <c r="B18" s="205" t="s">
        <v>1448</v>
      </c>
      <c r="C18" s="206" t="s">
        <v>1449</v>
      </c>
      <c r="D18" s="197"/>
      <c r="E18" s="207">
        <f>1.15*0.1*0.6</f>
        <v>0.06899999999999999</v>
      </c>
      <c r="F18" s="332"/>
      <c r="G18" s="332"/>
      <c r="H18" s="332"/>
      <c r="I18" s="333"/>
      <c r="J18" s="566"/>
      <c r="T18" s="509"/>
    </row>
    <row r="19" spans="1:20" s="22" customFormat="1" ht="23.25" customHeight="1">
      <c r="A19" s="196"/>
      <c r="B19" s="205" t="s">
        <v>1450</v>
      </c>
      <c r="C19" s="206" t="s">
        <v>1451</v>
      </c>
      <c r="D19" s="197"/>
      <c r="E19" s="207">
        <f>1.25*0.1*0.6</f>
        <v>0.075</v>
      </c>
      <c r="F19" s="332"/>
      <c r="G19" s="332"/>
      <c r="H19" s="332"/>
      <c r="I19" s="333"/>
      <c r="J19" s="566"/>
      <c r="T19" s="509"/>
    </row>
    <row r="20" spans="1:20" s="22" customFormat="1" ht="23.25" customHeight="1">
      <c r="A20" s="196"/>
      <c r="B20" s="205" t="s">
        <v>1452</v>
      </c>
      <c r="C20" s="523" t="s">
        <v>1453</v>
      </c>
      <c r="D20" s="197"/>
      <c r="E20" s="207">
        <f>1.1*0.1*0.45</f>
        <v>0.04950000000000001</v>
      </c>
      <c r="F20" s="332"/>
      <c r="G20" s="332"/>
      <c r="H20" s="332"/>
      <c r="I20" s="333"/>
      <c r="J20" s="566"/>
      <c r="T20" s="509"/>
    </row>
    <row r="21" spans="1:20" s="22" customFormat="1" ht="23.25" customHeight="1">
      <c r="A21" s="196"/>
      <c r="B21" s="205" t="s">
        <v>1454</v>
      </c>
      <c r="C21" s="523" t="s">
        <v>1455</v>
      </c>
      <c r="D21" s="197"/>
      <c r="E21" s="207">
        <f>0.3*0.6*0.1</f>
        <v>0.018</v>
      </c>
      <c r="F21" s="332"/>
      <c r="G21" s="332"/>
      <c r="H21" s="332"/>
      <c r="I21" s="333"/>
      <c r="J21" s="566"/>
      <c r="T21" s="509"/>
    </row>
    <row r="22" spans="1:20" s="22" customFormat="1" ht="23.25" customHeight="1">
      <c r="A22" s="196"/>
      <c r="B22" s="205" t="s">
        <v>1456</v>
      </c>
      <c r="C22" s="523" t="s">
        <v>1457</v>
      </c>
      <c r="D22" s="197"/>
      <c r="E22" s="207">
        <f>(0.95*0.1*0.6+0.95*0.1*0.45)*2</f>
        <v>0.1995</v>
      </c>
      <c r="F22" s="332"/>
      <c r="G22" s="332"/>
      <c r="H22" s="332"/>
      <c r="I22" s="333"/>
      <c r="J22" s="566"/>
      <c r="T22" s="509"/>
    </row>
    <row r="23" spans="1:20" s="22" customFormat="1" ht="23.25" customHeight="1">
      <c r="A23" s="196"/>
      <c r="B23" s="205" t="s">
        <v>1458</v>
      </c>
      <c r="C23" s="523" t="s">
        <v>1459</v>
      </c>
      <c r="D23" s="197"/>
      <c r="E23" s="207">
        <f>0.3*0.1*0.45</f>
        <v>0.0135</v>
      </c>
      <c r="F23" s="332"/>
      <c r="G23" s="332"/>
      <c r="H23" s="332"/>
      <c r="I23" s="333"/>
      <c r="J23" s="566"/>
      <c r="T23" s="509"/>
    </row>
    <row r="24" spans="1:20" s="22" customFormat="1" ht="23.25" customHeight="1">
      <c r="A24" s="196"/>
      <c r="B24" s="205" t="s">
        <v>1460</v>
      </c>
      <c r="C24" s="523" t="s">
        <v>1461</v>
      </c>
      <c r="D24" s="197"/>
      <c r="E24" s="207">
        <f>0.9*0.1*0.6</f>
        <v>0.054000000000000006</v>
      </c>
      <c r="F24" s="332"/>
      <c r="G24" s="332"/>
      <c r="H24" s="332"/>
      <c r="I24" s="333"/>
      <c r="J24" s="566"/>
      <c r="T24" s="509"/>
    </row>
    <row r="25" spans="1:20" s="22" customFormat="1" ht="23.25" customHeight="1">
      <c r="A25" s="196"/>
      <c r="B25" s="205" t="s">
        <v>1462</v>
      </c>
      <c r="C25" s="523" t="s">
        <v>1463</v>
      </c>
      <c r="D25" s="197"/>
      <c r="E25" s="207">
        <f>0.95*0.6*0.1+0.9*0.1*0.45*2</f>
        <v>0.138</v>
      </c>
      <c r="F25" s="332"/>
      <c r="G25" s="332"/>
      <c r="H25" s="332"/>
      <c r="I25" s="333"/>
      <c r="J25" s="566"/>
      <c r="T25" s="509"/>
    </row>
    <row r="26" spans="1:20" s="22" customFormat="1" ht="23.25" customHeight="1">
      <c r="A26" s="196"/>
      <c r="B26" s="205" t="s">
        <v>1464</v>
      </c>
      <c r="C26" s="523" t="s">
        <v>1465</v>
      </c>
      <c r="D26" s="197"/>
      <c r="E26" s="207">
        <f>0.325*0.1*0.6</f>
        <v>0.0195</v>
      </c>
      <c r="F26" s="332"/>
      <c r="G26" s="332"/>
      <c r="H26" s="332"/>
      <c r="I26" s="333"/>
      <c r="J26" s="566"/>
      <c r="T26" s="509"/>
    </row>
    <row r="27" spans="1:20" s="22" customFormat="1" ht="23.25" customHeight="1">
      <c r="A27" s="196"/>
      <c r="B27" s="205" t="s">
        <v>1466</v>
      </c>
      <c r="C27" s="523" t="s">
        <v>1467</v>
      </c>
      <c r="D27" s="197"/>
      <c r="E27" s="207">
        <f>1.3*0.1*0.6+1.2*0.1*0.45</f>
        <v>0.132</v>
      </c>
      <c r="F27" s="332"/>
      <c r="G27" s="332"/>
      <c r="H27" s="332"/>
      <c r="I27" s="333"/>
      <c r="J27" s="566"/>
      <c r="T27" s="509"/>
    </row>
    <row r="28" spans="1:20" s="22" customFormat="1" ht="23.25" customHeight="1">
      <c r="A28" s="196"/>
      <c r="B28" s="205" t="s">
        <v>1468</v>
      </c>
      <c r="C28" s="523" t="s">
        <v>1469</v>
      </c>
      <c r="D28" s="197"/>
      <c r="E28" s="207">
        <f>1.25*0.45*0.1+1.2*0.1*0.6+1.2*0.1*0.5</f>
        <v>0.18825</v>
      </c>
      <c r="F28" s="332"/>
      <c r="G28" s="332"/>
      <c r="H28" s="332"/>
      <c r="I28" s="333"/>
      <c r="J28" s="566"/>
      <c r="T28" s="509"/>
    </row>
    <row r="29" spans="1:20" s="22" customFormat="1" ht="23.25" customHeight="1">
      <c r="A29" s="196"/>
      <c r="B29" s="205" t="s">
        <v>1470</v>
      </c>
      <c r="C29" s="523" t="s">
        <v>1471</v>
      </c>
      <c r="D29" s="197"/>
      <c r="E29" s="207">
        <f>1.25*0.45*0.1*4</f>
        <v>0.225</v>
      </c>
      <c r="F29" s="332"/>
      <c r="G29" s="332"/>
      <c r="H29" s="332"/>
      <c r="I29" s="333"/>
      <c r="J29" s="566"/>
      <c r="T29" s="509"/>
    </row>
    <row r="30" spans="1:20" s="22" customFormat="1" ht="23.25" customHeight="1">
      <c r="A30" s="196"/>
      <c r="B30" s="205" t="s">
        <v>1472</v>
      </c>
      <c r="C30" s="523" t="s">
        <v>1449</v>
      </c>
      <c r="D30" s="197"/>
      <c r="E30" s="207">
        <f>1.15*0.1*0.6</f>
        <v>0.06899999999999999</v>
      </c>
      <c r="F30" s="332"/>
      <c r="G30" s="332"/>
      <c r="H30" s="332"/>
      <c r="I30" s="333"/>
      <c r="J30" s="566"/>
      <c r="T30" s="509"/>
    </row>
    <row r="31" spans="1:20" s="22" customFormat="1" ht="23.25" customHeight="1">
      <c r="A31" s="196"/>
      <c r="B31" s="205" t="s">
        <v>1473</v>
      </c>
      <c r="C31" s="523" t="s">
        <v>1474</v>
      </c>
      <c r="D31" s="197"/>
      <c r="E31" s="207">
        <f>1.2*0.1*0.6*2+1*0.1*0.45+1.3*0.1*0.45</f>
        <v>0.2475</v>
      </c>
      <c r="F31" s="332"/>
      <c r="G31" s="332"/>
      <c r="H31" s="332"/>
      <c r="I31" s="333"/>
      <c r="J31" s="566"/>
      <c r="T31" s="509"/>
    </row>
    <row r="32" spans="1:20" s="22" customFormat="1" ht="23.25" customHeight="1">
      <c r="A32" s="196"/>
      <c r="B32" s="205" t="s">
        <v>1470</v>
      </c>
      <c r="C32" s="523" t="s">
        <v>1475</v>
      </c>
      <c r="D32" s="197"/>
      <c r="E32" s="207">
        <f>1.2*0.1*0.45*3</f>
        <v>0.162</v>
      </c>
      <c r="F32" s="332"/>
      <c r="G32" s="332"/>
      <c r="H32" s="332"/>
      <c r="I32" s="333"/>
      <c r="J32" s="566"/>
      <c r="T32" s="509"/>
    </row>
    <row r="33" spans="1:20" s="22" customFormat="1" ht="21.75" customHeight="1">
      <c r="A33" s="278"/>
      <c r="B33" s="205" t="s">
        <v>1476</v>
      </c>
      <c r="C33" s="825" t="s">
        <v>1477</v>
      </c>
      <c r="D33" s="279"/>
      <c r="E33" s="207">
        <f>1.8*0.1*0.6*2+1*0.1*0.6+1.1*0.1*0.6</f>
        <v>0.342</v>
      </c>
      <c r="F33" s="382"/>
      <c r="G33" s="382"/>
      <c r="H33" s="382"/>
      <c r="I33" s="383"/>
      <c r="J33" s="567"/>
      <c r="T33" s="509"/>
    </row>
    <row r="34" spans="1:20" s="22" customFormat="1" ht="21.75" customHeight="1">
      <c r="A34" s="278"/>
      <c r="B34" s="205" t="s">
        <v>1478</v>
      </c>
      <c r="C34" s="825" t="s">
        <v>1479</v>
      </c>
      <c r="D34" s="279"/>
      <c r="E34" s="207">
        <f>0.6*0.1*0.45*4</f>
        <v>0.108</v>
      </c>
      <c r="F34" s="382"/>
      <c r="G34" s="382"/>
      <c r="H34" s="382"/>
      <c r="I34" s="383"/>
      <c r="J34" s="567"/>
      <c r="T34" s="509"/>
    </row>
    <row r="35" spans="1:20" s="22" customFormat="1" ht="13.5" customHeight="1">
      <c r="A35" s="196"/>
      <c r="B35" s="205"/>
      <c r="C35" s="523"/>
      <c r="D35" s="197"/>
      <c r="E35" s="207"/>
      <c r="F35" s="332"/>
      <c r="G35" s="332"/>
      <c r="H35" s="332"/>
      <c r="I35" s="333"/>
      <c r="J35" s="566"/>
      <c r="T35" s="509"/>
    </row>
    <row r="36" spans="1:20" s="22" customFormat="1" ht="23.25" customHeight="1">
      <c r="A36" s="196" t="s">
        <v>1711</v>
      </c>
      <c r="B36" s="197" t="s">
        <v>1480</v>
      </c>
      <c r="C36" s="199" t="s">
        <v>1481</v>
      </c>
      <c r="D36" s="197"/>
      <c r="E36" s="198" t="s">
        <v>2488</v>
      </c>
      <c r="F36" s="332">
        <f>SUM(E37:E62)</f>
        <v>1728.63</v>
      </c>
      <c r="G36" s="332"/>
      <c r="H36" s="332">
        <f>F36*G36</f>
        <v>0</v>
      </c>
      <c r="I36" s="333">
        <v>0.00109</v>
      </c>
      <c r="J36" s="566">
        <f>F36*I36</f>
        <v>1.8842067000000002</v>
      </c>
      <c r="T36" s="509"/>
    </row>
    <row r="37" spans="1:20" s="536" customFormat="1" ht="21.75" customHeight="1">
      <c r="A37" s="204"/>
      <c r="B37" s="205" t="s">
        <v>1482</v>
      </c>
      <c r="C37" s="206" t="s">
        <v>1483</v>
      </c>
      <c r="D37" s="205"/>
      <c r="E37" s="207">
        <f>4*0.8*8.34*3</f>
        <v>80.06400000000001</v>
      </c>
      <c r="F37" s="335"/>
      <c r="G37" s="335"/>
      <c r="H37" s="335"/>
      <c r="I37" s="336"/>
      <c r="J37" s="568"/>
      <c r="K37" s="134"/>
      <c r="L37" s="134"/>
      <c r="M37" s="134"/>
      <c r="N37" s="134"/>
      <c r="O37" s="134"/>
      <c r="P37" s="134"/>
      <c r="Q37" s="140"/>
      <c r="R37" s="130"/>
      <c r="S37" s="134"/>
      <c r="T37" s="130"/>
    </row>
    <row r="38" spans="1:20" s="22" customFormat="1" ht="23.25" customHeight="1">
      <c r="A38" s="196"/>
      <c r="B38" s="205" t="s">
        <v>1448</v>
      </c>
      <c r="C38" s="206" t="s">
        <v>1484</v>
      </c>
      <c r="D38" s="197"/>
      <c r="E38" s="207">
        <f>1.2*4*8.34</f>
        <v>40.032</v>
      </c>
      <c r="F38" s="332"/>
      <c r="G38" s="332"/>
      <c r="H38" s="332"/>
      <c r="I38" s="333"/>
      <c r="J38" s="566"/>
      <c r="T38" s="509"/>
    </row>
    <row r="39" spans="1:20" s="22" customFormat="1" ht="23.25" customHeight="1">
      <c r="A39" s="196"/>
      <c r="B39" s="205" t="s">
        <v>1485</v>
      </c>
      <c r="C39" s="206" t="s">
        <v>1486</v>
      </c>
      <c r="D39" s="197"/>
      <c r="E39" s="207">
        <f>4*0.8*8.34</f>
        <v>26.688000000000002</v>
      </c>
      <c r="F39" s="332"/>
      <c r="G39" s="332"/>
      <c r="H39" s="332"/>
      <c r="I39" s="333"/>
      <c r="J39" s="566"/>
      <c r="N39" s="159"/>
      <c r="T39" s="509"/>
    </row>
    <row r="40" spans="1:20" s="22" customFormat="1" ht="23.25" customHeight="1">
      <c r="A40" s="196"/>
      <c r="B40" s="205" t="s">
        <v>1450</v>
      </c>
      <c r="C40" s="206" t="s">
        <v>1487</v>
      </c>
      <c r="D40" s="197"/>
      <c r="E40" s="207">
        <f>1.25*4*8.34</f>
        <v>41.7</v>
      </c>
      <c r="F40" s="332"/>
      <c r="G40" s="332"/>
      <c r="H40" s="332"/>
      <c r="I40" s="333"/>
      <c r="J40" s="566"/>
      <c r="T40" s="509"/>
    </row>
    <row r="41" spans="1:20" s="22" customFormat="1" ht="23.25" customHeight="1">
      <c r="A41" s="196"/>
      <c r="B41" s="205" t="s">
        <v>1452</v>
      </c>
      <c r="C41" s="523" t="s">
        <v>1488</v>
      </c>
      <c r="D41" s="197"/>
      <c r="E41" s="207">
        <f>1.1*4*8.34</f>
        <v>36.696000000000005</v>
      </c>
      <c r="F41" s="332"/>
      <c r="G41" s="332"/>
      <c r="H41" s="332"/>
      <c r="I41" s="333"/>
      <c r="J41" s="566"/>
      <c r="T41" s="509"/>
    </row>
    <row r="42" spans="1:20" s="22" customFormat="1" ht="23.25" customHeight="1">
      <c r="A42" s="196"/>
      <c r="B42" s="205" t="s">
        <v>1489</v>
      </c>
      <c r="C42" s="206" t="s">
        <v>1490</v>
      </c>
      <c r="D42" s="197"/>
      <c r="E42" s="207">
        <f>(4*0.8)*8.34</f>
        <v>26.688000000000002</v>
      </c>
      <c r="F42" s="332"/>
      <c r="G42" s="332"/>
      <c r="H42" s="332"/>
      <c r="I42" s="333"/>
      <c r="J42" s="566"/>
      <c r="T42" s="509"/>
    </row>
    <row r="43" spans="1:20" s="22" customFormat="1" ht="23.25" customHeight="1">
      <c r="A43" s="196"/>
      <c r="B43" s="205" t="s">
        <v>1489</v>
      </c>
      <c r="C43" s="206" t="s">
        <v>1491</v>
      </c>
      <c r="D43" s="197"/>
      <c r="E43" s="207">
        <f>(1*1.15)*4.1*2</f>
        <v>9.429999999999998</v>
      </c>
      <c r="F43" s="332"/>
      <c r="G43" s="332"/>
      <c r="H43" s="332"/>
      <c r="I43" s="333"/>
      <c r="J43" s="566"/>
      <c r="T43" s="509"/>
    </row>
    <row r="44" spans="1:20" s="22" customFormat="1" ht="23.25" customHeight="1">
      <c r="A44" s="196"/>
      <c r="B44" s="205" t="s">
        <v>1492</v>
      </c>
      <c r="C44" s="206" t="s">
        <v>1493</v>
      </c>
      <c r="D44" s="197"/>
      <c r="E44" s="207">
        <f>(4*0.8)*2*8.34+(4*1.2)*8.34</f>
        <v>93.408</v>
      </c>
      <c r="F44" s="332"/>
      <c r="G44" s="332"/>
      <c r="H44" s="332"/>
      <c r="I44" s="333"/>
      <c r="J44" s="566"/>
      <c r="T44" s="509"/>
    </row>
    <row r="45" spans="1:20" s="22" customFormat="1" ht="23.25" customHeight="1">
      <c r="A45" s="196"/>
      <c r="B45" s="205" t="s">
        <v>1454</v>
      </c>
      <c r="C45" s="523" t="s">
        <v>1494</v>
      </c>
      <c r="D45" s="197"/>
      <c r="E45" s="207">
        <f>2*1.05*15.04</f>
        <v>31.584</v>
      </c>
      <c r="F45" s="332"/>
      <c r="G45" s="332"/>
      <c r="H45" s="332"/>
      <c r="I45" s="333"/>
      <c r="J45" s="566"/>
      <c r="T45" s="509"/>
    </row>
    <row r="46" spans="1:20" s="22" customFormat="1" ht="23.25" customHeight="1">
      <c r="A46" s="196"/>
      <c r="B46" s="205" t="s">
        <v>1456</v>
      </c>
      <c r="C46" s="523" t="s">
        <v>1495</v>
      </c>
      <c r="D46" s="197"/>
      <c r="E46" s="207">
        <f>4*1.25*8.34*2</f>
        <v>83.4</v>
      </c>
      <c r="F46" s="332"/>
      <c r="G46" s="332"/>
      <c r="H46" s="332"/>
      <c r="I46" s="333"/>
      <c r="J46" s="566"/>
      <c r="T46" s="509"/>
    </row>
    <row r="47" spans="1:20" s="22" customFormat="1" ht="23.25" customHeight="1">
      <c r="A47" s="196"/>
      <c r="B47" s="205" t="s">
        <v>1458</v>
      </c>
      <c r="C47" s="523" t="s">
        <v>1496</v>
      </c>
      <c r="D47" s="197"/>
      <c r="E47" s="207">
        <f>4*1.2*8.34</f>
        <v>40.032</v>
      </c>
      <c r="F47" s="332"/>
      <c r="G47" s="332"/>
      <c r="H47" s="332"/>
      <c r="I47" s="333"/>
      <c r="J47" s="566"/>
      <c r="T47" s="509"/>
    </row>
    <row r="48" spans="1:20" s="22" customFormat="1" ht="23.25" customHeight="1">
      <c r="A48" s="196"/>
      <c r="B48" s="205" t="s">
        <v>1460</v>
      </c>
      <c r="C48" s="523" t="s">
        <v>1496</v>
      </c>
      <c r="D48" s="197"/>
      <c r="E48" s="207">
        <f>4*1.2*8.34</f>
        <v>40.032</v>
      </c>
      <c r="F48" s="332"/>
      <c r="G48" s="332"/>
      <c r="H48" s="332"/>
      <c r="I48" s="333"/>
      <c r="J48" s="566"/>
      <c r="T48" s="509"/>
    </row>
    <row r="49" spans="1:20" s="22" customFormat="1" ht="23.25" customHeight="1">
      <c r="A49" s="196"/>
      <c r="B49" s="205" t="s">
        <v>1462</v>
      </c>
      <c r="C49" s="523" t="s">
        <v>1497</v>
      </c>
      <c r="D49" s="197"/>
      <c r="E49" s="207">
        <f>4*1.2*8.34+4*1.2*8.34*2</f>
        <v>120.09599999999999</v>
      </c>
      <c r="F49" s="332"/>
      <c r="G49" s="332"/>
      <c r="H49" s="332"/>
      <c r="I49" s="333"/>
      <c r="J49" s="566"/>
      <c r="T49" s="509"/>
    </row>
    <row r="50" spans="1:20" s="22" customFormat="1" ht="23.25" customHeight="1">
      <c r="A50" s="196"/>
      <c r="B50" s="205" t="s">
        <v>1464</v>
      </c>
      <c r="C50" s="523" t="s">
        <v>1498</v>
      </c>
      <c r="D50" s="197"/>
      <c r="E50" s="207">
        <f>4*0.65*8.34</f>
        <v>21.684</v>
      </c>
      <c r="F50" s="332"/>
      <c r="G50" s="332"/>
      <c r="H50" s="332"/>
      <c r="I50" s="333"/>
      <c r="J50" s="566"/>
      <c r="T50" s="509"/>
    </row>
    <row r="51" spans="1:20" s="22" customFormat="1" ht="23.25" customHeight="1">
      <c r="A51" s="196"/>
      <c r="B51" s="205" t="s">
        <v>1466</v>
      </c>
      <c r="C51" s="523" t="s">
        <v>1499</v>
      </c>
      <c r="D51" s="197"/>
      <c r="E51" s="207">
        <f>4*1.25*8.34+4*1.2*8.34</f>
        <v>81.732</v>
      </c>
      <c r="F51" s="332"/>
      <c r="G51" s="332"/>
      <c r="H51" s="332"/>
      <c r="I51" s="333"/>
      <c r="J51" s="566"/>
      <c r="T51" s="509"/>
    </row>
    <row r="52" spans="1:20" s="22" customFormat="1" ht="23.25" customHeight="1">
      <c r="A52" s="196"/>
      <c r="B52" s="205" t="s">
        <v>1500</v>
      </c>
      <c r="C52" s="523" t="s">
        <v>1501</v>
      </c>
      <c r="D52" s="197"/>
      <c r="E52" s="207">
        <f>2*0.6*15.04</f>
        <v>18.048</v>
      </c>
      <c r="F52" s="332"/>
      <c r="G52" s="332"/>
      <c r="H52" s="332"/>
      <c r="I52" s="333"/>
      <c r="J52" s="566"/>
      <c r="T52" s="509"/>
    </row>
    <row r="53" spans="1:20" s="22" customFormat="1" ht="23.25" customHeight="1">
      <c r="A53" s="196"/>
      <c r="B53" s="205" t="s">
        <v>1502</v>
      </c>
      <c r="C53" s="523" t="s">
        <v>1503</v>
      </c>
      <c r="D53" s="197"/>
      <c r="E53" s="207">
        <f>1.2*4.1*2</f>
        <v>9.839999999999998</v>
      </c>
      <c r="F53" s="332"/>
      <c r="G53" s="332"/>
      <c r="H53" s="332"/>
      <c r="I53" s="333"/>
      <c r="J53" s="566"/>
      <c r="T53" s="509"/>
    </row>
    <row r="54" spans="1:20" s="22" customFormat="1" ht="23.25" customHeight="1">
      <c r="A54" s="196"/>
      <c r="B54" s="205" t="s">
        <v>1468</v>
      </c>
      <c r="C54" s="523" t="s">
        <v>1504</v>
      </c>
      <c r="D54" s="197"/>
      <c r="E54" s="207">
        <f>(4*1.25+4*1.2)*8.34+1.2*4.1*2</f>
        <v>91.572</v>
      </c>
      <c r="F54" s="332"/>
      <c r="G54" s="332"/>
      <c r="H54" s="332"/>
      <c r="I54" s="333"/>
      <c r="J54" s="566"/>
      <c r="M54" s="159"/>
      <c r="T54" s="509"/>
    </row>
    <row r="55" spans="1:20" s="22" customFormat="1" ht="23.25" customHeight="1">
      <c r="A55" s="196"/>
      <c r="B55" s="205" t="s">
        <v>1470</v>
      </c>
      <c r="C55" s="523" t="s">
        <v>1505</v>
      </c>
      <c r="D55" s="197"/>
      <c r="E55" s="207">
        <f>1.2*4*4*8.34+1.2*2*4.1</f>
        <v>169.968</v>
      </c>
      <c r="F55" s="332"/>
      <c r="G55" s="332"/>
      <c r="H55" s="332"/>
      <c r="I55" s="333"/>
      <c r="J55" s="566"/>
      <c r="M55" s="159"/>
      <c r="T55" s="509"/>
    </row>
    <row r="56" spans="1:20" s="22" customFormat="1" ht="23.25" customHeight="1">
      <c r="A56" s="196"/>
      <c r="B56" s="205" t="s">
        <v>1472</v>
      </c>
      <c r="C56" s="523" t="s">
        <v>1506</v>
      </c>
      <c r="D56" s="197"/>
      <c r="E56" s="207">
        <f>3.2*2*8.34+4*1.15*8.34</f>
        <v>91.74000000000001</v>
      </c>
      <c r="F56" s="332"/>
      <c r="G56" s="332"/>
      <c r="H56" s="332"/>
      <c r="I56" s="333"/>
      <c r="J56" s="566"/>
      <c r="M56" s="159"/>
      <c r="T56" s="509"/>
    </row>
    <row r="57" spans="1:20" s="22" customFormat="1" ht="23.25" customHeight="1">
      <c r="A57" s="196"/>
      <c r="B57" s="205" t="s">
        <v>1473</v>
      </c>
      <c r="C57" s="523" t="s">
        <v>1507</v>
      </c>
      <c r="D57" s="197"/>
      <c r="E57" s="207">
        <f>1.2*4*8.34+0.8*4*8.34+1.15*4*8.34+1.1*4*8.34+3.2*2</f>
        <v>148.18</v>
      </c>
      <c r="F57" s="332"/>
      <c r="G57" s="332"/>
      <c r="H57" s="332"/>
      <c r="I57" s="333"/>
      <c r="J57" s="566"/>
      <c r="M57" s="159"/>
      <c r="T57" s="509"/>
    </row>
    <row r="58" spans="1:20" s="22" customFormat="1" ht="23.25" customHeight="1">
      <c r="A58" s="196"/>
      <c r="B58" s="205" t="s">
        <v>1470</v>
      </c>
      <c r="C58" s="523" t="s">
        <v>1508</v>
      </c>
      <c r="D58" s="197"/>
      <c r="E58" s="207">
        <f>1.2*4*8.34*3</f>
        <v>120.09599999999999</v>
      </c>
      <c r="F58" s="332"/>
      <c r="G58" s="332"/>
      <c r="H58" s="332"/>
      <c r="I58" s="333"/>
      <c r="J58" s="566"/>
      <c r="M58" s="159"/>
      <c r="T58" s="509"/>
    </row>
    <row r="59" spans="1:20" s="22" customFormat="1" ht="23.25" customHeight="1">
      <c r="A59" s="196"/>
      <c r="B59" s="205" t="s">
        <v>1509</v>
      </c>
      <c r="C59" s="523" t="s">
        <v>1510</v>
      </c>
      <c r="D59" s="197"/>
      <c r="E59" s="207">
        <f>1*2*4.1</f>
        <v>8.2</v>
      </c>
      <c r="F59" s="332"/>
      <c r="G59" s="332"/>
      <c r="H59" s="332"/>
      <c r="I59" s="333"/>
      <c r="J59" s="566"/>
      <c r="R59" s="159"/>
      <c r="T59" s="509"/>
    </row>
    <row r="60" spans="1:20" s="22" customFormat="1" ht="23.25" customHeight="1">
      <c r="A60" s="196"/>
      <c r="B60" s="205" t="s">
        <v>1511</v>
      </c>
      <c r="C60" s="523" t="s">
        <v>1510</v>
      </c>
      <c r="D60" s="197"/>
      <c r="E60" s="207">
        <f>1*2*4.1</f>
        <v>8.2</v>
      </c>
      <c r="F60" s="332"/>
      <c r="G60" s="332"/>
      <c r="H60" s="332"/>
      <c r="I60" s="333"/>
      <c r="J60" s="566"/>
      <c r="N60" s="159"/>
      <c r="T60" s="509"/>
    </row>
    <row r="61" spans="1:20" s="22" customFormat="1" ht="21.75" customHeight="1">
      <c r="A61" s="278"/>
      <c r="B61" s="205" t="s">
        <v>1476</v>
      </c>
      <c r="C61" s="825" t="s">
        <v>1512</v>
      </c>
      <c r="D61" s="279"/>
      <c r="E61" s="207">
        <f>1.8*4*2*10.6+15.04*2*0.6+1.1*4*10.6</f>
        <v>217.32799999999997</v>
      </c>
      <c r="F61" s="382"/>
      <c r="G61" s="382"/>
      <c r="H61" s="382"/>
      <c r="I61" s="383"/>
      <c r="J61" s="567"/>
      <c r="T61" s="509"/>
    </row>
    <row r="62" spans="1:20" s="22" customFormat="1" ht="21.75" customHeight="1">
      <c r="A62" s="278"/>
      <c r="B62" s="205" t="s">
        <v>1478</v>
      </c>
      <c r="C62" s="825" t="s">
        <v>1513</v>
      </c>
      <c r="D62" s="279"/>
      <c r="E62" s="207">
        <f>0.6*2*15.04*4</f>
        <v>72.192</v>
      </c>
      <c r="F62" s="382"/>
      <c r="G62" s="382"/>
      <c r="H62" s="382"/>
      <c r="I62" s="383"/>
      <c r="J62" s="567"/>
      <c r="T62" s="509"/>
    </row>
    <row r="63" spans="1:20" s="22" customFormat="1" ht="13.5" customHeight="1">
      <c r="A63" s="196"/>
      <c r="B63" s="205"/>
      <c r="C63" s="523"/>
      <c r="D63" s="197"/>
      <c r="E63" s="207"/>
      <c r="F63" s="332"/>
      <c r="G63" s="332"/>
      <c r="H63" s="332"/>
      <c r="I63" s="333"/>
      <c r="J63" s="566"/>
      <c r="T63" s="509"/>
    </row>
    <row r="64" spans="1:20" s="22" customFormat="1" ht="23.25" customHeight="1">
      <c r="A64" s="196" t="s">
        <v>1715</v>
      </c>
      <c r="B64" s="197" t="s">
        <v>1514</v>
      </c>
      <c r="C64" s="199" t="s">
        <v>1515</v>
      </c>
      <c r="D64" s="197"/>
      <c r="E64" s="198" t="s">
        <v>2488</v>
      </c>
      <c r="F64" s="332">
        <f>SUM(E65:E84)</f>
        <v>1410.7359999999999</v>
      </c>
      <c r="G64" s="332"/>
      <c r="H64" s="332">
        <f>F64*G64</f>
        <v>0</v>
      </c>
      <c r="I64" s="333">
        <v>0.001</v>
      </c>
      <c r="J64" s="566">
        <f>F64*I64</f>
        <v>1.410736</v>
      </c>
      <c r="T64" s="509"/>
    </row>
    <row r="65" spans="1:20" s="536" customFormat="1" ht="21.75" customHeight="1">
      <c r="A65" s="204"/>
      <c r="B65" s="205" t="s">
        <v>1482</v>
      </c>
      <c r="C65" s="206" t="s">
        <v>1483</v>
      </c>
      <c r="D65" s="205"/>
      <c r="E65" s="207">
        <f>4*0.8*8.34*3</f>
        <v>80.06400000000001</v>
      </c>
      <c r="F65" s="335"/>
      <c r="G65" s="335"/>
      <c r="H65" s="335"/>
      <c r="I65" s="336"/>
      <c r="J65" s="568"/>
      <c r="K65" s="134"/>
      <c r="L65" s="134"/>
      <c r="M65" s="134"/>
      <c r="N65" s="134"/>
      <c r="O65" s="134"/>
      <c r="P65" s="134"/>
      <c r="Q65" s="140"/>
      <c r="R65" s="130"/>
      <c r="S65" s="134"/>
      <c r="T65" s="130"/>
    </row>
    <row r="66" spans="1:20" s="22" customFormat="1" ht="23.25" customHeight="1">
      <c r="A66" s="196"/>
      <c r="B66" s="205" t="s">
        <v>1448</v>
      </c>
      <c r="C66" s="206" t="s">
        <v>1484</v>
      </c>
      <c r="D66" s="197"/>
      <c r="E66" s="207">
        <f>1.2*4*8.34</f>
        <v>40.032</v>
      </c>
      <c r="F66" s="332"/>
      <c r="G66" s="332"/>
      <c r="H66" s="332"/>
      <c r="I66" s="333"/>
      <c r="J66" s="566"/>
      <c r="T66" s="509"/>
    </row>
    <row r="67" spans="1:20" s="22" customFormat="1" ht="23.25" customHeight="1">
      <c r="A67" s="196"/>
      <c r="B67" s="205" t="s">
        <v>1485</v>
      </c>
      <c r="C67" s="206" t="s">
        <v>1486</v>
      </c>
      <c r="D67" s="197"/>
      <c r="E67" s="207">
        <f>4*0.8*8.34</f>
        <v>26.688000000000002</v>
      </c>
      <c r="F67" s="332"/>
      <c r="G67" s="332"/>
      <c r="H67" s="332"/>
      <c r="I67" s="333"/>
      <c r="J67" s="566"/>
      <c r="N67" s="159"/>
      <c r="T67" s="509"/>
    </row>
    <row r="68" spans="1:20" s="22" customFormat="1" ht="23.25" customHeight="1">
      <c r="A68" s="196"/>
      <c r="B68" s="205" t="s">
        <v>1450</v>
      </c>
      <c r="C68" s="206" t="s">
        <v>1487</v>
      </c>
      <c r="D68" s="197"/>
      <c r="E68" s="207">
        <f>1.25*4*8.34</f>
        <v>41.7</v>
      </c>
      <c r="F68" s="332"/>
      <c r="G68" s="332"/>
      <c r="H68" s="332"/>
      <c r="I68" s="333"/>
      <c r="J68" s="566"/>
      <c r="N68" s="159"/>
      <c r="R68" s="159"/>
      <c r="T68" s="509"/>
    </row>
    <row r="69" spans="1:20" s="22" customFormat="1" ht="23.25" customHeight="1">
      <c r="A69" s="196"/>
      <c r="B69" s="205" t="s">
        <v>1452</v>
      </c>
      <c r="C69" s="523" t="s">
        <v>1488</v>
      </c>
      <c r="D69" s="197"/>
      <c r="E69" s="207">
        <f>1.1*4*8.34</f>
        <v>36.696000000000005</v>
      </c>
      <c r="F69" s="332"/>
      <c r="G69" s="332"/>
      <c r="H69" s="332"/>
      <c r="I69" s="333"/>
      <c r="J69" s="566"/>
      <c r="N69" s="159"/>
      <c r="R69" s="159"/>
      <c r="T69" s="509"/>
    </row>
    <row r="70" spans="1:20" s="22" customFormat="1" ht="23.25" customHeight="1">
      <c r="A70" s="196"/>
      <c r="B70" s="205" t="s">
        <v>1489</v>
      </c>
      <c r="C70" s="206" t="s">
        <v>1490</v>
      </c>
      <c r="D70" s="197"/>
      <c r="E70" s="207">
        <f>(4*0.8)*8.34</f>
        <v>26.688000000000002</v>
      </c>
      <c r="F70" s="332"/>
      <c r="G70" s="332"/>
      <c r="H70" s="332"/>
      <c r="I70" s="333"/>
      <c r="J70" s="566"/>
      <c r="N70" s="159"/>
      <c r="R70" s="159"/>
      <c r="T70" s="509"/>
    </row>
    <row r="71" spans="1:20" s="22" customFormat="1" ht="23.25" customHeight="1">
      <c r="A71" s="196"/>
      <c r="B71" s="205" t="s">
        <v>1492</v>
      </c>
      <c r="C71" s="206" t="s">
        <v>1516</v>
      </c>
      <c r="D71" s="197"/>
      <c r="E71" s="207">
        <f>(4*0.8)*2*8.34</f>
        <v>53.376000000000005</v>
      </c>
      <c r="F71" s="332"/>
      <c r="G71" s="332"/>
      <c r="H71" s="332"/>
      <c r="I71" s="333"/>
      <c r="J71" s="566"/>
      <c r="R71" s="159"/>
      <c r="T71" s="509"/>
    </row>
    <row r="72" spans="1:20" s="22" customFormat="1" ht="23.25" customHeight="1">
      <c r="A72" s="196"/>
      <c r="B72" s="205" t="s">
        <v>1492</v>
      </c>
      <c r="C72" s="206" t="s">
        <v>1517</v>
      </c>
      <c r="D72" s="197"/>
      <c r="E72" s="207">
        <f>(4*1.2)*8.34</f>
        <v>40.032</v>
      </c>
      <c r="F72" s="332"/>
      <c r="G72" s="332"/>
      <c r="H72" s="332"/>
      <c r="I72" s="333"/>
      <c r="J72" s="566"/>
      <c r="T72" s="509"/>
    </row>
    <row r="73" spans="1:20" s="22" customFormat="1" ht="23.25" customHeight="1">
      <c r="A73" s="196"/>
      <c r="B73" s="205" t="s">
        <v>1456</v>
      </c>
      <c r="C73" s="523" t="s">
        <v>1495</v>
      </c>
      <c r="D73" s="197"/>
      <c r="E73" s="207">
        <f>4*1.25*8.34*2</f>
        <v>83.4</v>
      </c>
      <c r="F73" s="332"/>
      <c r="G73" s="332"/>
      <c r="H73" s="332"/>
      <c r="I73" s="333"/>
      <c r="J73" s="566"/>
      <c r="T73" s="509"/>
    </row>
    <row r="74" spans="1:20" s="22" customFormat="1" ht="23.25" customHeight="1">
      <c r="A74" s="196"/>
      <c r="B74" s="205" t="s">
        <v>1458</v>
      </c>
      <c r="C74" s="523" t="s">
        <v>1496</v>
      </c>
      <c r="D74" s="197"/>
      <c r="E74" s="207">
        <f>4*1.2*8.34</f>
        <v>40.032</v>
      </c>
      <c r="F74" s="332"/>
      <c r="G74" s="332"/>
      <c r="H74" s="332"/>
      <c r="I74" s="333"/>
      <c r="J74" s="566"/>
      <c r="T74" s="509"/>
    </row>
    <row r="75" spans="1:20" s="22" customFormat="1" ht="23.25" customHeight="1">
      <c r="A75" s="196"/>
      <c r="B75" s="205" t="s">
        <v>1460</v>
      </c>
      <c r="C75" s="523" t="s">
        <v>1496</v>
      </c>
      <c r="D75" s="197"/>
      <c r="E75" s="207">
        <f>4*1.2*8.34</f>
        <v>40.032</v>
      </c>
      <c r="F75" s="332"/>
      <c r="G75" s="332"/>
      <c r="H75" s="332"/>
      <c r="I75" s="333"/>
      <c r="J75" s="566"/>
      <c r="T75" s="509"/>
    </row>
    <row r="76" spans="1:20" s="22" customFormat="1" ht="23.25" customHeight="1">
      <c r="A76" s="196"/>
      <c r="B76" s="205" t="s">
        <v>1462</v>
      </c>
      <c r="C76" s="523" t="s">
        <v>1497</v>
      </c>
      <c r="D76" s="197"/>
      <c r="E76" s="207">
        <f>4*1.2*8.34+4*1.2*8.34*2</f>
        <v>120.09599999999999</v>
      </c>
      <c r="F76" s="332"/>
      <c r="G76" s="332"/>
      <c r="H76" s="332"/>
      <c r="I76" s="333"/>
      <c r="J76" s="566"/>
      <c r="N76" s="159"/>
      <c r="T76" s="509"/>
    </row>
    <row r="77" spans="1:20" s="22" customFormat="1" ht="23.25" customHeight="1">
      <c r="A77" s="196"/>
      <c r="B77" s="205" t="s">
        <v>1464</v>
      </c>
      <c r="C77" s="523" t="s">
        <v>1498</v>
      </c>
      <c r="D77" s="197"/>
      <c r="E77" s="207">
        <f>4*0.65*8.34</f>
        <v>21.684</v>
      </c>
      <c r="F77" s="332"/>
      <c r="G77" s="332"/>
      <c r="H77" s="332"/>
      <c r="I77" s="333"/>
      <c r="J77" s="566"/>
      <c r="N77" s="159"/>
      <c r="T77" s="509"/>
    </row>
    <row r="78" spans="1:20" s="22" customFormat="1" ht="23.25" customHeight="1">
      <c r="A78" s="196"/>
      <c r="B78" s="205" t="s">
        <v>1466</v>
      </c>
      <c r="C78" s="523" t="s">
        <v>1499</v>
      </c>
      <c r="D78" s="197"/>
      <c r="E78" s="207">
        <f>4*1.25*8.34+4*1.2*8.34</f>
        <v>81.732</v>
      </c>
      <c r="F78" s="332"/>
      <c r="G78" s="332"/>
      <c r="H78" s="332"/>
      <c r="I78" s="333"/>
      <c r="J78" s="566"/>
      <c r="N78" s="159"/>
      <c r="T78" s="509"/>
    </row>
    <row r="79" spans="1:20" s="22" customFormat="1" ht="23.25" customHeight="1">
      <c r="A79" s="196"/>
      <c r="B79" s="205" t="s">
        <v>1468</v>
      </c>
      <c r="C79" s="523" t="s">
        <v>1518</v>
      </c>
      <c r="D79" s="197"/>
      <c r="E79" s="207">
        <f>(4*1.25+4*1.2)*8.34</f>
        <v>81.732</v>
      </c>
      <c r="F79" s="332"/>
      <c r="G79" s="332"/>
      <c r="H79" s="332"/>
      <c r="I79" s="333"/>
      <c r="J79" s="566"/>
      <c r="N79" s="159"/>
      <c r="T79" s="509"/>
    </row>
    <row r="80" spans="1:20" s="22" customFormat="1" ht="23.25" customHeight="1">
      <c r="A80" s="196"/>
      <c r="B80" s="205" t="s">
        <v>1470</v>
      </c>
      <c r="C80" s="523" t="s">
        <v>1519</v>
      </c>
      <c r="D80" s="197"/>
      <c r="E80" s="207">
        <f>1.2*4*4*8.34</f>
        <v>160.128</v>
      </c>
      <c r="F80" s="332"/>
      <c r="G80" s="332"/>
      <c r="H80" s="332"/>
      <c r="I80" s="333"/>
      <c r="J80" s="566"/>
      <c r="T80" s="509"/>
    </row>
    <row r="81" spans="1:20" s="22" customFormat="1" ht="23.25" customHeight="1">
      <c r="A81" s="196"/>
      <c r="B81" s="205" t="s">
        <v>1472</v>
      </c>
      <c r="C81" s="523" t="s">
        <v>1506</v>
      </c>
      <c r="D81" s="197"/>
      <c r="E81" s="207">
        <f>3.2*2*8.34+4*1.15*8.34</f>
        <v>91.74000000000001</v>
      </c>
      <c r="F81" s="332"/>
      <c r="G81" s="332"/>
      <c r="H81" s="332"/>
      <c r="I81" s="333"/>
      <c r="J81" s="566"/>
      <c r="T81" s="509"/>
    </row>
    <row r="82" spans="1:20" s="22" customFormat="1" ht="27.75" customHeight="1">
      <c r="A82" s="196"/>
      <c r="B82" s="205" t="s">
        <v>1473</v>
      </c>
      <c r="C82" s="523" t="s">
        <v>1520</v>
      </c>
      <c r="D82" s="197"/>
      <c r="E82" s="207">
        <f>1.2*4*8.34+0.8*4*8.34+1.15*4*8.34+1.1*4*8.34+3.2*2*2</f>
        <v>154.58</v>
      </c>
      <c r="F82" s="332"/>
      <c r="G82" s="332"/>
      <c r="H82" s="332"/>
      <c r="I82" s="333"/>
      <c r="J82" s="566"/>
      <c r="T82" s="509"/>
    </row>
    <row r="83" spans="1:20" s="22" customFormat="1" ht="23.25" customHeight="1">
      <c r="A83" s="196"/>
      <c r="B83" s="205" t="s">
        <v>1470</v>
      </c>
      <c r="C83" s="523" t="s">
        <v>1521</v>
      </c>
      <c r="D83" s="197"/>
      <c r="E83" s="207">
        <f>1.2*4*8.34*3+3.03</f>
        <v>123.12599999999999</v>
      </c>
      <c r="F83" s="332"/>
      <c r="G83" s="332"/>
      <c r="H83" s="332"/>
      <c r="I83" s="333"/>
      <c r="J83" s="566"/>
      <c r="T83" s="509"/>
    </row>
    <row r="84" spans="1:20" s="22" customFormat="1" ht="23.25" customHeight="1">
      <c r="A84" s="196"/>
      <c r="B84" s="205" t="s">
        <v>1522</v>
      </c>
      <c r="C84" s="523" t="s">
        <v>1523</v>
      </c>
      <c r="D84" s="197"/>
      <c r="E84" s="207">
        <f>1343.56*0.05</f>
        <v>67.178</v>
      </c>
      <c r="F84" s="332"/>
      <c r="G84" s="332"/>
      <c r="H84" s="332"/>
      <c r="I84" s="333"/>
      <c r="J84" s="566"/>
      <c r="T84" s="509"/>
    </row>
    <row r="85" spans="1:20" s="22" customFormat="1" ht="13.5" customHeight="1">
      <c r="A85" s="196"/>
      <c r="B85" s="205"/>
      <c r="C85" s="523"/>
      <c r="D85" s="197"/>
      <c r="E85" s="207"/>
      <c r="F85" s="332"/>
      <c r="G85" s="332"/>
      <c r="H85" s="332"/>
      <c r="I85" s="333"/>
      <c r="J85" s="566"/>
      <c r="T85" s="509"/>
    </row>
    <row r="86" spans="1:20" s="22" customFormat="1" ht="23.25" customHeight="1">
      <c r="A86" s="196" t="s">
        <v>1719</v>
      </c>
      <c r="B86" s="197" t="s">
        <v>1524</v>
      </c>
      <c r="C86" s="199" t="s">
        <v>1525</v>
      </c>
      <c r="D86" s="197"/>
      <c r="E86" s="198" t="s">
        <v>2488</v>
      </c>
      <c r="F86" s="332">
        <f>SUM(E87:E88)</f>
        <v>209.24399999999997</v>
      </c>
      <c r="G86" s="332"/>
      <c r="H86" s="332">
        <f>F86*G86</f>
        <v>0</v>
      </c>
      <c r="I86" s="333">
        <v>0.001</v>
      </c>
      <c r="J86" s="566">
        <f>F86*I86</f>
        <v>0.20924399999999999</v>
      </c>
      <c r="T86" s="509"/>
    </row>
    <row r="87" spans="1:20" s="22" customFormat="1" ht="21.75" customHeight="1">
      <c r="A87" s="278"/>
      <c r="B87" s="205" t="s">
        <v>1476</v>
      </c>
      <c r="C87" s="825" t="s">
        <v>1526</v>
      </c>
      <c r="D87" s="279"/>
      <c r="E87" s="207">
        <f>1.8*4*2*10.6+1.1*4*10.6</f>
        <v>199.27999999999997</v>
      </c>
      <c r="F87" s="382"/>
      <c r="G87" s="382"/>
      <c r="H87" s="382"/>
      <c r="I87" s="383"/>
      <c r="J87" s="567"/>
      <c r="T87" s="509"/>
    </row>
    <row r="88" spans="1:20" s="22" customFormat="1" ht="23.25" customHeight="1">
      <c r="A88" s="196"/>
      <c r="B88" s="205" t="s">
        <v>1522</v>
      </c>
      <c r="C88" s="523" t="s">
        <v>1527</v>
      </c>
      <c r="D88" s="197"/>
      <c r="E88" s="207">
        <f>199.28*0.05</f>
        <v>9.964</v>
      </c>
      <c r="F88" s="332"/>
      <c r="G88" s="332"/>
      <c r="H88" s="332"/>
      <c r="I88" s="333"/>
      <c r="J88" s="566"/>
      <c r="T88" s="509"/>
    </row>
    <row r="89" spans="1:20" s="22" customFormat="1" ht="13.5" customHeight="1">
      <c r="A89" s="196"/>
      <c r="B89" s="205"/>
      <c r="C89" s="523"/>
      <c r="D89" s="197"/>
      <c r="E89" s="207"/>
      <c r="F89" s="332"/>
      <c r="G89" s="332"/>
      <c r="H89" s="332"/>
      <c r="I89" s="333"/>
      <c r="J89" s="566"/>
      <c r="T89" s="509"/>
    </row>
    <row r="90" spans="1:20" s="22" customFormat="1" ht="23.25" customHeight="1">
      <c r="A90" s="196" t="s">
        <v>1722</v>
      </c>
      <c r="B90" s="197" t="s">
        <v>1528</v>
      </c>
      <c r="C90" s="199" t="s">
        <v>1529</v>
      </c>
      <c r="D90" s="197"/>
      <c r="E90" s="198" t="s">
        <v>2488</v>
      </c>
      <c r="F90" s="332">
        <f>SUM(E91:E95)</f>
        <v>146.8655</v>
      </c>
      <c r="G90" s="332"/>
      <c r="H90" s="332">
        <f>F90*G90</f>
        <v>0</v>
      </c>
      <c r="I90" s="333">
        <v>0.001</v>
      </c>
      <c r="J90" s="566">
        <f>F90*I90</f>
        <v>0.1468655</v>
      </c>
      <c r="T90" s="509"/>
    </row>
    <row r="91" spans="1:20" s="22" customFormat="1" ht="23.25" customHeight="1">
      <c r="A91" s="196"/>
      <c r="B91" s="205" t="s">
        <v>1454</v>
      </c>
      <c r="C91" s="523" t="s">
        <v>1494</v>
      </c>
      <c r="D91" s="197"/>
      <c r="E91" s="207">
        <f>2*1.05*15.04</f>
        <v>31.584</v>
      </c>
      <c r="F91" s="332"/>
      <c r="G91" s="332"/>
      <c r="H91" s="332"/>
      <c r="I91" s="333"/>
      <c r="J91" s="566"/>
      <c r="T91" s="509"/>
    </row>
    <row r="92" spans="1:20" s="22" customFormat="1" ht="23.25" customHeight="1">
      <c r="A92" s="196"/>
      <c r="B92" s="205" t="s">
        <v>1500</v>
      </c>
      <c r="C92" s="523" t="s">
        <v>1501</v>
      </c>
      <c r="D92" s="197"/>
      <c r="E92" s="207">
        <f>2*0.6*15.04</f>
        <v>18.048</v>
      </c>
      <c r="F92" s="332"/>
      <c r="G92" s="332"/>
      <c r="H92" s="332"/>
      <c r="I92" s="333"/>
      <c r="J92" s="566"/>
      <c r="T92" s="509"/>
    </row>
    <row r="93" spans="1:20" s="22" customFormat="1" ht="21.75" customHeight="1">
      <c r="A93" s="278"/>
      <c r="B93" s="205" t="s">
        <v>1476</v>
      </c>
      <c r="C93" s="825" t="s">
        <v>1530</v>
      </c>
      <c r="D93" s="279"/>
      <c r="E93" s="207">
        <f>15.04*2*0.6</f>
        <v>18.048</v>
      </c>
      <c r="F93" s="382"/>
      <c r="G93" s="382"/>
      <c r="H93" s="382"/>
      <c r="I93" s="383"/>
      <c r="J93" s="567"/>
      <c r="T93" s="509"/>
    </row>
    <row r="94" spans="1:20" s="22" customFormat="1" ht="21.75" customHeight="1">
      <c r="A94" s="278"/>
      <c r="B94" s="205" t="s">
        <v>1478</v>
      </c>
      <c r="C94" s="825" t="s">
        <v>1513</v>
      </c>
      <c r="D94" s="279"/>
      <c r="E94" s="207">
        <f>0.6*2*15.04*4</f>
        <v>72.192</v>
      </c>
      <c r="F94" s="382"/>
      <c r="G94" s="382"/>
      <c r="H94" s="382"/>
      <c r="I94" s="383"/>
      <c r="J94" s="567"/>
      <c r="T94" s="509"/>
    </row>
    <row r="95" spans="1:20" s="22" customFormat="1" ht="23.25" customHeight="1">
      <c r="A95" s="196"/>
      <c r="B95" s="205" t="s">
        <v>1522</v>
      </c>
      <c r="C95" s="523" t="s">
        <v>1531</v>
      </c>
      <c r="D95" s="197"/>
      <c r="E95" s="207">
        <f>139.87*0.05</f>
        <v>6.993500000000001</v>
      </c>
      <c r="F95" s="332"/>
      <c r="G95" s="332"/>
      <c r="H95" s="332"/>
      <c r="I95" s="333"/>
      <c r="J95" s="566"/>
      <c r="T95" s="509"/>
    </row>
    <row r="96" spans="1:20" s="22" customFormat="1" ht="23.25" customHeight="1">
      <c r="A96" s="196" t="s">
        <v>1725</v>
      </c>
      <c r="B96" s="197" t="s">
        <v>1532</v>
      </c>
      <c r="C96" s="199" t="s">
        <v>1533</v>
      </c>
      <c r="D96" s="197"/>
      <c r="E96" s="198" t="s">
        <v>2488</v>
      </c>
      <c r="F96" s="332">
        <f>SUM(E98:E103)</f>
        <v>48.216</v>
      </c>
      <c r="G96" s="332"/>
      <c r="H96" s="332">
        <f>F96*G96</f>
        <v>0</v>
      </c>
      <c r="I96" s="333">
        <v>0.001</v>
      </c>
      <c r="J96" s="566">
        <f>F96*I96</f>
        <v>0.048216</v>
      </c>
      <c r="T96" s="509"/>
    </row>
    <row r="97" spans="1:20" s="22" customFormat="1" ht="23.25" customHeight="1">
      <c r="A97" s="196"/>
      <c r="B97" s="205" t="s">
        <v>1489</v>
      </c>
      <c r="C97" s="206" t="s">
        <v>1491</v>
      </c>
      <c r="D97" s="197"/>
      <c r="E97" s="207">
        <f>(1*1.15)*4.1*2</f>
        <v>9.429999999999998</v>
      </c>
      <c r="F97" s="332"/>
      <c r="G97" s="332"/>
      <c r="H97" s="332"/>
      <c r="I97" s="333"/>
      <c r="J97" s="566"/>
      <c r="T97" s="509"/>
    </row>
    <row r="98" spans="1:20" s="22" customFormat="1" ht="23.25" customHeight="1">
      <c r="A98" s="196"/>
      <c r="B98" s="205" t="s">
        <v>1502</v>
      </c>
      <c r="C98" s="523" t="s">
        <v>1503</v>
      </c>
      <c r="D98" s="197"/>
      <c r="E98" s="207">
        <f>1.2*4.1*2</f>
        <v>9.839999999999998</v>
      </c>
      <c r="F98" s="332"/>
      <c r="G98" s="332"/>
      <c r="H98" s="332"/>
      <c r="I98" s="333"/>
      <c r="J98" s="566"/>
      <c r="T98" s="509"/>
    </row>
    <row r="99" spans="1:20" s="22" customFormat="1" ht="23.25" customHeight="1">
      <c r="A99" s="196"/>
      <c r="B99" s="205" t="s">
        <v>1468</v>
      </c>
      <c r="C99" s="523" t="s">
        <v>1503</v>
      </c>
      <c r="D99" s="197"/>
      <c r="E99" s="207">
        <f>1.2*4.1*2</f>
        <v>9.839999999999998</v>
      </c>
      <c r="F99" s="332"/>
      <c r="G99" s="332"/>
      <c r="H99" s="332"/>
      <c r="I99" s="333"/>
      <c r="J99" s="566"/>
      <c r="T99" s="509"/>
    </row>
    <row r="100" spans="1:20" s="22" customFormat="1" ht="23.25" customHeight="1">
      <c r="A100" s="196"/>
      <c r="B100" s="205" t="s">
        <v>1470</v>
      </c>
      <c r="C100" s="523" t="s">
        <v>1534</v>
      </c>
      <c r="D100" s="197"/>
      <c r="E100" s="207">
        <f>1.2*2*4.1</f>
        <v>9.839999999999998</v>
      </c>
      <c r="F100" s="332"/>
      <c r="G100" s="332"/>
      <c r="H100" s="332"/>
      <c r="I100" s="333"/>
      <c r="J100" s="566"/>
      <c r="T100" s="509"/>
    </row>
    <row r="101" spans="1:20" s="22" customFormat="1" ht="23.25" customHeight="1">
      <c r="A101" s="196"/>
      <c r="B101" s="205" t="s">
        <v>1509</v>
      </c>
      <c r="C101" s="523" t="s">
        <v>1510</v>
      </c>
      <c r="D101" s="197"/>
      <c r="E101" s="207">
        <f>1*2*4.1</f>
        <v>8.2</v>
      </c>
      <c r="F101" s="332"/>
      <c r="G101" s="332"/>
      <c r="H101" s="332"/>
      <c r="I101" s="333"/>
      <c r="J101" s="566"/>
      <c r="T101" s="509"/>
    </row>
    <row r="102" spans="1:20" s="22" customFormat="1" ht="23.25" customHeight="1">
      <c r="A102" s="196"/>
      <c r="B102" s="205" t="s">
        <v>1511</v>
      </c>
      <c r="C102" s="523" t="s">
        <v>1510</v>
      </c>
      <c r="D102" s="197"/>
      <c r="E102" s="207">
        <f>1*2*4.1</f>
        <v>8.2</v>
      </c>
      <c r="F102" s="332"/>
      <c r="G102" s="332"/>
      <c r="H102" s="332"/>
      <c r="I102" s="333"/>
      <c r="J102" s="566"/>
      <c r="T102" s="509"/>
    </row>
    <row r="103" spans="1:20" s="22" customFormat="1" ht="23.25" customHeight="1">
      <c r="A103" s="196"/>
      <c r="B103" s="205" t="s">
        <v>1522</v>
      </c>
      <c r="C103" s="523" t="s">
        <v>1535</v>
      </c>
      <c r="D103" s="197"/>
      <c r="E103" s="207">
        <f>45.92*0.05</f>
        <v>2.2960000000000003</v>
      </c>
      <c r="F103" s="332"/>
      <c r="G103" s="332"/>
      <c r="H103" s="332"/>
      <c r="I103" s="333"/>
      <c r="J103" s="566"/>
      <c r="T103" s="509"/>
    </row>
    <row r="104" spans="1:20" s="22" customFormat="1" ht="13.5" customHeight="1">
      <c r="A104" s="196"/>
      <c r="B104" s="205"/>
      <c r="C104" s="523"/>
      <c r="D104" s="197"/>
      <c r="E104" s="207"/>
      <c r="F104" s="332"/>
      <c r="G104" s="332"/>
      <c r="H104" s="332"/>
      <c r="I104" s="333"/>
      <c r="J104" s="566"/>
      <c r="T104" s="509"/>
    </row>
    <row r="105" spans="1:20" s="22" customFormat="1" ht="23.25" customHeight="1">
      <c r="A105" s="196" t="s">
        <v>1728</v>
      </c>
      <c r="B105" s="197" t="s">
        <v>1536</v>
      </c>
      <c r="C105" s="199" t="s">
        <v>1537</v>
      </c>
      <c r="D105" s="197"/>
      <c r="E105" s="198" t="s">
        <v>1718</v>
      </c>
      <c r="F105" s="332">
        <f>SUM(E106:E111)</f>
        <v>7</v>
      </c>
      <c r="G105" s="332"/>
      <c r="H105" s="332">
        <f>F105*G105</f>
        <v>0</v>
      </c>
      <c r="I105" s="333">
        <v>0.01429</v>
      </c>
      <c r="J105" s="566">
        <f>F105*I105</f>
        <v>0.10003000000000001</v>
      </c>
      <c r="T105" s="509"/>
    </row>
    <row r="106" spans="1:20" s="22" customFormat="1" ht="23.25" customHeight="1">
      <c r="A106" s="196"/>
      <c r="B106" s="205" t="s">
        <v>1489</v>
      </c>
      <c r="C106" s="523">
        <v>2</v>
      </c>
      <c r="D106" s="197"/>
      <c r="E106" s="207">
        <v>2</v>
      </c>
      <c r="F106" s="332"/>
      <c r="G106" s="332"/>
      <c r="H106" s="332"/>
      <c r="I106" s="333"/>
      <c r="J106" s="566"/>
      <c r="T106" s="509"/>
    </row>
    <row r="107" spans="1:20" s="22" customFormat="1" ht="23.25" customHeight="1">
      <c r="A107" s="196"/>
      <c r="B107" s="205" t="s">
        <v>1502</v>
      </c>
      <c r="C107" s="523">
        <v>1</v>
      </c>
      <c r="D107" s="197"/>
      <c r="E107" s="207">
        <v>1</v>
      </c>
      <c r="F107" s="332"/>
      <c r="G107" s="332"/>
      <c r="H107" s="332"/>
      <c r="I107" s="333"/>
      <c r="J107" s="566"/>
      <c r="T107" s="509"/>
    </row>
    <row r="108" spans="1:20" s="22" customFormat="1" ht="23.25" customHeight="1">
      <c r="A108" s="196"/>
      <c r="B108" s="205" t="s">
        <v>1468</v>
      </c>
      <c r="C108" s="523">
        <v>1</v>
      </c>
      <c r="D108" s="197"/>
      <c r="E108" s="207">
        <v>1</v>
      </c>
      <c r="F108" s="332"/>
      <c r="G108" s="332"/>
      <c r="H108" s="332"/>
      <c r="I108" s="333"/>
      <c r="J108" s="566"/>
      <c r="T108" s="509"/>
    </row>
    <row r="109" spans="1:20" s="22" customFormat="1" ht="23.25" customHeight="1">
      <c r="A109" s="196"/>
      <c r="B109" s="205" t="s">
        <v>1470</v>
      </c>
      <c r="C109" s="523">
        <v>1</v>
      </c>
      <c r="D109" s="197"/>
      <c r="E109" s="207">
        <v>1</v>
      </c>
      <c r="F109" s="332"/>
      <c r="G109" s="332"/>
      <c r="H109" s="332"/>
      <c r="I109" s="333"/>
      <c r="J109" s="566"/>
      <c r="T109" s="509"/>
    </row>
    <row r="110" spans="1:20" s="22" customFormat="1" ht="23.25" customHeight="1">
      <c r="A110" s="196"/>
      <c r="B110" s="205" t="s">
        <v>1509</v>
      </c>
      <c r="C110" s="523">
        <v>1</v>
      </c>
      <c r="D110" s="197"/>
      <c r="E110" s="207">
        <v>1</v>
      </c>
      <c r="F110" s="332"/>
      <c r="G110" s="332"/>
      <c r="H110" s="332"/>
      <c r="I110" s="333"/>
      <c r="J110" s="566"/>
      <c r="T110" s="509"/>
    </row>
    <row r="111" spans="1:20" s="22" customFormat="1" ht="23.25" customHeight="1">
      <c r="A111" s="196"/>
      <c r="B111" s="205" t="s">
        <v>1511</v>
      </c>
      <c r="C111" s="523">
        <v>1</v>
      </c>
      <c r="D111" s="197"/>
      <c r="E111" s="207">
        <v>1</v>
      </c>
      <c r="F111" s="332"/>
      <c r="G111" s="332"/>
      <c r="H111" s="332"/>
      <c r="I111" s="333"/>
      <c r="J111" s="566"/>
      <c r="T111" s="509"/>
    </row>
    <row r="112" spans="1:20" s="22" customFormat="1" ht="13.5" customHeight="1">
      <c r="A112" s="196"/>
      <c r="B112" s="205"/>
      <c r="C112" s="523"/>
      <c r="D112" s="197"/>
      <c r="E112" s="207"/>
      <c r="F112" s="332"/>
      <c r="G112" s="332"/>
      <c r="H112" s="332"/>
      <c r="I112" s="333"/>
      <c r="J112" s="566"/>
      <c r="T112" s="509"/>
    </row>
    <row r="113" spans="1:20" s="22" customFormat="1" ht="32.25" customHeight="1">
      <c r="A113" s="196" t="s">
        <v>1731</v>
      </c>
      <c r="B113" s="197" t="s">
        <v>1538</v>
      </c>
      <c r="C113" s="199" t="s">
        <v>1539</v>
      </c>
      <c r="D113" s="197"/>
      <c r="E113" s="198" t="s">
        <v>1718</v>
      </c>
      <c r="F113" s="332">
        <f>SUM(E114:E130)</f>
        <v>39</v>
      </c>
      <c r="G113" s="332"/>
      <c r="H113" s="332">
        <f>F113*G113</f>
        <v>0</v>
      </c>
      <c r="I113" s="333">
        <v>0.09816</v>
      </c>
      <c r="J113" s="566">
        <f>F113*I113</f>
        <v>3.82824</v>
      </c>
      <c r="T113" s="509"/>
    </row>
    <row r="114" spans="1:20" s="22" customFormat="1" ht="23.25" customHeight="1">
      <c r="A114" s="196"/>
      <c r="B114" s="205" t="s">
        <v>1448</v>
      </c>
      <c r="C114" s="523">
        <v>1</v>
      </c>
      <c r="D114" s="197"/>
      <c r="E114" s="207">
        <v>1</v>
      </c>
      <c r="F114" s="332"/>
      <c r="G114" s="332"/>
      <c r="H114" s="332"/>
      <c r="I114" s="333"/>
      <c r="J114" s="566"/>
      <c r="T114" s="509"/>
    </row>
    <row r="115" spans="1:20" s="22" customFormat="1" ht="23.25" customHeight="1">
      <c r="A115" s="196"/>
      <c r="B115" s="205" t="s">
        <v>1450</v>
      </c>
      <c r="C115" s="523">
        <v>1</v>
      </c>
      <c r="D115" s="197"/>
      <c r="E115" s="207">
        <v>1</v>
      </c>
      <c r="F115" s="332"/>
      <c r="G115" s="332"/>
      <c r="H115" s="332"/>
      <c r="I115" s="333"/>
      <c r="J115" s="566"/>
      <c r="T115" s="509"/>
    </row>
    <row r="116" spans="1:20" s="22" customFormat="1" ht="23.25" customHeight="1">
      <c r="A116" s="196"/>
      <c r="B116" s="205" t="s">
        <v>1452</v>
      </c>
      <c r="C116" s="523">
        <v>1</v>
      </c>
      <c r="D116" s="197"/>
      <c r="E116" s="207">
        <v>1</v>
      </c>
      <c r="F116" s="332"/>
      <c r="G116" s="332"/>
      <c r="H116" s="332"/>
      <c r="I116" s="333"/>
      <c r="J116" s="566"/>
      <c r="T116" s="509"/>
    </row>
    <row r="117" spans="1:20" s="22" customFormat="1" ht="23.25" customHeight="1">
      <c r="A117" s="196"/>
      <c r="B117" s="205" t="s">
        <v>1492</v>
      </c>
      <c r="C117" s="523">
        <v>1</v>
      </c>
      <c r="D117" s="197"/>
      <c r="E117" s="207">
        <v>1</v>
      </c>
      <c r="F117" s="332"/>
      <c r="G117" s="332"/>
      <c r="H117" s="332"/>
      <c r="I117" s="333"/>
      <c r="J117" s="566"/>
      <c r="T117" s="509"/>
    </row>
    <row r="118" spans="1:20" s="22" customFormat="1" ht="23.25" customHeight="1">
      <c r="A118" s="196"/>
      <c r="B118" s="205" t="s">
        <v>1456</v>
      </c>
      <c r="C118" s="523">
        <v>2</v>
      </c>
      <c r="D118" s="197"/>
      <c r="E118" s="207">
        <v>2</v>
      </c>
      <c r="F118" s="332"/>
      <c r="G118" s="332"/>
      <c r="H118" s="332"/>
      <c r="I118" s="333"/>
      <c r="J118" s="566"/>
      <c r="T118" s="509"/>
    </row>
    <row r="119" spans="1:20" s="22" customFormat="1" ht="23.25" customHeight="1">
      <c r="A119" s="196"/>
      <c r="B119" s="205" t="s">
        <v>1458</v>
      </c>
      <c r="C119" s="523">
        <v>1</v>
      </c>
      <c r="D119" s="197"/>
      <c r="E119" s="207">
        <v>1</v>
      </c>
      <c r="F119" s="332"/>
      <c r="G119" s="332"/>
      <c r="H119" s="332"/>
      <c r="I119" s="333"/>
      <c r="J119" s="566"/>
      <c r="T119" s="509"/>
    </row>
    <row r="120" spans="1:20" s="22" customFormat="1" ht="23.25" customHeight="1">
      <c r="A120" s="196"/>
      <c r="B120" s="205" t="s">
        <v>1460</v>
      </c>
      <c r="C120" s="523">
        <v>1</v>
      </c>
      <c r="D120" s="197"/>
      <c r="E120" s="207">
        <v>1</v>
      </c>
      <c r="F120" s="332"/>
      <c r="G120" s="332"/>
      <c r="H120" s="332"/>
      <c r="I120" s="333"/>
      <c r="J120" s="566"/>
      <c r="T120" s="509"/>
    </row>
    <row r="121" spans="1:20" s="22" customFormat="1" ht="23.25" customHeight="1">
      <c r="A121" s="196"/>
      <c r="B121" s="205" t="s">
        <v>1462</v>
      </c>
      <c r="C121" s="523" t="s">
        <v>1540</v>
      </c>
      <c r="D121" s="197"/>
      <c r="E121" s="207">
        <f>1+2</f>
        <v>3</v>
      </c>
      <c r="F121" s="332"/>
      <c r="G121" s="332"/>
      <c r="H121" s="332"/>
      <c r="I121" s="333"/>
      <c r="J121" s="566"/>
      <c r="T121" s="509"/>
    </row>
    <row r="122" spans="1:20" s="22" customFormat="1" ht="23.25" customHeight="1">
      <c r="A122" s="196"/>
      <c r="B122" s="205" t="s">
        <v>1464</v>
      </c>
      <c r="C122" s="523">
        <v>2</v>
      </c>
      <c r="D122" s="197"/>
      <c r="E122" s="207">
        <v>2</v>
      </c>
      <c r="F122" s="332"/>
      <c r="G122" s="332"/>
      <c r="H122" s="332"/>
      <c r="I122" s="333"/>
      <c r="J122" s="566"/>
      <c r="T122" s="509"/>
    </row>
    <row r="123" spans="1:20" s="22" customFormat="1" ht="23.25" customHeight="1">
      <c r="A123" s="196"/>
      <c r="B123" s="205" t="s">
        <v>1466</v>
      </c>
      <c r="C123" s="523">
        <v>2</v>
      </c>
      <c r="D123" s="197"/>
      <c r="E123" s="207">
        <v>2</v>
      </c>
      <c r="F123" s="332"/>
      <c r="G123" s="332"/>
      <c r="H123" s="332"/>
      <c r="I123" s="333"/>
      <c r="J123" s="566"/>
      <c r="T123" s="509"/>
    </row>
    <row r="124" spans="1:20" s="22" customFormat="1" ht="23.25" customHeight="1">
      <c r="A124" s="196"/>
      <c r="B124" s="205" t="s">
        <v>1468</v>
      </c>
      <c r="C124" s="523">
        <v>2</v>
      </c>
      <c r="D124" s="197"/>
      <c r="E124" s="207">
        <v>2</v>
      </c>
      <c r="F124" s="332"/>
      <c r="G124" s="332"/>
      <c r="H124" s="332"/>
      <c r="I124" s="333"/>
      <c r="J124" s="566"/>
      <c r="T124" s="509"/>
    </row>
    <row r="125" spans="1:20" s="22" customFormat="1" ht="23.25" customHeight="1">
      <c r="A125" s="196"/>
      <c r="B125" s="205" t="s">
        <v>1470</v>
      </c>
      <c r="C125" s="523">
        <v>6</v>
      </c>
      <c r="D125" s="197"/>
      <c r="E125" s="207">
        <v>6</v>
      </c>
      <c r="F125" s="332"/>
      <c r="G125" s="332"/>
      <c r="H125" s="332"/>
      <c r="I125" s="333"/>
      <c r="J125" s="566"/>
      <c r="T125" s="509"/>
    </row>
    <row r="126" spans="1:20" s="22" customFormat="1" ht="23.25" customHeight="1">
      <c r="A126" s="196"/>
      <c r="B126" s="205" t="s">
        <v>1472</v>
      </c>
      <c r="C126" s="523">
        <v>1</v>
      </c>
      <c r="D126" s="197"/>
      <c r="E126" s="207">
        <v>1</v>
      </c>
      <c r="F126" s="332"/>
      <c r="G126" s="332"/>
      <c r="H126" s="332"/>
      <c r="I126" s="333"/>
      <c r="J126" s="566"/>
      <c r="T126" s="509"/>
    </row>
    <row r="127" spans="1:20" s="22" customFormat="1" ht="23.25" customHeight="1">
      <c r="A127" s="196"/>
      <c r="B127" s="205" t="s">
        <v>1473</v>
      </c>
      <c r="C127" s="523">
        <v>4</v>
      </c>
      <c r="D127" s="197"/>
      <c r="E127" s="207">
        <v>4</v>
      </c>
      <c r="F127" s="332"/>
      <c r="G127" s="332"/>
      <c r="H127" s="332"/>
      <c r="I127" s="333"/>
      <c r="J127" s="566"/>
      <c r="T127" s="509"/>
    </row>
    <row r="128" spans="1:20" s="22" customFormat="1" ht="23.25" customHeight="1">
      <c r="A128" s="196"/>
      <c r="B128" s="205" t="s">
        <v>1470</v>
      </c>
      <c r="C128" s="523">
        <v>3</v>
      </c>
      <c r="D128" s="197"/>
      <c r="E128" s="207">
        <v>3</v>
      </c>
      <c r="F128" s="332"/>
      <c r="G128" s="332"/>
      <c r="H128" s="332"/>
      <c r="I128" s="333"/>
      <c r="J128" s="566"/>
      <c r="T128" s="509"/>
    </row>
    <row r="129" spans="1:20" s="22" customFormat="1" ht="21.75" customHeight="1">
      <c r="A129" s="278"/>
      <c r="B129" s="205" t="s">
        <v>1476</v>
      </c>
      <c r="C129" s="523">
        <v>4</v>
      </c>
      <c r="D129" s="279"/>
      <c r="E129" s="207">
        <v>4</v>
      </c>
      <c r="F129" s="382"/>
      <c r="G129" s="382"/>
      <c r="H129" s="382"/>
      <c r="I129" s="383"/>
      <c r="J129" s="567"/>
      <c r="T129" s="509"/>
    </row>
    <row r="130" spans="1:20" s="22" customFormat="1" ht="21.75" customHeight="1">
      <c r="A130" s="278"/>
      <c r="B130" s="205" t="s">
        <v>1478</v>
      </c>
      <c r="C130" s="523">
        <v>4</v>
      </c>
      <c r="D130" s="279"/>
      <c r="E130" s="207">
        <v>4</v>
      </c>
      <c r="F130" s="382"/>
      <c r="G130" s="382"/>
      <c r="H130" s="382"/>
      <c r="I130" s="383"/>
      <c r="J130" s="567"/>
      <c r="T130" s="509"/>
    </row>
    <row r="131" spans="1:20" s="22" customFormat="1" ht="13.5" customHeight="1">
      <c r="A131" s="196"/>
      <c r="B131" s="205"/>
      <c r="C131" s="523"/>
      <c r="D131" s="197"/>
      <c r="E131" s="207"/>
      <c r="F131" s="332"/>
      <c r="G131" s="332"/>
      <c r="H131" s="332"/>
      <c r="I131" s="333"/>
      <c r="J131" s="566"/>
      <c r="T131" s="509"/>
    </row>
    <row r="132" spans="1:20" s="22" customFormat="1" ht="31.5" customHeight="1">
      <c r="A132" s="196" t="s">
        <v>1541</v>
      </c>
      <c r="B132" s="197" t="s">
        <v>1542</v>
      </c>
      <c r="C132" s="199" t="s">
        <v>1543</v>
      </c>
      <c r="D132" s="197"/>
      <c r="E132" s="198" t="s">
        <v>1718</v>
      </c>
      <c r="F132" s="332">
        <f>SUM(E133:E157)</f>
        <v>296</v>
      </c>
      <c r="G132" s="332"/>
      <c r="H132" s="332">
        <f>F132*G132</f>
        <v>0</v>
      </c>
      <c r="I132" s="333">
        <v>0.0223</v>
      </c>
      <c r="J132" s="566">
        <f>F132*I132</f>
        <v>6.6008000000000004</v>
      </c>
      <c r="T132" s="509"/>
    </row>
    <row r="133" spans="1:20" s="536" customFormat="1" ht="21.75" customHeight="1">
      <c r="A133" s="204"/>
      <c r="B133" s="205" t="s">
        <v>1482</v>
      </c>
      <c r="C133" s="206" t="s">
        <v>1544</v>
      </c>
      <c r="D133" s="205"/>
      <c r="E133" s="207">
        <f>2*2</f>
        <v>4</v>
      </c>
      <c r="F133" s="335"/>
      <c r="G133" s="335"/>
      <c r="H133" s="335"/>
      <c r="I133" s="336"/>
      <c r="J133" s="568"/>
      <c r="K133" s="134"/>
      <c r="L133" s="134"/>
      <c r="M133" s="134"/>
      <c r="N133" s="134"/>
      <c r="O133" s="134"/>
      <c r="P133" s="134"/>
      <c r="Q133" s="140"/>
      <c r="R133" s="130"/>
      <c r="S133" s="134"/>
      <c r="T133" s="130"/>
    </row>
    <row r="134" spans="1:20" s="536" customFormat="1" ht="21.75" customHeight="1">
      <c r="A134" s="204"/>
      <c r="B134" s="205" t="s">
        <v>1545</v>
      </c>
      <c r="C134" s="206" t="s">
        <v>1546</v>
      </c>
      <c r="D134" s="205"/>
      <c r="E134" s="207">
        <f>2*2*2</f>
        <v>8</v>
      </c>
      <c r="F134" s="335"/>
      <c r="G134" s="335"/>
      <c r="H134" s="335"/>
      <c r="I134" s="336"/>
      <c r="J134" s="568"/>
      <c r="K134" s="134"/>
      <c r="L134" s="134"/>
      <c r="M134" s="134"/>
      <c r="N134" s="134"/>
      <c r="O134" s="134"/>
      <c r="P134" s="134"/>
      <c r="Q134" s="140"/>
      <c r="R134" s="130"/>
      <c r="S134" s="134"/>
      <c r="T134" s="130"/>
    </row>
    <row r="135" spans="1:20" s="22" customFormat="1" ht="23.25" customHeight="1">
      <c r="A135" s="196"/>
      <c r="B135" s="205" t="s">
        <v>1448</v>
      </c>
      <c r="C135" s="523" t="s">
        <v>1547</v>
      </c>
      <c r="D135" s="197"/>
      <c r="E135" s="207">
        <f>4*2</f>
        <v>8</v>
      </c>
      <c r="F135" s="332"/>
      <c r="G135" s="332"/>
      <c r="H135" s="332"/>
      <c r="I135" s="333"/>
      <c r="J135" s="566"/>
      <c r="T135" s="509"/>
    </row>
    <row r="136" spans="1:20" s="22" customFormat="1" ht="23.25" customHeight="1">
      <c r="A136" s="196"/>
      <c r="B136" s="205" t="s">
        <v>1548</v>
      </c>
      <c r="C136" s="206" t="s">
        <v>1544</v>
      </c>
      <c r="D136" s="197"/>
      <c r="E136" s="207">
        <f>2*2</f>
        <v>4</v>
      </c>
      <c r="F136" s="332"/>
      <c r="G136" s="332"/>
      <c r="H136" s="332"/>
      <c r="I136" s="333"/>
      <c r="J136" s="566"/>
      <c r="T136" s="509"/>
    </row>
    <row r="137" spans="1:20" s="22" customFormat="1" ht="23.25" customHeight="1">
      <c r="A137" s="196"/>
      <c r="B137" s="205" t="s">
        <v>1450</v>
      </c>
      <c r="C137" s="523" t="s">
        <v>1547</v>
      </c>
      <c r="D137" s="197"/>
      <c r="E137" s="207">
        <f>4*2</f>
        <v>8</v>
      </c>
      <c r="F137" s="332"/>
      <c r="G137" s="332"/>
      <c r="H137" s="332"/>
      <c r="I137" s="333"/>
      <c r="J137" s="566"/>
      <c r="T137" s="509"/>
    </row>
    <row r="138" spans="1:20" s="22" customFormat="1" ht="23.25" customHeight="1">
      <c r="A138" s="196"/>
      <c r="B138" s="205" t="s">
        <v>1452</v>
      </c>
      <c r="C138" s="523" t="s">
        <v>1547</v>
      </c>
      <c r="D138" s="197"/>
      <c r="E138" s="207">
        <f>4*2</f>
        <v>8</v>
      </c>
      <c r="F138" s="332"/>
      <c r="G138" s="332"/>
      <c r="H138" s="332"/>
      <c r="I138" s="333"/>
      <c r="J138" s="566"/>
      <c r="T138" s="509"/>
    </row>
    <row r="139" spans="1:20" s="22" customFormat="1" ht="23.25" customHeight="1">
      <c r="A139" s="196"/>
      <c r="B139" s="205" t="s">
        <v>1489</v>
      </c>
      <c r="C139" s="206" t="s">
        <v>1549</v>
      </c>
      <c r="D139" s="197"/>
      <c r="E139" s="207">
        <f>2*2+1*2</f>
        <v>6</v>
      </c>
      <c r="F139" s="332"/>
      <c r="G139" s="332"/>
      <c r="H139" s="332"/>
      <c r="I139" s="333"/>
      <c r="J139" s="566"/>
      <c r="T139" s="509"/>
    </row>
    <row r="140" spans="1:20" s="22" customFormat="1" ht="23.25" customHeight="1">
      <c r="A140" s="196"/>
      <c r="B140" s="205" t="s">
        <v>1492</v>
      </c>
      <c r="C140" s="206" t="s">
        <v>1550</v>
      </c>
      <c r="D140" s="197"/>
      <c r="E140" s="207">
        <f>2*2+2*4</f>
        <v>12</v>
      </c>
      <c r="F140" s="332"/>
      <c r="G140" s="332"/>
      <c r="H140" s="332"/>
      <c r="I140" s="333"/>
      <c r="J140" s="566"/>
      <c r="T140" s="509"/>
    </row>
    <row r="141" spans="1:20" s="22" customFormat="1" ht="23.25" customHeight="1">
      <c r="A141" s="196"/>
      <c r="B141" s="205" t="s">
        <v>1456</v>
      </c>
      <c r="C141" s="523" t="s">
        <v>1547</v>
      </c>
      <c r="D141" s="197"/>
      <c r="E141" s="207">
        <f>4*2</f>
        <v>8</v>
      </c>
      <c r="F141" s="332"/>
      <c r="G141" s="332"/>
      <c r="H141" s="332"/>
      <c r="I141" s="333"/>
      <c r="J141" s="566"/>
      <c r="T141" s="509"/>
    </row>
    <row r="142" spans="1:20" s="22" customFormat="1" ht="23.25" customHeight="1">
      <c r="A142" s="196"/>
      <c r="B142" s="205" t="s">
        <v>1458</v>
      </c>
      <c r="C142" s="523" t="s">
        <v>1547</v>
      </c>
      <c r="D142" s="197"/>
      <c r="E142" s="207">
        <f>4*2</f>
        <v>8</v>
      </c>
      <c r="F142" s="332"/>
      <c r="G142" s="332"/>
      <c r="H142" s="332"/>
      <c r="I142" s="333"/>
      <c r="J142" s="566"/>
      <c r="T142" s="509"/>
    </row>
    <row r="143" spans="1:20" s="22" customFormat="1" ht="23.25" customHeight="1">
      <c r="A143" s="196"/>
      <c r="B143" s="205" t="s">
        <v>1460</v>
      </c>
      <c r="C143" s="523" t="s">
        <v>1547</v>
      </c>
      <c r="D143" s="197"/>
      <c r="E143" s="207">
        <f>4*2</f>
        <v>8</v>
      </c>
      <c r="F143" s="332"/>
      <c r="G143" s="332"/>
      <c r="H143" s="332"/>
      <c r="I143" s="333"/>
      <c r="J143" s="566"/>
      <c r="T143" s="509"/>
    </row>
    <row r="144" spans="1:20" s="22" customFormat="1" ht="23.25" customHeight="1">
      <c r="A144" s="196"/>
      <c r="B144" s="205" t="s">
        <v>1462</v>
      </c>
      <c r="C144" s="523" t="s">
        <v>1551</v>
      </c>
      <c r="D144" s="197"/>
      <c r="E144" s="207">
        <f>4*2+4*2*2</f>
        <v>24</v>
      </c>
      <c r="F144" s="332"/>
      <c r="G144" s="332"/>
      <c r="H144" s="332"/>
      <c r="I144" s="333"/>
      <c r="J144" s="566"/>
      <c r="T144" s="509"/>
    </row>
    <row r="145" spans="1:20" s="22" customFormat="1" ht="23.25" customHeight="1">
      <c r="A145" s="196"/>
      <c r="B145" s="205" t="s">
        <v>1500</v>
      </c>
      <c r="C145" s="523" t="s">
        <v>1544</v>
      </c>
      <c r="D145" s="197"/>
      <c r="E145" s="207">
        <f>2*2</f>
        <v>4</v>
      </c>
      <c r="F145" s="332"/>
      <c r="G145" s="332"/>
      <c r="H145" s="332"/>
      <c r="I145" s="333"/>
      <c r="J145" s="566"/>
      <c r="T145" s="509"/>
    </row>
    <row r="146" spans="1:20" s="22" customFormat="1" ht="23.25" customHeight="1">
      <c r="A146" s="196"/>
      <c r="B146" s="205" t="s">
        <v>1464</v>
      </c>
      <c r="C146" s="523" t="s">
        <v>1544</v>
      </c>
      <c r="D146" s="197"/>
      <c r="E146" s="207">
        <f>2*2</f>
        <v>4</v>
      </c>
      <c r="F146" s="332"/>
      <c r="G146" s="332"/>
      <c r="H146" s="332"/>
      <c r="I146" s="333"/>
      <c r="J146" s="566"/>
      <c r="T146" s="509"/>
    </row>
    <row r="147" spans="1:20" s="22" customFormat="1" ht="23.25" customHeight="1">
      <c r="A147" s="196"/>
      <c r="B147" s="205" t="s">
        <v>1502</v>
      </c>
      <c r="C147" s="523">
        <v>2</v>
      </c>
      <c r="D147" s="197"/>
      <c r="E147" s="207">
        <v>2</v>
      </c>
      <c r="F147" s="332"/>
      <c r="G147" s="332"/>
      <c r="H147" s="332"/>
      <c r="I147" s="333"/>
      <c r="J147" s="566"/>
      <c r="T147" s="509"/>
    </row>
    <row r="148" spans="1:20" s="22" customFormat="1" ht="23.25" customHeight="1">
      <c r="A148" s="196"/>
      <c r="B148" s="205" t="s">
        <v>1466</v>
      </c>
      <c r="C148" s="523" t="s">
        <v>1552</v>
      </c>
      <c r="D148" s="197"/>
      <c r="E148" s="207">
        <f>4*2*2</f>
        <v>16</v>
      </c>
      <c r="F148" s="332"/>
      <c r="G148" s="332"/>
      <c r="H148" s="332"/>
      <c r="I148" s="333"/>
      <c r="J148" s="566"/>
      <c r="T148" s="509"/>
    </row>
    <row r="149" spans="1:20" s="22" customFormat="1" ht="23.25" customHeight="1">
      <c r="A149" s="196"/>
      <c r="B149" s="205" t="s">
        <v>1468</v>
      </c>
      <c r="C149" s="523" t="s">
        <v>1553</v>
      </c>
      <c r="D149" s="197"/>
      <c r="E149" s="207">
        <f>4*2+4*2+2</f>
        <v>18</v>
      </c>
      <c r="F149" s="332"/>
      <c r="G149" s="332"/>
      <c r="H149" s="332"/>
      <c r="I149" s="333"/>
      <c r="J149" s="566"/>
      <c r="T149" s="509"/>
    </row>
    <row r="150" spans="1:20" s="22" customFormat="1" ht="23.25" customHeight="1">
      <c r="A150" s="196"/>
      <c r="B150" s="205" t="s">
        <v>1470</v>
      </c>
      <c r="C150" s="523" t="s">
        <v>1554</v>
      </c>
      <c r="D150" s="197"/>
      <c r="E150" s="207">
        <f>4*2*3+1*2</f>
        <v>26</v>
      </c>
      <c r="F150" s="332"/>
      <c r="G150" s="332"/>
      <c r="H150" s="332"/>
      <c r="I150" s="333"/>
      <c r="J150" s="566"/>
      <c r="T150" s="509"/>
    </row>
    <row r="151" spans="1:20" s="22" customFormat="1" ht="23.25" customHeight="1">
      <c r="A151" s="196"/>
      <c r="B151" s="205" t="s">
        <v>1472</v>
      </c>
      <c r="C151" s="523" t="s">
        <v>1555</v>
      </c>
      <c r="D151" s="197"/>
      <c r="E151" s="207">
        <f>4+4*2</f>
        <v>12</v>
      </c>
      <c r="F151" s="332"/>
      <c r="G151" s="332"/>
      <c r="H151" s="332"/>
      <c r="I151" s="333"/>
      <c r="J151" s="566"/>
      <c r="T151" s="509"/>
    </row>
    <row r="152" spans="1:20" s="22" customFormat="1" ht="23.25" customHeight="1">
      <c r="A152" s="196"/>
      <c r="B152" s="205" t="s">
        <v>1473</v>
      </c>
      <c r="C152" s="523" t="s">
        <v>1556</v>
      </c>
      <c r="D152" s="197"/>
      <c r="E152" s="207">
        <f>4*2*4+4</f>
        <v>36</v>
      </c>
      <c r="F152" s="332"/>
      <c r="G152" s="332"/>
      <c r="H152" s="332"/>
      <c r="I152" s="333"/>
      <c r="J152" s="566"/>
      <c r="T152" s="509"/>
    </row>
    <row r="153" spans="1:20" s="22" customFormat="1" ht="23.25" customHeight="1">
      <c r="A153" s="196"/>
      <c r="B153" s="205" t="s">
        <v>1470</v>
      </c>
      <c r="C153" s="523" t="s">
        <v>1557</v>
      </c>
      <c r="D153" s="197"/>
      <c r="E153" s="207">
        <f>4*2*3</f>
        <v>24</v>
      </c>
      <c r="F153" s="332"/>
      <c r="G153" s="332"/>
      <c r="H153" s="332"/>
      <c r="I153" s="333"/>
      <c r="J153" s="566"/>
      <c r="T153" s="509"/>
    </row>
    <row r="154" spans="1:20" s="22" customFormat="1" ht="23.25" customHeight="1">
      <c r="A154" s="196"/>
      <c r="B154" s="205" t="s">
        <v>1509</v>
      </c>
      <c r="C154" s="523" t="s">
        <v>1558</v>
      </c>
      <c r="D154" s="197"/>
      <c r="E154" s="207">
        <f>1*2</f>
        <v>2</v>
      </c>
      <c r="F154" s="332"/>
      <c r="G154" s="332"/>
      <c r="H154" s="332"/>
      <c r="I154" s="333"/>
      <c r="J154" s="566"/>
      <c r="T154" s="509"/>
    </row>
    <row r="155" spans="1:20" s="22" customFormat="1" ht="23.25" customHeight="1">
      <c r="A155" s="196"/>
      <c r="B155" s="205" t="s">
        <v>1511</v>
      </c>
      <c r="C155" s="523" t="s">
        <v>1558</v>
      </c>
      <c r="D155" s="197"/>
      <c r="E155" s="207">
        <f>1*2</f>
        <v>2</v>
      </c>
      <c r="F155" s="332"/>
      <c r="G155" s="332"/>
      <c r="H155" s="332"/>
      <c r="I155" s="333"/>
      <c r="J155" s="566"/>
      <c r="T155" s="509"/>
    </row>
    <row r="156" spans="1:20" s="22" customFormat="1" ht="21.75" customHeight="1">
      <c r="A156" s="278"/>
      <c r="B156" s="205" t="s">
        <v>1476</v>
      </c>
      <c r="C156" s="523" t="s">
        <v>1559</v>
      </c>
      <c r="D156" s="279"/>
      <c r="E156" s="207">
        <f>2*2+4*2*3</f>
        <v>28</v>
      </c>
      <c r="F156" s="382"/>
      <c r="G156" s="382"/>
      <c r="H156" s="382"/>
      <c r="I156" s="383"/>
      <c r="J156" s="567"/>
      <c r="T156" s="509"/>
    </row>
    <row r="157" spans="1:20" s="22" customFormat="1" ht="21.75" customHeight="1">
      <c r="A157" s="278"/>
      <c r="B157" s="205" t="s">
        <v>1478</v>
      </c>
      <c r="C157" s="523" t="s">
        <v>1552</v>
      </c>
      <c r="D157" s="279"/>
      <c r="E157" s="207">
        <f>4*2*2</f>
        <v>16</v>
      </c>
      <c r="F157" s="382"/>
      <c r="G157" s="382"/>
      <c r="H157" s="382"/>
      <c r="I157" s="383"/>
      <c r="J157" s="567"/>
      <c r="T157" s="509"/>
    </row>
    <row r="158" spans="1:20" s="22" customFormat="1" ht="13.5" customHeight="1">
      <c r="A158" s="196"/>
      <c r="B158" s="205"/>
      <c r="C158" s="523"/>
      <c r="D158" s="197"/>
      <c r="E158" s="207"/>
      <c r="F158" s="332"/>
      <c r="G158" s="332"/>
      <c r="H158" s="332"/>
      <c r="I158" s="333"/>
      <c r="J158" s="566"/>
      <c r="T158" s="509"/>
    </row>
    <row r="159" spans="1:20" s="22" customFormat="1" ht="31.5" customHeight="1">
      <c r="A159" s="196" t="s">
        <v>1560</v>
      </c>
      <c r="B159" s="197" t="s">
        <v>1561</v>
      </c>
      <c r="C159" s="199" t="s">
        <v>1562</v>
      </c>
      <c r="D159" s="197"/>
      <c r="E159" s="198" t="s">
        <v>1718</v>
      </c>
      <c r="F159" s="332">
        <f>SUM(E160:E170)</f>
        <v>36</v>
      </c>
      <c r="G159" s="332"/>
      <c r="H159" s="332">
        <f>F159*G159</f>
        <v>0</v>
      </c>
      <c r="I159" s="333">
        <v>0.00029</v>
      </c>
      <c r="J159" s="566">
        <f>F159*I159</f>
        <v>0.01044</v>
      </c>
      <c r="T159" s="509"/>
    </row>
    <row r="160" spans="1:20" s="22" customFormat="1" ht="23.25" customHeight="1">
      <c r="A160" s="196"/>
      <c r="B160" s="205" t="s">
        <v>1452</v>
      </c>
      <c r="C160" s="206" t="s">
        <v>1563</v>
      </c>
      <c r="D160" s="197"/>
      <c r="E160" s="207">
        <f>3</f>
        <v>3</v>
      </c>
      <c r="F160" s="332"/>
      <c r="G160" s="332"/>
      <c r="H160" s="332"/>
      <c r="I160" s="333"/>
      <c r="J160" s="566"/>
      <c r="T160" s="509"/>
    </row>
    <row r="161" spans="1:20" s="22" customFormat="1" ht="23.25" customHeight="1">
      <c r="A161" s="196"/>
      <c r="B161" s="205" t="s">
        <v>1489</v>
      </c>
      <c r="C161" s="206" t="s">
        <v>1563</v>
      </c>
      <c r="D161" s="197"/>
      <c r="E161" s="207">
        <v>3</v>
      </c>
      <c r="F161" s="332"/>
      <c r="G161" s="332"/>
      <c r="H161" s="332"/>
      <c r="I161" s="333"/>
      <c r="J161" s="566"/>
      <c r="T161" s="509"/>
    </row>
    <row r="162" spans="1:20" s="22" customFormat="1" ht="23.25" customHeight="1">
      <c r="A162" s="196"/>
      <c r="B162" s="205" t="s">
        <v>1492</v>
      </c>
      <c r="C162" s="206" t="s">
        <v>1563</v>
      </c>
      <c r="D162" s="197"/>
      <c r="E162" s="207">
        <v>3</v>
      </c>
      <c r="F162" s="332"/>
      <c r="G162" s="332"/>
      <c r="H162" s="332"/>
      <c r="I162" s="333"/>
      <c r="J162" s="566"/>
      <c r="T162" s="509"/>
    </row>
    <row r="163" spans="1:20" s="22" customFormat="1" ht="23.25" customHeight="1">
      <c r="A163" s="196"/>
      <c r="B163" s="205" t="s">
        <v>1462</v>
      </c>
      <c r="C163" s="523">
        <v>3</v>
      </c>
      <c r="D163" s="197"/>
      <c r="E163" s="207">
        <v>3</v>
      </c>
      <c r="F163" s="332"/>
      <c r="G163" s="332"/>
      <c r="H163" s="332"/>
      <c r="I163" s="333"/>
      <c r="J163" s="566"/>
      <c r="T163" s="509"/>
    </row>
    <row r="164" spans="1:20" s="22" customFormat="1" ht="23.25" customHeight="1">
      <c r="A164" s="196"/>
      <c r="B164" s="205" t="s">
        <v>1464</v>
      </c>
      <c r="C164" s="523">
        <v>3</v>
      </c>
      <c r="D164" s="197"/>
      <c r="E164" s="207">
        <v>3</v>
      </c>
      <c r="F164" s="332"/>
      <c r="G164" s="332"/>
      <c r="H164" s="332"/>
      <c r="I164" s="333"/>
      <c r="J164" s="566"/>
      <c r="T164" s="509"/>
    </row>
    <row r="165" spans="1:20" s="22" customFormat="1" ht="23.25" customHeight="1">
      <c r="A165" s="196"/>
      <c r="B165" s="205" t="s">
        <v>1466</v>
      </c>
      <c r="C165" s="523">
        <v>3</v>
      </c>
      <c r="D165" s="197"/>
      <c r="E165" s="207">
        <v>3</v>
      </c>
      <c r="F165" s="332"/>
      <c r="G165" s="332"/>
      <c r="H165" s="332"/>
      <c r="I165" s="333"/>
      <c r="J165" s="566"/>
      <c r="T165" s="509"/>
    </row>
    <row r="166" spans="1:20" s="22" customFormat="1" ht="23.25" customHeight="1">
      <c r="A166" s="196"/>
      <c r="B166" s="205" t="s">
        <v>1468</v>
      </c>
      <c r="C166" s="523">
        <v>3</v>
      </c>
      <c r="D166" s="197"/>
      <c r="E166" s="207">
        <v>3</v>
      </c>
      <c r="F166" s="332"/>
      <c r="G166" s="332"/>
      <c r="H166" s="332"/>
      <c r="I166" s="333"/>
      <c r="J166" s="566"/>
      <c r="T166" s="509"/>
    </row>
    <row r="167" spans="1:20" s="22" customFormat="1" ht="23.25" customHeight="1">
      <c r="A167" s="196"/>
      <c r="B167" s="205" t="s">
        <v>1472</v>
      </c>
      <c r="C167" s="523">
        <v>3</v>
      </c>
      <c r="D167" s="197"/>
      <c r="E167" s="207">
        <v>3</v>
      </c>
      <c r="F167" s="332"/>
      <c r="G167" s="332"/>
      <c r="H167" s="332"/>
      <c r="I167" s="333"/>
      <c r="J167" s="566"/>
      <c r="T167" s="509"/>
    </row>
    <row r="168" spans="1:20" s="22" customFormat="1" ht="23.25" customHeight="1">
      <c r="A168" s="196"/>
      <c r="B168" s="205" t="s">
        <v>1473</v>
      </c>
      <c r="C168" s="523" t="s">
        <v>1564</v>
      </c>
      <c r="D168" s="197"/>
      <c r="E168" s="207">
        <f>3*2</f>
        <v>6</v>
      </c>
      <c r="F168" s="332"/>
      <c r="G168" s="332"/>
      <c r="H168" s="332"/>
      <c r="I168" s="333"/>
      <c r="J168" s="566"/>
      <c r="T168" s="509"/>
    </row>
    <row r="169" spans="1:20" s="22" customFormat="1" ht="23.25" customHeight="1">
      <c r="A169" s="196"/>
      <c r="B169" s="205" t="s">
        <v>1565</v>
      </c>
      <c r="C169" s="523">
        <v>3</v>
      </c>
      <c r="D169" s="197"/>
      <c r="E169" s="207">
        <v>3</v>
      </c>
      <c r="F169" s="332"/>
      <c r="G169" s="332"/>
      <c r="H169" s="332"/>
      <c r="I169" s="333"/>
      <c r="J169" s="566"/>
      <c r="T169" s="509"/>
    </row>
    <row r="170" spans="1:20" s="22" customFormat="1" ht="21.75" customHeight="1">
      <c r="A170" s="278"/>
      <c r="B170" s="205" t="s">
        <v>1476</v>
      </c>
      <c r="C170" s="523">
        <v>3</v>
      </c>
      <c r="D170" s="279"/>
      <c r="E170" s="207">
        <v>3</v>
      </c>
      <c r="F170" s="382"/>
      <c r="G170" s="382"/>
      <c r="H170" s="382"/>
      <c r="I170" s="383"/>
      <c r="J170" s="567"/>
      <c r="T170" s="509"/>
    </row>
    <row r="171" spans="1:20" s="22" customFormat="1" ht="31.5" customHeight="1">
      <c r="A171" s="196" t="s">
        <v>1566</v>
      </c>
      <c r="B171" s="197" t="s">
        <v>1567</v>
      </c>
      <c r="C171" s="199" t="s">
        <v>1568</v>
      </c>
      <c r="D171" s="197"/>
      <c r="E171" s="198" t="s">
        <v>1718</v>
      </c>
      <c r="F171" s="332">
        <f>SUM(E172)</f>
        <v>2</v>
      </c>
      <c r="G171" s="332"/>
      <c r="H171" s="332">
        <f>F171*G171</f>
        <v>0</v>
      </c>
      <c r="I171" s="333">
        <v>0.00029</v>
      </c>
      <c r="J171" s="566">
        <f>F171*I171</f>
        <v>0.00058</v>
      </c>
      <c r="T171" s="509"/>
    </row>
    <row r="172" spans="1:20" s="22" customFormat="1" ht="23.25" customHeight="1">
      <c r="A172" s="196"/>
      <c r="B172" s="205" t="s">
        <v>1569</v>
      </c>
      <c r="C172" s="523">
        <v>2</v>
      </c>
      <c r="D172" s="197"/>
      <c r="E172" s="207">
        <v>2</v>
      </c>
      <c r="F172" s="332"/>
      <c r="G172" s="332"/>
      <c r="H172" s="332"/>
      <c r="I172" s="333"/>
      <c r="J172" s="566"/>
      <c r="T172" s="509"/>
    </row>
    <row r="173" spans="1:20" s="22" customFormat="1" ht="15" customHeight="1">
      <c r="A173" s="196"/>
      <c r="B173" s="197"/>
      <c r="C173" s="199"/>
      <c r="D173" s="197"/>
      <c r="E173" s="198"/>
      <c r="F173" s="332"/>
      <c r="G173" s="332"/>
      <c r="H173" s="332"/>
      <c r="I173" s="333"/>
      <c r="J173" s="566"/>
      <c r="T173" s="509"/>
    </row>
    <row r="174" spans="1:20" s="22" customFormat="1" ht="32.25" customHeight="1">
      <c r="A174" s="196" t="s">
        <v>1570</v>
      </c>
      <c r="B174" s="197" t="s">
        <v>1571</v>
      </c>
      <c r="C174" s="199" t="s">
        <v>0</v>
      </c>
      <c r="D174" s="197"/>
      <c r="E174" s="198" t="s">
        <v>1718</v>
      </c>
      <c r="F174" s="382">
        <f>SUM(E175:E188)</f>
        <v>14</v>
      </c>
      <c r="G174" s="332"/>
      <c r="H174" s="332">
        <f>F174*G174</f>
        <v>0</v>
      </c>
      <c r="I174" s="383">
        <v>0.000574</v>
      </c>
      <c r="J174" s="566">
        <f>F174*I174</f>
        <v>0.008036</v>
      </c>
      <c r="T174" s="509"/>
    </row>
    <row r="175" spans="1:20" s="22" customFormat="1" ht="52.5" customHeight="1">
      <c r="A175" s="196"/>
      <c r="B175" s="197"/>
      <c r="C175" s="199" t="s">
        <v>1</v>
      </c>
      <c r="D175" s="197"/>
      <c r="E175" s="198"/>
      <c r="F175" s="332"/>
      <c r="G175" s="332"/>
      <c r="H175" s="332"/>
      <c r="I175" s="333"/>
      <c r="J175" s="566"/>
      <c r="T175" s="509"/>
    </row>
    <row r="176" spans="1:20" s="22" customFormat="1" ht="23.25" customHeight="1">
      <c r="A176" s="196"/>
      <c r="B176" s="205" t="s">
        <v>1452</v>
      </c>
      <c r="C176" s="523">
        <v>1</v>
      </c>
      <c r="D176" s="197"/>
      <c r="E176" s="207">
        <v>1</v>
      </c>
      <c r="F176" s="332"/>
      <c r="G176" s="332"/>
      <c r="H176" s="332"/>
      <c r="I176" s="333"/>
      <c r="J176" s="566"/>
      <c r="T176" s="509"/>
    </row>
    <row r="177" spans="1:20" s="22" customFormat="1" ht="23.25" customHeight="1">
      <c r="A177" s="196"/>
      <c r="B177" s="205" t="s">
        <v>1489</v>
      </c>
      <c r="C177" s="523">
        <v>1</v>
      </c>
      <c r="D177" s="826"/>
      <c r="E177" s="207">
        <v>1</v>
      </c>
      <c r="F177" s="332"/>
      <c r="G177" s="332"/>
      <c r="H177" s="332"/>
      <c r="I177" s="333"/>
      <c r="J177" s="566"/>
      <c r="T177" s="509"/>
    </row>
    <row r="178" spans="1:20" s="22" customFormat="1" ht="23.25" customHeight="1">
      <c r="A178" s="196"/>
      <c r="B178" s="205" t="s">
        <v>1492</v>
      </c>
      <c r="C178" s="523">
        <v>1</v>
      </c>
      <c r="D178" s="197"/>
      <c r="E178" s="207">
        <v>1</v>
      </c>
      <c r="F178" s="332"/>
      <c r="G178" s="332"/>
      <c r="H178" s="332"/>
      <c r="I178" s="333"/>
      <c r="J178" s="566"/>
      <c r="T178" s="509"/>
    </row>
    <row r="179" spans="1:20" s="22" customFormat="1" ht="23.25" customHeight="1">
      <c r="A179" s="196"/>
      <c r="B179" s="205" t="s">
        <v>1458</v>
      </c>
      <c r="C179" s="523">
        <v>1</v>
      </c>
      <c r="D179" s="197"/>
      <c r="E179" s="207">
        <v>1</v>
      </c>
      <c r="F179" s="332"/>
      <c r="G179" s="332"/>
      <c r="H179" s="332"/>
      <c r="I179" s="333"/>
      <c r="J179" s="566"/>
      <c r="T179" s="509"/>
    </row>
    <row r="180" spans="1:20" s="22" customFormat="1" ht="23.25" customHeight="1">
      <c r="A180" s="196"/>
      <c r="B180" s="205" t="s">
        <v>1462</v>
      </c>
      <c r="C180" s="523">
        <v>2</v>
      </c>
      <c r="D180" s="197"/>
      <c r="E180" s="207">
        <v>2</v>
      </c>
      <c r="F180" s="332"/>
      <c r="G180" s="332"/>
      <c r="H180" s="332"/>
      <c r="I180" s="333"/>
      <c r="J180" s="566"/>
      <c r="T180" s="509"/>
    </row>
    <row r="181" spans="1:20" s="22" customFormat="1" ht="23.25" customHeight="1">
      <c r="A181" s="196"/>
      <c r="B181" s="205" t="s">
        <v>1464</v>
      </c>
      <c r="C181" s="523">
        <v>1</v>
      </c>
      <c r="D181" s="197"/>
      <c r="E181" s="207">
        <v>1</v>
      </c>
      <c r="F181" s="332"/>
      <c r="G181" s="332"/>
      <c r="H181" s="332"/>
      <c r="I181" s="333"/>
      <c r="J181" s="566"/>
      <c r="T181" s="509"/>
    </row>
    <row r="182" spans="1:20" s="22" customFormat="1" ht="23.25" customHeight="1">
      <c r="A182" s="196"/>
      <c r="B182" s="205" t="s">
        <v>1466</v>
      </c>
      <c r="C182" s="523">
        <v>1</v>
      </c>
      <c r="D182" s="197"/>
      <c r="E182" s="207">
        <v>1</v>
      </c>
      <c r="F182" s="332"/>
      <c r="G182" s="332"/>
      <c r="H182" s="332"/>
      <c r="I182" s="333"/>
      <c r="J182" s="566"/>
      <c r="T182" s="509"/>
    </row>
    <row r="183" spans="1:20" s="22" customFormat="1" ht="23.25" customHeight="1">
      <c r="A183" s="196"/>
      <c r="B183" s="205" t="s">
        <v>1468</v>
      </c>
      <c r="C183" s="523">
        <v>1</v>
      </c>
      <c r="D183" s="197"/>
      <c r="E183" s="207">
        <v>1</v>
      </c>
      <c r="F183" s="332"/>
      <c r="G183" s="332"/>
      <c r="H183" s="332"/>
      <c r="I183" s="333"/>
      <c r="J183" s="566"/>
      <c r="T183" s="509"/>
    </row>
    <row r="184" spans="1:20" s="22" customFormat="1" ht="23.25" customHeight="1">
      <c r="A184" s="196"/>
      <c r="B184" s="205" t="s">
        <v>1470</v>
      </c>
      <c r="C184" s="523">
        <v>1</v>
      </c>
      <c r="D184" s="197"/>
      <c r="E184" s="207">
        <v>1</v>
      </c>
      <c r="F184" s="332"/>
      <c r="G184" s="332"/>
      <c r="H184" s="332"/>
      <c r="I184" s="333"/>
      <c r="J184" s="566"/>
      <c r="T184" s="509"/>
    </row>
    <row r="185" spans="1:20" s="22" customFormat="1" ht="23.25" customHeight="1">
      <c r="A185" s="196"/>
      <c r="B185" s="205" t="s">
        <v>1473</v>
      </c>
      <c r="C185" s="523">
        <v>1</v>
      </c>
      <c r="D185" s="197"/>
      <c r="E185" s="207">
        <v>1</v>
      </c>
      <c r="F185" s="332"/>
      <c r="G185" s="332"/>
      <c r="H185" s="332"/>
      <c r="I185" s="333"/>
      <c r="J185" s="566"/>
      <c r="T185" s="509"/>
    </row>
    <row r="186" spans="1:20" s="22" customFormat="1" ht="23.25" customHeight="1">
      <c r="A186" s="196"/>
      <c r="B186" s="205" t="s">
        <v>1470</v>
      </c>
      <c r="C186" s="523">
        <v>1</v>
      </c>
      <c r="D186" s="197"/>
      <c r="E186" s="207">
        <v>1</v>
      </c>
      <c r="F186" s="332"/>
      <c r="G186" s="332"/>
      <c r="H186" s="332"/>
      <c r="I186" s="333"/>
      <c r="J186" s="566"/>
      <c r="T186" s="509"/>
    </row>
    <row r="187" spans="1:20" s="22" customFormat="1" ht="23.25" customHeight="1">
      <c r="A187" s="196"/>
      <c r="B187" s="205" t="s">
        <v>2</v>
      </c>
      <c r="C187" s="523">
        <v>1</v>
      </c>
      <c r="D187" s="197"/>
      <c r="E187" s="207">
        <v>1</v>
      </c>
      <c r="F187" s="332"/>
      <c r="G187" s="332"/>
      <c r="H187" s="332"/>
      <c r="I187" s="333"/>
      <c r="J187" s="566"/>
      <c r="T187" s="509"/>
    </row>
    <row r="188" spans="1:20" s="22" customFormat="1" ht="21.75" customHeight="1">
      <c r="A188" s="278"/>
      <c r="B188" s="205" t="s">
        <v>1476</v>
      </c>
      <c r="C188" s="523">
        <v>1</v>
      </c>
      <c r="D188" s="279"/>
      <c r="E188" s="207">
        <v>1</v>
      </c>
      <c r="F188" s="382"/>
      <c r="G188" s="382"/>
      <c r="H188" s="382"/>
      <c r="I188" s="383"/>
      <c r="J188" s="567"/>
      <c r="T188" s="509"/>
    </row>
    <row r="189" spans="1:20" s="22" customFormat="1" ht="20.25" customHeight="1">
      <c r="A189" s="196" t="s">
        <v>3</v>
      </c>
      <c r="B189" s="197" t="s">
        <v>4</v>
      </c>
      <c r="C189" s="197" t="s">
        <v>5</v>
      </c>
      <c r="D189" s="197"/>
      <c r="E189" s="198" t="s">
        <v>1709</v>
      </c>
      <c r="F189" s="332">
        <f>SUM(E190)</f>
        <v>0.72</v>
      </c>
      <c r="G189" s="332"/>
      <c r="H189" s="332">
        <f>F189*G189</f>
        <v>0</v>
      </c>
      <c r="I189" s="333">
        <v>2.525</v>
      </c>
      <c r="J189" s="566">
        <f>F189*I189</f>
        <v>1.8179999999999998</v>
      </c>
      <c r="T189" s="509"/>
    </row>
    <row r="190" spans="1:20" s="130" customFormat="1" ht="21" customHeight="1">
      <c r="A190" s="204"/>
      <c r="B190" s="205"/>
      <c r="C190" s="206" t="s">
        <v>6</v>
      </c>
      <c r="D190" s="205"/>
      <c r="E190" s="207">
        <f>2*0.6*4*0.15</f>
        <v>0.72</v>
      </c>
      <c r="F190" s="335"/>
      <c r="G190" s="335"/>
      <c r="H190" s="335"/>
      <c r="I190" s="336"/>
      <c r="J190" s="568"/>
      <c r="K190" s="134"/>
      <c r="L190" s="134"/>
      <c r="M190" s="134"/>
      <c r="N190" s="134"/>
      <c r="O190" s="323"/>
      <c r="P190" s="323"/>
      <c r="Q190" s="140"/>
      <c r="S190" s="134"/>
      <c r="T190" s="508"/>
    </row>
    <row r="191" spans="1:20" s="22" customFormat="1" ht="32.25" customHeight="1">
      <c r="A191" s="196" t="s">
        <v>7</v>
      </c>
      <c r="B191" s="197" t="s">
        <v>8</v>
      </c>
      <c r="C191" s="199" t="s">
        <v>9</v>
      </c>
      <c r="D191" s="197"/>
      <c r="E191" s="198" t="s">
        <v>1783</v>
      </c>
      <c r="F191" s="332">
        <f>SUM(E192)</f>
        <v>0.026303999999999998</v>
      </c>
      <c r="G191" s="332"/>
      <c r="H191" s="332">
        <f>F191*G191</f>
        <v>0</v>
      </c>
      <c r="I191" s="333">
        <v>1.05474</v>
      </c>
      <c r="J191" s="566">
        <f>F191*I191</f>
        <v>0.027743880959999998</v>
      </c>
      <c r="K191" s="133"/>
      <c r="L191" s="133"/>
      <c r="M191" s="133"/>
      <c r="N191" s="133"/>
      <c r="O191" s="133"/>
      <c r="P191" s="133"/>
      <c r="Q191" s="139"/>
      <c r="S191" s="133"/>
      <c r="T191" s="509"/>
    </row>
    <row r="192" spans="1:20" s="130" customFormat="1" ht="21" customHeight="1">
      <c r="A192" s="204"/>
      <c r="B192" s="205"/>
      <c r="C192" s="206" t="s">
        <v>10</v>
      </c>
      <c r="D192" s="205"/>
      <c r="E192" s="207">
        <f>2*0.6*4*0.00548</f>
        <v>0.026303999999999998</v>
      </c>
      <c r="F192" s="335"/>
      <c r="G192" s="335"/>
      <c r="H192" s="335"/>
      <c r="I192" s="336"/>
      <c r="J192" s="568"/>
      <c r="K192" s="134"/>
      <c r="L192" s="134"/>
      <c r="M192" s="134"/>
      <c r="N192" s="134"/>
      <c r="O192" s="323"/>
      <c r="P192" s="323"/>
      <c r="Q192" s="140"/>
      <c r="S192" s="134"/>
      <c r="T192" s="508"/>
    </row>
    <row r="193" spans="1:20" s="22" customFormat="1" ht="21.75" customHeight="1">
      <c r="A193" s="196" t="s">
        <v>11</v>
      </c>
      <c r="B193" s="197" t="s">
        <v>12</v>
      </c>
      <c r="C193" s="199" t="s">
        <v>13</v>
      </c>
      <c r="D193" s="197"/>
      <c r="E193" s="198" t="s">
        <v>1748</v>
      </c>
      <c r="F193" s="332">
        <f>SUM(E194)</f>
        <v>5.28</v>
      </c>
      <c r="G193" s="332"/>
      <c r="H193" s="332">
        <f>F193*G193</f>
        <v>0</v>
      </c>
      <c r="I193" s="333">
        <v>0</v>
      </c>
      <c r="J193" s="566">
        <f>F193*I193</f>
        <v>0</v>
      </c>
      <c r="K193" s="133"/>
      <c r="L193" s="133"/>
      <c r="M193" s="133"/>
      <c r="N193" s="133"/>
      <c r="O193" s="133"/>
      <c r="P193" s="133"/>
      <c r="Q193" s="139"/>
      <c r="S193" s="133"/>
      <c r="T193" s="509"/>
    </row>
    <row r="194" spans="1:20" s="130" customFormat="1" ht="21" customHeight="1">
      <c r="A194" s="204"/>
      <c r="B194" s="205"/>
      <c r="C194" s="206" t="s">
        <v>14</v>
      </c>
      <c r="D194" s="205"/>
      <c r="E194" s="207">
        <f>2*0.6*4*1.1</f>
        <v>5.28</v>
      </c>
      <c r="F194" s="335"/>
      <c r="G194" s="335"/>
      <c r="H194" s="335"/>
      <c r="I194" s="336"/>
      <c r="J194" s="568"/>
      <c r="K194" s="134"/>
      <c r="L194" s="134"/>
      <c r="M194" s="134"/>
      <c r="N194" s="134"/>
      <c r="O194" s="323"/>
      <c r="P194" s="323"/>
      <c r="Q194" s="140"/>
      <c r="S194" s="134"/>
      <c r="T194" s="508"/>
    </row>
    <row r="195" spans="1:20" s="22" customFormat="1" ht="23.25" customHeight="1">
      <c r="A195" s="196" t="s">
        <v>15</v>
      </c>
      <c r="B195" s="197" t="s">
        <v>16</v>
      </c>
      <c r="C195" s="199" t="s">
        <v>17</v>
      </c>
      <c r="D195" s="197"/>
      <c r="E195" s="198" t="s">
        <v>1748</v>
      </c>
      <c r="F195" s="332">
        <f>SUM(E196)</f>
        <v>5.52</v>
      </c>
      <c r="G195" s="332"/>
      <c r="H195" s="332">
        <f>F195*G195</f>
        <v>0</v>
      </c>
      <c r="I195" s="333">
        <v>0.0005</v>
      </c>
      <c r="J195" s="566">
        <f>F195*I195</f>
        <v>0.00276</v>
      </c>
      <c r="K195" s="133"/>
      <c r="L195" s="133"/>
      <c r="M195" s="133"/>
      <c r="N195" s="133"/>
      <c r="O195" s="133"/>
      <c r="P195" s="133"/>
      <c r="Q195" s="139"/>
      <c r="S195" s="133"/>
      <c r="T195" s="509"/>
    </row>
    <row r="196" spans="1:20" s="130" customFormat="1" ht="21" customHeight="1">
      <c r="A196" s="204"/>
      <c r="B196" s="205"/>
      <c r="C196" s="206" t="s">
        <v>18</v>
      </c>
      <c r="D196" s="205"/>
      <c r="E196" s="207">
        <f>2*0.6*4*1.15</f>
        <v>5.52</v>
      </c>
      <c r="F196" s="335"/>
      <c r="G196" s="335"/>
      <c r="H196" s="335"/>
      <c r="I196" s="336"/>
      <c r="J196" s="568"/>
      <c r="K196" s="134"/>
      <c r="L196" s="134"/>
      <c r="M196" s="134"/>
      <c r="N196" s="134"/>
      <c r="O196" s="323"/>
      <c r="P196" s="323"/>
      <c r="Q196" s="140"/>
      <c r="S196" s="134"/>
      <c r="T196" s="508"/>
    </row>
    <row r="197" spans="1:20" s="22" customFormat="1" ht="17.25" customHeight="1" thickBot="1">
      <c r="A197" s="200"/>
      <c r="B197" s="201"/>
      <c r="C197" s="201"/>
      <c r="D197" s="201"/>
      <c r="E197" s="203"/>
      <c r="F197" s="338"/>
      <c r="G197" s="338"/>
      <c r="H197" s="338"/>
      <c r="I197" s="339"/>
      <c r="J197" s="569"/>
      <c r="T197" s="509"/>
    </row>
    <row r="198" spans="1:20" ht="16.5" customHeight="1" thickBot="1">
      <c r="A198" s="226" t="s">
        <v>1618</v>
      </c>
      <c r="B198" s="175" t="s">
        <v>1875</v>
      </c>
      <c r="C198" s="176" t="s">
        <v>1876</v>
      </c>
      <c r="D198" s="176"/>
      <c r="E198" s="175"/>
      <c r="F198" s="341"/>
      <c r="G198" s="341"/>
      <c r="H198" s="342">
        <f>SUM(H199:H430)</f>
        <v>0</v>
      </c>
      <c r="I198" s="343"/>
      <c r="J198" s="564">
        <f>SUM(J199:J430)</f>
        <v>22.529020805250003</v>
      </c>
      <c r="O198" s="511"/>
      <c r="P198" s="511"/>
      <c r="T198" s="670"/>
    </row>
    <row r="199" spans="1:20" s="145" customFormat="1" ht="16.5" customHeight="1">
      <c r="A199" s="190"/>
      <c r="B199" s="684"/>
      <c r="C199" s="685"/>
      <c r="D199" s="685"/>
      <c r="E199" s="686"/>
      <c r="F199" s="678"/>
      <c r="G199" s="678"/>
      <c r="H199" s="678"/>
      <c r="I199" s="304"/>
      <c r="J199" s="366"/>
      <c r="K199" s="143"/>
      <c r="L199" s="143"/>
      <c r="M199" s="143"/>
      <c r="N199" s="144"/>
      <c r="O199" s="288"/>
      <c r="P199" s="288"/>
      <c r="Q199" s="288"/>
      <c r="R199" s="288"/>
      <c r="S199" s="288"/>
      <c r="T199" s="144"/>
    </row>
    <row r="200" spans="1:20" s="22" customFormat="1" ht="23.25" customHeight="1">
      <c r="A200" s="196" t="s">
        <v>1734</v>
      </c>
      <c r="B200" s="197" t="s">
        <v>19</v>
      </c>
      <c r="C200" s="199" t="s">
        <v>20</v>
      </c>
      <c r="D200" s="197"/>
      <c r="E200" s="198" t="s">
        <v>1826</v>
      </c>
      <c r="F200" s="332">
        <f>SUM(E201:E225)</f>
        <v>112.3</v>
      </c>
      <c r="G200" s="332"/>
      <c r="H200" s="332">
        <f>F200*G200</f>
        <v>0</v>
      </c>
      <c r="I200" s="333">
        <v>0.03713</v>
      </c>
      <c r="J200" s="566">
        <f>F200*I200</f>
        <v>4.1696990000000005</v>
      </c>
      <c r="T200" s="509"/>
    </row>
    <row r="201" spans="1:20" s="536" customFormat="1" ht="21.75" customHeight="1">
      <c r="A201" s="204"/>
      <c r="B201" s="205" t="s">
        <v>1482</v>
      </c>
      <c r="C201" s="206" t="s">
        <v>21</v>
      </c>
      <c r="D201" s="205"/>
      <c r="E201" s="207">
        <f>2*0.8</f>
        <v>1.6</v>
      </c>
      <c r="F201" s="335"/>
      <c r="G201" s="335"/>
      <c r="H201" s="335"/>
      <c r="I201" s="336"/>
      <c r="J201" s="568"/>
      <c r="K201" s="134"/>
      <c r="L201" s="134"/>
      <c r="M201" s="134"/>
      <c r="N201" s="134"/>
      <c r="O201" s="134"/>
      <c r="P201" s="134"/>
      <c r="Q201" s="140"/>
      <c r="R201" s="130"/>
      <c r="S201" s="134"/>
      <c r="T201" s="130"/>
    </row>
    <row r="202" spans="1:20" s="536" customFormat="1" ht="21.75" customHeight="1">
      <c r="A202" s="204"/>
      <c r="B202" s="205" t="s">
        <v>1545</v>
      </c>
      <c r="C202" s="206" t="s">
        <v>22</v>
      </c>
      <c r="D202" s="205"/>
      <c r="E202" s="207">
        <f>2*0.7*2</f>
        <v>2.8</v>
      </c>
      <c r="F202" s="335"/>
      <c r="G202" s="335"/>
      <c r="H202" s="335"/>
      <c r="I202" s="336"/>
      <c r="J202" s="568"/>
      <c r="K202" s="134"/>
      <c r="L202" s="134"/>
      <c r="M202" s="134"/>
      <c r="N202" s="134"/>
      <c r="O202" s="134"/>
      <c r="P202" s="134"/>
      <c r="Q202" s="140"/>
      <c r="R202" s="130"/>
      <c r="S202" s="134"/>
      <c r="T202" s="130"/>
    </row>
    <row r="203" spans="1:20" s="22" customFormat="1" ht="23.25" customHeight="1">
      <c r="A203" s="196"/>
      <c r="B203" s="205" t="s">
        <v>1548</v>
      </c>
      <c r="C203" s="206" t="s">
        <v>21</v>
      </c>
      <c r="D203" s="205"/>
      <c r="E203" s="207">
        <f>2*0.8</f>
        <v>1.6</v>
      </c>
      <c r="F203" s="332"/>
      <c r="G203" s="332"/>
      <c r="H203" s="332"/>
      <c r="I203" s="333"/>
      <c r="J203" s="566"/>
      <c r="T203" s="509"/>
    </row>
    <row r="204" spans="1:20" s="22" customFormat="1" ht="23.25" customHeight="1">
      <c r="A204" s="196"/>
      <c r="B204" s="205" t="s">
        <v>1450</v>
      </c>
      <c r="C204" s="523" t="s">
        <v>23</v>
      </c>
      <c r="D204" s="197"/>
      <c r="E204" s="207">
        <f>2*1.3</f>
        <v>2.6</v>
      </c>
      <c r="F204" s="332"/>
      <c r="G204" s="332"/>
      <c r="H204" s="332"/>
      <c r="I204" s="333"/>
      <c r="J204" s="566"/>
      <c r="T204" s="509"/>
    </row>
    <row r="205" spans="1:20" s="22" customFormat="1" ht="23.25" customHeight="1">
      <c r="A205" s="196"/>
      <c r="B205" s="205" t="s">
        <v>1452</v>
      </c>
      <c r="C205" s="523" t="s">
        <v>24</v>
      </c>
      <c r="D205" s="197"/>
      <c r="E205" s="207">
        <f>2*1.15</f>
        <v>2.3</v>
      </c>
      <c r="F205" s="332"/>
      <c r="G205" s="332"/>
      <c r="H205" s="332"/>
      <c r="I205" s="333"/>
      <c r="J205" s="566"/>
      <c r="T205" s="509"/>
    </row>
    <row r="206" spans="1:20" s="22" customFormat="1" ht="23.25" customHeight="1">
      <c r="A206" s="196"/>
      <c r="B206" s="205" t="s">
        <v>1489</v>
      </c>
      <c r="C206" s="206" t="s">
        <v>25</v>
      </c>
      <c r="D206" s="197"/>
      <c r="E206" s="207">
        <f>2*0.8+2*1.15</f>
        <v>3.9</v>
      </c>
      <c r="F206" s="332"/>
      <c r="G206" s="332"/>
      <c r="H206" s="332"/>
      <c r="I206" s="333"/>
      <c r="J206" s="566"/>
      <c r="T206" s="509"/>
    </row>
    <row r="207" spans="1:20" s="22" customFormat="1" ht="23.25" customHeight="1">
      <c r="A207" s="196"/>
      <c r="B207" s="205" t="s">
        <v>1492</v>
      </c>
      <c r="C207" s="206" t="s">
        <v>26</v>
      </c>
      <c r="D207" s="197"/>
      <c r="E207" s="207">
        <f>2*0.7*2+1.15*2</f>
        <v>5.1</v>
      </c>
      <c r="F207" s="332"/>
      <c r="G207" s="332"/>
      <c r="H207" s="332"/>
      <c r="I207" s="333"/>
      <c r="J207" s="566"/>
      <c r="T207" s="509"/>
    </row>
    <row r="208" spans="1:20" s="22" customFormat="1" ht="23.25" customHeight="1">
      <c r="A208" s="196"/>
      <c r="B208" s="205" t="s">
        <v>1454</v>
      </c>
      <c r="C208" s="523" t="s">
        <v>27</v>
      </c>
      <c r="D208" s="197"/>
      <c r="E208" s="207">
        <f>2*1.1</f>
        <v>2.2</v>
      </c>
      <c r="F208" s="332"/>
      <c r="G208" s="332"/>
      <c r="H208" s="332"/>
      <c r="I208" s="333"/>
      <c r="J208" s="566"/>
      <c r="T208" s="509"/>
    </row>
    <row r="209" spans="1:20" s="22" customFormat="1" ht="23.25" customHeight="1">
      <c r="A209" s="196"/>
      <c r="B209" s="205" t="s">
        <v>1456</v>
      </c>
      <c r="C209" s="523" t="s">
        <v>28</v>
      </c>
      <c r="D209" s="197"/>
      <c r="E209" s="207">
        <f>2*1.25</f>
        <v>2.5</v>
      </c>
      <c r="F209" s="332"/>
      <c r="G209" s="332"/>
      <c r="H209" s="332"/>
      <c r="I209" s="333"/>
      <c r="J209" s="566"/>
      <c r="T209" s="509"/>
    </row>
    <row r="210" spans="1:20" s="22" customFormat="1" ht="23.25" customHeight="1">
      <c r="A210" s="196"/>
      <c r="B210" s="205" t="s">
        <v>1458</v>
      </c>
      <c r="C210" s="523" t="s">
        <v>24</v>
      </c>
      <c r="D210" s="197"/>
      <c r="E210" s="207">
        <f>2*1.15</f>
        <v>2.3</v>
      </c>
      <c r="F210" s="332"/>
      <c r="G210" s="332"/>
      <c r="H210" s="332"/>
      <c r="I210" s="333"/>
      <c r="J210" s="566"/>
      <c r="T210" s="509"/>
    </row>
    <row r="211" spans="1:20" s="22" customFormat="1" ht="23.25" customHeight="1">
      <c r="A211" s="196"/>
      <c r="B211" s="205" t="s">
        <v>1460</v>
      </c>
      <c r="C211" s="523" t="s">
        <v>24</v>
      </c>
      <c r="D211" s="197"/>
      <c r="E211" s="207">
        <f>2*1.15</f>
        <v>2.3</v>
      </c>
      <c r="F211" s="332"/>
      <c r="G211" s="332"/>
      <c r="H211" s="332"/>
      <c r="I211" s="333"/>
      <c r="J211" s="566"/>
      <c r="T211" s="509"/>
    </row>
    <row r="212" spans="1:20" s="22" customFormat="1" ht="23.25" customHeight="1">
      <c r="A212" s="196"/>
      <c r="B212" s="205" t="s">
        <v>1462</v>
      </c>
      <c r="C212" s="523" t="s">
        <v>29</v>
      </c>
      <c r="D212" s="197"/>
      <c r="E212" s="207">
        <f>2*1.2+2*1.15*2</f>
        <v>7</v>
      </c>
      <c r="F212" s="332"/>
      <c r="G212" s="332"/>
      <c r="H212" s="332"/>
      <c r="I212" s="333"/>
      <c r="J212" s="566"/>
      <c r="T212" s="509"/>
    </row>
    <row r="213" spans="1:20" s="22" customFormat="1" ht="23.25" customHeight="1">
      <c r="A213" s="196"/>
      <c r="B213" s="205" t="s">
        <v>1500</v>
      </c>
      <c r="C213" s="523" t="s">
        <v>30</v>
      </c>
      <c r="D213" s="197"/>
      <c r="E213" s="207">
        <f>2*0.6</f>
        <v>1.2</v>
      </c>
      <c r="F213" s="332"/>
      <c r="G213" s="332"/>
      <c r="H213" s="332"/>
      <c r="I213" s="333"/>
      <c r="J213" s="566"/>
      <c r="T213" s="509"/>
    </row>
    <row r="214" spans="1:20" s="22" customFormat="1" ht="23.25" customHeight="1">
      <c r="A214" s="196"/>
      <c r="B214" s="205" t="s">
        <v>1464</v>
      </c>
      <c r="C214" s="523" t="s">
        <v>31</v>
      </c>
      <c r="D214" s="197"/>
      <c r="E214" s="207">
        <f>2*0.65</f>
        <v>1.3</v>
      </c>
      <c r="F214" s="332"/>
      <c r="G214" s="332"/>
      <c r="H214" s="332"/>
      <c r="I214" s="333"/>
      <c r="J214" s="566"/>
      <c r="T214" s="509"/>
    </row>
    <row r="215" spans="1:20" s="22" customFormat="1" ht="23.25" customHeight="1">
      <c r="A215" s="196"/>
      <c r="B215" s="205" t="s">
        <v>1502</v>
      </c>
      <c r="C215" s="523" t="s">
        <v>24</v>
      </c>
      <c r="D215" s="197"/>
      <c r="E215" s="207">
        <f>2*1.15</f>
        <v>2.3</v>
      </c>
      <c r="F215" s="332"/>
      <c r="G215" s="332"/>
      <c r="H215" s="332"/>
      <c r="I215" s="333"/>
      <c r="J215" s="566"/>
      <c r="T215" s="509"/>
    </row>
    <row r="216" spans="1:20" s="22" customFormat="1" ht="23.25" customHeight="1">
      <c r="A216" s="196"/>
      <c r="B216" s="205" t="s">
        <v>1466</v>
      </c>
      <c r="C216" s="523" t="s">
        <v>32</v>
      </c>
      <c r="D216" s="197"/>
      <c r="E216" s="207">
        <f>2*1.25+2*1.1</f>
        <v>4.7</v>
      </c>
      <c r="F216" s="332"/>
      <c r="G216" s="332"/>
      <c r="H216" s="332"/>
      <c r="I216" s="333"/>
      <c r="J216" s="566"/>
      <c r="T216" s="509"/>
    </row>
    <row r="217" spans="1:20" s="22" customFormat="1" ht="23.25" customHeight="1">
      <c r="A217" s="196"/>
      <c r="B217" s="205" t="s">
        <v>1468</v>
      </c>
      <c r="C217" s="523" t="s">
        <v>33</v>
      </c>
      <c r="D217" s="197"/>
      <c r="E217" s="207">
        <f>4*1.2*2+4*1.25*2</f>
        <v>19.6</v>
      </c>
      <c r="F217" s="332"/>
      <c r="G217" s="332"/>
      <c r="H217" s="332"/>
      <c r="I217" s="333"/>
      <c r="J217" s="566"/>
      <c r="T217" s="509"/>
    </row>
    <row r="218" spans="1:20" s="22" customFormat="1" ht="23.25" customHeight="1">
      <c r="A218" s="196"/>
      <c r="B218" s="205" t="s">
        <v>1470</v>
      </c>
      <c r="C218" s="523" t="s">
        <v>34</v>
      </c>
      <c r="D218" s="197"/>
      <c r="E218" s="207">
        <f>1.2*2*3+1.2*2</f>
        <v>9.6</v>
      </c>
      <c r="F218" s="332"/>
      <c r="G218" s="332"/>
      <c r="H218" s="332"/>
      <c r="I218" s="333"/>
      <c r="J218" s="566"/>
      <c r="T218" s="509"/>
    </row>
    <row r="219" spans="1:20" s="22" customFormat="1" ht="23.25" customHeight="1">
      <c r="A219" s="196"/>
      <c r="B219" s="205" t="s">
        <v>1472</v>
      </c>
      <c r="C219" s="523" t="s">
        <v>24</v>
      </c>
      <c r="D219" s="197"/>
      <c r="E219" s="207">
        <f>2*1.15</f>
        <v>2.3</v>
      </c>
      <c r="F219" s="332"/>
      <c r="G219" s="332"/>
      <c r="H219" s="332"/>
      <c r="I219" s="333"/>
      <c r="J219" s="566"/>
      <c r="T219" s="509"/>
    </row>
    <row r="220" spans="1:20" s="22" customFormat="1" ht="23.25" customHeight="1">
      <c r="A220" s="196"/>
      <c r="B220" s="205" t="s">
        <v>1473</v>
      </c>
      <c r="C220" s="523" t="s">
        <v>35</v>
      </c>
      <c r="D220" s="197"/>
      <c r="E220" s="207">
        <f>2*1.1+2*0.8+2*1.2+2*1.15</f>
        <v>8.5</v>
      </c>
      <c r="F220" s="332"/>
      <c r="G220" s="332"/>
      <c r="H220" s="332"/>
      <c r="I220" s="333"/>
      <c r="J220" s="566"/>
      <c r="T220" s="509"/>
    </row>
    <row r="221" spans="1:20" s="22" customFormat="1" ht="23.25" customHeight="1">
      <c r="A221" s="196"/>
      <c r="B221" s="205" t="s">
        <v>1470</v>
      </c>
      <c r="C221" s="523" t="s">
        <v>36</v>
      </c>
      <c r="D221" s="197"/>
      <c r="E221" s="207">
        <f>6*1.2</f>
        <v>7.199999999999999</v>
      </c>
      <c r="F221" s="332"/>
      <c r="G221" s="332"/>
      <c r="H221" s="332"/>
      <c r="I221" s="333"/>
      <c r="J221" s="566"/>
      <c r="T221" s="509"/>
    </row>
    <row r="222" spans="1:20" s="22" customFormat="1" ht="23.25" customHeight="1">
      <c r="A222" s="196"/>
      <c r="B222" s="205" t="s">
        <v>1509</v>
      </c>
      <c r="C222" s="523" t="s">
        <v>1558</v>
      </c>
      <c r="D222" s="197"/>
      <c r="E222" s="207">
        <f>1*2</f>
        <v>2</v>
      </c>
      <c r="F222" s="332"/>
      <c r="G222" s="332"/>
      <c r="H222" s="332"/>
      <c r="I222" s="333"/>
      <c r="J222" s="566"/>
      <c r="T222" s="509"/>
    </row>
    <row r="223" spans="1:20" s="22" customFormat="1" ht="23.25" customHeight="1">
      <c r="A223" s="196"/>
      <c r="B223" s="205" t="s">
        <v>1511</v>
      </c>
      <c r="C223" s="523" t="s">
        <v>1558</v>
      </c>
      <c r="D223" s="197"/>
      <c r="E223" s="207">
        <f>1*2</f>
        <v>2</v>
      </c>
      <c r="F223" s="332"/>
      <c r="G223" s="332"/>
      <c r="H223" s="332"/>
      <c r="I223" s="333"/>
      <c r="J223" s="566"/>
      <c r="T223" s="509"/>
    </row>
    <row r="224" spans="1:20" s="22" customFormat="1" ht="21.75" customHeight="1">
      <c r="A224" s="278"/>
      <c r="B224" s="205" t="s">
        <v>1476</v>
      </c>
      <c r="C224" s="523" t="s">
        <v>37</v>
      </c>
      <c r="D224" s="279"/>
      <c r="E224" s="207">
        <f>0.6*2+1.8*2*2+1.1*2</f>
        <v>10.600000000000001</v>
      </c>
      <c r="F224" s="382"/>
      <c r="G224" s="382"/>
      <c r="H224" s="382"/>
      <c r="I224" s="383"/>
      <c r="J224" s="567"/>
      <c r="T224" s="509"/>
    </row>
    <row r="225" spans="1:20" s="22" customFormat="1" ht="21.75" customHeight="1">
      <c r="A225" s="278"/>
      <c r="B225" s="205" t="s">
        <v>1478</v>
      </c>
      <c r="C225" s="523" t="s">
        <v>38</v>
      </c>
      <c r="D225" s="279"/>
      <c r="E225" s="207">
        <f>0.6*2*4</f>
        <v>4.8</v>
      </c>
      <c r="F225" s="382"/>
      <c r="G225" s="382"/>
      <c r="H225" s="382"/>
      <c r="I225" s="383"/>
      <c r="J225" s="567"/>
      <c r="T225" s="509"/>
    </row>
    <row r="226" spans="1:20" s="22" customFormat="1" ht="13.5" customHeight="1">
      <c r="A226" s="196"/>
      <c r="B226" s="205"/>
      <c r="C226" s="523"/>
      <c r="D226" s="197"/>
      <c r="E226" s="207"/>
      <c r="F226" s="332"/>
      <c r="G226" s="332"/>
      <c r="H226" s="332"/>
      <c r="I226" s="333"/>
      <c r="J226" s="566"/>
      <c r="T226" s="509"/>
    </row>
    <row r="227" spans="1:20" s="22" customFormat="1" ht="23.25" customHeight="1">
      <c r="A227" s="196" t="s">
        <v>1753</v>
      </c>
      <c r="B227" s="197" t="s">
        <v>39</v>
      </c>
      <c r="C227" s="199" t="s">
        <v>40</v>
      </c>
      <c r="D227" s="197"/>
      <c r="E227" s="198" t="s">
        <v>1748</v>
      </c>
      <c r="F227" s="332">
        <f>SUM(E228:E252)</f>
        <v>17.278</v>
      </c>
      <c r="G227" s="332"/>
      <c r="H227" s="332">
        <f>F227*G227</f>
        <v>0</v>
      </c>
      <c r="I227" s="333">
        <v>0.0621</v>
      </c>
      <c r="J227" s="566">
        <f>F227*I227</f>
        <v>1.0729638</v>
      </c>
      <c r="T227" s="509"/>
    </row>
    <row r="228" spans="1:20" s="536" customFormat="1" ht="21.75" customHeight="1">
      <c r="A228" s="204"/>
      <c r="B228" s="205" t="s">
        <v>1482</v>
      </c>
      <c r="C228" s="206" t="s">
        <v>41</v>
      </c>
      <c r="D228" s="205"/>
      <c r="E228" s="207">
        <f>2*0.8*0.15</f>
        <v>0.24</v>
      </c>
      <c r="F228" s="335"/>
      <c r="G228" s="335"/>
      <c r="H228" s="335"/>
      <c r="I228" s="336"/>
      <c r="J228" s="568"/>
      <c r="K228" s="134"/>
      <c r="L228" s="134"/>
      <c r="M228" s="134"/>
      <c r="N228" s="134"/>
      <c r="O228" s="134"/>
      <c r="P228" s="134"/>
      <c r="Q228" s="140"/>
      <c r="R228" s="130"/>
      <c r="S228" s="134"/>
      <c r="T228" s="130"/>
    </row>
    <row r="229" spans="1:20" s="536" customFormat="1" ht="21.75" customHeight="1">
      <c r="A229" s="204"/>
      <c r="B229" s="205" t="s">
        <v>1545</v>
      </c>
      <c r="C229" s="206" t="s">
        <v>42</v>
      </c>
      <c r="D229" s="205"/>
      <c r="E229" s="207">
        <f>2*0.7*0.15*2</f>
        <v>0.42</v>
      </c>
      <c r="F229" s="335"/>
      <c r="G229" s="335"/>
      <c r="H229" s="335"/>
      <c r="I229" s="336"/>
      <c r="J229" s="568"/>
      <c r="K229" s="134"/>
      <c r="L229" s="134"/>
      <c r="M229" s="134"/>
      <c r="N229" s="134"/>
      <c r="O229" s="134"/>
      <c r="P229" s="134"/>
      <c r="Q229" s="140"/>
      <c r="R229" s="130"/>
      <c r="S229" s="134"/>
      <c r="T229" s="130"/>
    </row>
    <row r="230" spans="1:20" s="536" customFormat="1" ht="21.75" customHeight="1">
      <c r="A230" s="204"/>
      <c r="B230" s="205" t="s">
        <v>1548</v>
      </c>
      <c r="C230" s="206" t="s">
        <v>41</v>
      </c>
      <c r="D230" s="205"/>
      <c r="E230" s="207">
        <f>2*0.8*0.15</f>
        <v>0.24</v>
      </c>
      <c r="F230" s="335"/>
      <c r="G230" s="335"/>
      <c r="H230" s="335"/>
      <c r="I230" s="336"/>
      <c r="J230" s="568"/>
      <c r="K230" s="134"/>
      <c r="L230" s="134"/>
      <c r="M230" s="134"/>
      <c r="N230" s="134"/>
      <c r="O230" s="134"/>
      <c r="P230" s="134"/>
      <c r="Q230" s="140"/>
      <c r="R230" s="130"/>
      <c r="S230" s="134"/>
      <c r="T230" s="130"/>
    </row>
    <row r="231" spans="1:20" s="22" customFormat="1" ht="23.25" customHeight="1">
      <c r="A231" s="196"/>
      <c r="B231" s="205" t="s">
        <v>1450</v>
      </c>
      <c r="C231" s="523" t="s">
        <v>43</v>
      </c>
      <c r="D231" s="197"/>
      <c r="E231" s="207">
        <f>2*1.3*0.15</f>
        <v>0.39</v>
      </c>
      <c r="F231" s="332"/>
      <c r="G231" s="332"/>
      <c r="H231" s="332"/>
      <c r="I231" s="333"/>
      <c r="J231" s="566"/>
      <c r="T231" s="509"/>
    </row>
    <row r="232" spans="1:20" s="22" customFormat="1" ht="23.25" customHeight="1">
      <c r="A232" s="196"/>
      <c r="B232" s="205" t="s">
        <v>1452</v>
      </c>
      <c r="C232" s="523" t="s">
        <v>44</v>
      </c>
      <c r="D232" s="197"/>
      <c r="E232" s="207">
        <f>2*1.15*0.15</f>
        <v>0.345</v>
      </c>
      <c r="F232" s="332"/>
      <c r="G232" s="332"/>
      <c r="H232" s="332"/>
      <c r="I232" s="333"/>
      <c r="J232" s="566"/>
      <c r="T232" s="509"/>
    </row>
    <row r="233" spans="1:20" s="22" customFormat="1" ht="23.25" customHeight="1">
      <c r="A233" s="196"/>
      <c r="B233" s="205" t="s">
        <v>1489</v>
      </c>
      <c r="C233" s="206" t="s">
        <v>45</v>
      </c>
      <c r="D233" s="197"/>
      <c r="E233" s="207">
        <f>2*0.8*0.15+2*1.15*0.15</f>
        <v>0.585</v>
      </c>
      <c r="F233" s="332"/>
      <c r="G233" s="332"/>
      <c r="H233" s="332"/>
      <c r="I233" s="333"/>
      <c r="J233" s="566"/>
      <c r="T233" s="509"/>
    </row>
    <row r="234" spans="1:20" s="22" customFormat="1" ht="23.25" customHeight="1">
      <c r="A234" s="196"/>
      <c r="B234" s="205" t="s">
        <v>1492</v>
      </c>
      <c r="C234" s="206" t="s">
        <v>46</v>
      </c>
      <c r="D234" s="197"/>
      <c r="E234" s="207">
        <f>2*0.7*0.15+1.15*2*0.15</f>
        <v>0.5549999999999999</v>
      </c>
      <c r="F234" s="332"/>
      <c r="G234" s="332"/>
      <c r="H234" s="332"/>
      <c r="I234" s="333"/>
      <c r="J234" s="566"/>
      <c r="T234" s="509"/>
    </row>
    <row r="235" spans="1:20" s="22" customFormat="1" ht="23.25" customHeight="1">
      <c r="A235" s="196"/>
      <c r="B235" s="205" t="s">
        <v>1454</v>
      </c>
      <c r="C235" s="523" t="s">
        <v>47</v>
      </c>
      <c r="D235" s="197"/>
      <c r="E235" s="207">
        <f>2*1.1*0.115</f>
        <v>0.25300000000000006</v>
      </c>
      <c r="F235" s="332"/>
      <c r="G235" s="332"/>
      <c r="H235" s="332"/>
      <c r="I235" s="333"/>
      <c r="J235" s="566"/>
      <c r="T235" s="509"/>
    </row>
    <row r="236" spans="1:20" s="22" customFormat="1" ht="23.25" customHeight="1">
      <c r="A236" s="196"/>
      <c r="B236" s="205" t="s">
        <v>1456</v>
      </c>
      <c r="C236" s="523" t="s">
        <v>48</v>
      </c>
      <c r="D236" s="197"/>
      <c r="E236" s="207">
        <f>4*1.25*0.15</f>
        <v>0.75</v>
      </c>
      <c r="F236" s="332"/>
      <c r="G236" s="332"/>
      <c r="H236" s="332"/>
      <c r="I236" s="333"/>
      <c r="J236" s="566"/>
      <c r="T236" s="509"/>
    </row>
    <row r="237" spans="1:20" s="22" customFormat="1" ht="23.25" customHeight="1">
      <c r="A237" s="196"/>
      <c r="B237" s="205" t="s">
        <v>1458</v>
      </c>
      <c r="C237" s="523" t="s">
        <v>44</v>
      </c>
      <c r="D237" s="197"/>
      <c r="E237" s="207">
        <f>2*1.15*0.15</f>
        <v>0.345</v>
      </c>
      <c r="F237" s="332"/>
      <c r="G237" s="332"/>
      <c r="H237" s="332"/>
      <c r="I237" s="333"/>
      <c r="J237" s="566"/>
      <c r="T237" s="509"/>
    </row>
    <row r="238" spans="1:20" s="22" customFormat="1" ht="23.25" customHeight="1">
      <c r="A238" s="196"/>
      <c r="B238" s="205" t="s">
        <v>1460</v>
      </c>
      <c r="C238" s="523" t="s">
        <v>44</v>
      </c>
      <c r="D238" s="197"/>
      <c r="E238" s="207">
        <f>2*1.15*0.15</f>
        <v>0.345</v>
      </c>
      <c r="F238" s="332"/>
      <c r="G238" s="332"/>
      <c r="H238" s="332"/>
      <c r="I238" s="333"/>
      <c r="J238" s="566"/>
      <c r="T238" s="509"/>
    </row>
    <row r="239" spans="1:20" s="22" customFormat="1" ht="23.25" customHeight="1">
      <c r="A239" s="196"/>
      <c r="B239" s="205" t="s">
        <v>1462</v>
      </c>
      <c r="C239" s="523" t="s">
        <v>49</v>
      </c>
      <c r="D239" s="197"/>
      <c r="E239" s="207">
        <f>2*1.2*0.15+2*1.15*2*0.15</f>
        <v>1.0499999999999998</v>
      </c>
      <c r="F239" s="332"/>
      <c r="G239" s="332"/>
      <c r="H239" s="332"/>
      <c r="I239" s="333"/>
      <c r="J239" s="566"/>
      <c r="T239" s="509"/>
    </row>
    <row r="240" spans="1:20" s="22" customFormat="1" ht="23.25" customHeight="1">
      <c r="A240" s="196"/>
      <c r="B240" s="205" t="s">
        <v>1500</v>
      </c>
      <c r="C240" s="523" t="s">
        <v>50</v>
      </c>
      <c r="D240" s="197"/>
      <c r="E240" s="207">
        <f>2*0.6*0.15</f>
        <v>0.18</v>
      </c>
      <c r="F240" s="332"/>
      <c r="G240" s="332"/>
      <c r="H240" s="332"/>
      <c r="I240" s="333"/>
      <c r="J240" s="566"/>
      <c r="T240" s="509"/>
    </row>
    <row r="241" spans="1:20" s="22" customFormat="1" ht="23.25" customHeight="1">
      <c r="A241" s="196"/>
      <c r="B241" s="205" t="s">
        <v>1464</v>
      </c>
      <c r="C241" s="523" t="s">
        <v>50</v>
      </c>
      <c r="D241" s="197"/>
      <c r="E241" s="207">
        <f>2*0.6*0.15</f>
        <v>0.18</v>
      </c>
      <c r="F241" s="332"/>
      <c r="G241" s="332"/>
      <c r="H241" s="332"/>
      <c r="I241" s="333"/>
      <c r="J241" s="566"/>
      <c r="T241" s="509"/>
    </row>
    <row r="242" spans="1:20" s="22" customFormat="1" ht="23.25" customHeight="1">
      <c r="A242" s="196"/>
      <c r="B242" s="205" t="s">
        <v>1502</v>
      </c>
      <c r="C242" s="523" t="s">
        <v>44</v>
      </c>
      <c r="D242" s="197"/>
      <c r="E242" s="207">
        <f>2*1.15*0.15</f>
        <v>0.345</v>
      </c>
      <c r="F242" s="332"/>
      <c r="G242" s="332"/>
      <c r="H242" s="332"/>
      <c r="I242" s="333"/>
      <c r="J242" s="566"/>
      <c r="T242" s="509"/>
    </row>
    <row r="243" spans="1:20" s="22" customFormat="1" ht="23.25" customHeight="1">
      <c r="A243" s="196"/>
      <c r="B243" s="205" t="s">
        <v>1466</v>
      </c>
      <c r="C243" s="523" t="s">
        <v>51</v>
      </c>
      <c r="D243" s="197"/>
      <c r="E243" s="207">
        <f>2*1.25*0.15+2*1.1*0.15</f>
        <v>0.7050000000000001</v>
      </c>
      <c r="F243" s="332"/>
      <c r="G243" s="332"/>
      <c r="H243" s="332"/>
      <c r="I243" s="333"/>
      <c r="J243" s="566"/>
      <c r="T243" s="509"/>
    </row>
    <row r="244" spans="1:20" s="22" customFormat="1" ht="23.25" customHeight="1">
      <c r="A244" s="196"/>
      <c r="B244" s="205" t="s">
        <v>1468</v>
      </c>
      <c r="C244" s="523" t="s">
        <v>52</v>
      </c>
      <c r="D244" s="197"/>
      <c r="E244" s="207">
        <f>(4*1.2*2+4*1.25*2+1.2*2)*0.15</f>
        <v>3.3</v>
      </c>
      <c r="F244" s="332"/>
      <c r="G244" s="332"/>
      <c r="H244" s="332"/>
      <c r="I244" s="333"/>
      <c r="J244" s="566"/>
      <c r="T244" s="509"/>
    </row>
    <row r="245" spans="1:20" s="22" customFormat="1" ht="23.25" customHeight="1">
      <c r="A245" s="196"/>
      <c r="B245" s="205" t="s">
        <v>1470</v>
      </c>
      <c r="C245" s="523" t="s">
        <v>53</v>
      </c>
      <c r="D245" s="197"/>
      <c r="E245" s="207">
        <f>(1.2*2*3+1.2*2)*0.15</f>
        <v>1.44</v>
      </c>
      <c r="F245" s="332"/>
      <c r="G245" s="332"/>
      <c r="H245" s="332"/>
      <c r="I245" s="333"/>
      <c r="J245" s="566"/>
      <c r="T245" s="509"/>
    </row>
    <row r="246" spans="1:20" s="22" customFormat="1" ht="23.25" customHeight="1">
      <c r="A246" s="196"/>
      <c r="B246" s="205" t="s">
        <v>1472</v>
      </c>
      <c r="C246" s="523" t="s">
        <v>44</v>
      </c>
      <c r="D246" s="197"/>
      <c r="E246" s="207">
        <f>2*1.15*0.15</f>
        <v>0.345</v>
      </c>
      <c r="F246" s="332"/>
      <c r="G246" s="332"/>
      <c r="H246" s="332"/>
      <c r="I246" s="333"/>
      <c r="J246" s="566"/>
      <c r="T246" s="509"/>
    </row>
    <row r="247" spans="1:20" s="22" customFormat="1" ht="23.25" customHeight="1">
      <c r="A247" s="196"/>
      <c r="B247" s="205" t="s">
        <v>1473</v>
      </c>
      <c r="C247" s="523" t="s">
        <v>54</v>
      </c>
      <c r="D247" s="197"/>
      <c r="E247" s="207">
        <f>(2*1.1+2*0.8+2*1.2+2*1.15)*0.15</f>
        <v>1.275</v>
      </c>
      <c r="F247" s="332"/>
      <c r="G247" s="332"/>
      <c r="H247" s="332"/>
      <c r="I247" s="333"/>
      <c r="J247" s="566"/>
      <c r="T247" s="509"/>
    </row>
    <row r="248" spans="1:20" s="22" customFormat="1" ht="23.25" customHeight="1">
      <c r="A248" s="196"/>
      <c r="B248" s="205" t="s">
        <v>1470</v>
      </c>
      <c r="C248" s="523" t="s">
        <v>55</v>
      </c>
      <c r="D248" s="197"/>
      <c r="E248" s="207">
        <f>6*1.2*0.15</f>
        <v>1.0799999999999998</v>
      </c>
      <c r="F248" s="332"/>
      <c r="G248" s="332"/>
      <c r="H248" s="332"/>
      <c r="I248" s="333"/>
      <c r="J248" s="566"/>
      <c r="T248" s="509"/>
    </row>
    <row r="249" spans="1:20" s="22" customFormat="1" ht="23.25" customHeight="1">
      <c r="A249" s="196"/>
      <c r="B249" s="205" t="s">
        <v>1509</v>
      </c>
      <c r="C249" s="523" t="s">
        <v>56</v>
      </c>
      <c r="D249" s="197"/>
      <c r="E249" s="207">
        <f>1*2*0.15</f>
        <v>0.3</v>
      </c>
      <c r="F249" s="332"/>
      <c r="G249" s="332"/>
      <c r="H249" s="332"/>
      <c r="I249" s="333"/>
      <c r="J249" s="566"/>
      <c r="T249" s="509"/>
    </row>
    <row r="250" spans="1:20" s="22" customFormat="1" ht="23.25" customHeight="1">
      <c r="A250" s="196"/>
      <c r="B250" s="205" t="s">
        <v>1511</v>
      </c>
      <c r="C250" s="523" t="s">
        <v>56</v>
      </c>
      <c r="D250" s="197"/>
      <c r="E250" s="207">
        <f>1*2*0.15</f>
        <v>0.3</v>
      </c>
      <c r="F250" s="332"/>
      <c r="G250" s="332"/>
      <c r="H250" s="332"/>
      <c r="I250" s="333"/>
      <c r="J250" s="566"/>
      <c r="T250" s="509"/>
    </row>
    <row r="251" spans="1:20" s="22" customFormat="1" ht="21.75" customHeight="1">
      <c r="A251" s="278"/>
      <c r="B251" s="205" t="s">
        <v>1476</v>
      </c>
      <c r="C251" s="523" t="s">
        <v>57</v>
      </c>
      <c r="D251" s="279"/>
      <c r="E251" s="207">
        <f>(0.6*2+1.8*2*2+1.1*2)*0.15</f>
        <v>1.59</v>
      </c>
      <c r="F251" s="382"/>
      <c r="G251" s="382"/>
      <c r="H251" s="382"/>
      <c r="I251" s="383"/>
      <c r="J251" s="567"/>
      <c r="T251" s="509"/>
    </row>
    <row r="252" spans="1:20" s="22" customFormat="1" ht="21.75" customHeight="1">
      <c r="A252" s="278"/>
      <c r="B252" s="205" t="s">
        <v>1478</v>
      </c>
      <c r="C252" s="523" t="s">
        <v>58</v>
      </c>
      <c r="D252" s="279"/>
      <c r="E252" s="207">
        <f>0.6*2*4*0.15</f>
        <v>0.72</v>
      </c>
      <c r="F252" s="382"/>
      <c r="G252" s="382"/>
      <c r="H252" s="382"/>
      <c r="I252" s="383"/>
      <c r="J252" s="567"/>
      <c r="T252" s="509"/>
    </row>
    <row r="253" spans="1:20" s="22" customFormat="1" ht="13.5" customHeight="1">
      <c r="A253" s="196"/>
      <c r="B253" s="205"/>
      <c r="C253" s="523"/>
      <c r="D253" s="197"/>
      <c r="E253" s="207"/>
      <c r="F253" s="332"/>
      <c r="G253" s="332"/>
      <c r="H253" s="332"/>
      <c r="I253" s="333"/>
      <c r="J253" s="566"/>
      <c r="T253" s="509"/>
    </row>
    <row r="254" spans="1:20" s="22" customFormat="1" ht="30.75" customHeight="1">
      <c r="A254" s="196" t="s">
        <v>1758</v>
      </c>
      <c r="B254" s="197" t="s">
        <v>59</v>
      </c>
      <c r="C254" s="199" t="s">
        <v>60</v>
      </c>
      <c r="D254" s="197"/>
      <c r="E254" s="198" t="s">
        <v>1718</v>
      </c>
      <c r="F254" s="332">
        <f>SUM(E255:E275)</f>
        <v>104</v>
      </c>
      <c r="G254" s="332"/>
      <c r="H254" s="332">
        <f>F254*G254</f>
        <v>0</v>
      </c>
      <c r="I254" s="333">
        <v>0.00478</v>
      </c>
      <c r="J254" s="566">
        <f>F254*I254</f>
        <v>0.49712000000000006</v>
      </c>
      <c r="T254" s="509"/>
    </row>
    <row r="255" spans="1:20" s="22" customFormat="1" ht="23.25" customHeight="1">
      <c r="A255" s="196"/>
      <c r="B255" s="205" t="s">
        <v>1448</v>
      </c>
      <c r="C255" s="523">
        <v>2</v>
      </c>
      <c r="D255" s="197"/>
      <c r="E255" s="207">
        <v>2</v>
      </c>
      <c r="F255" s="332"/>
      <c r="G255" s="332"/>
      <c r="H255" s="332"/>
      <c r="I255" s="333"/>
      <c r="J255" s="566"/>
      <c r="T255" s="509"/>
    </row>
    <row r="256" spans="1:20" s="22" customFormat="1" ht="23.25" customHeight="1">
      <c r="A256" s="196"/>
      <c r="B256" s="205" t="s">
        <v>1450</v>
      </c>
      <c r="C256" s="523">
        <v>2</v>
      </c>
      <c r="D256" s="197"/>
      <c r="E256" s="207">
        <v>2</v>
      </c>
      <c r="F256" s="332"/>
      <c r="G256" s="332"/>
      <c r="H256" s="332"/>
      <c r="I256" s="333"/>
      <c r="J256" s="566"/>
      <c r="T256" s="509"/>
    </row>
    <row r="257" spans="1:20" s="22" customFormat="1" ht="23.25" customHeight="1">
      <c r="A257" s="196"/>
      <c r="B257" s="205" t="s">
        <v>1452</v>
      </c>
      <c r="C257" s="523">
        <v>2</v>
      </c>
      <c r="D257" s="197"/>
      <c r="E257" s="207">
        <v>2</v>
      </c>
      <c r="F257" s="332"/>
      <c r="G257" s="332"/>
      <c r="H257" s="332"/>
      <c r="I257" s="333"/>
      <c r="J257" s="566"/>
      <c r="T257" s="509"/>
    </row>
    <row r="258" spans="1:20" s="22" customFormat="1" ht="23.25" customHeight="1">
      <c r="A258" s="196"/>
      <c r="B258" s="205" t="s">
        <v>61</v>
      </c>
      <c r="C258" s="206" t="s">
        <v>1544</v>
      </c>
      <c r="D258" s="197"/>
      <c r="E258" s="207">
        <f>2*2</f>
        <v>4</v>
      </c>
      <c r="F258" s="332"/>
      <c r="G258" s="332"/>
      <c r="H258" s="332"/>
      <c r="I258" s="333"/>
      <c r="J258" s="566"/>
      <c r="T258" s="509"/>
    </row>
    <row r="259" spans="1:20" s="22" customFormat="1" ht="23.25" customHeight="1">
      <c r="A259" s="196"/>
      <c r="B259" s="205" t="s">
        <v>1492</v>
      </c>
      <c r="C259" s="523">
        <v>2</v>
      </c>
      <c r="D259" s="197"/>
      <c r="E259" s="207">
        <v>2</v>
      </c>
      <c r="F259" s="332"/>
      <c r="G259" s="332"/>
      <c r="H259" s="332"/>
      <c r="I259" s="333"/>
      <c r="J259" s="566"/>
      <c r="T259" s="509"/>
    </row>
    <row r="260" spans="1:20" s="22" customFormat="1" ht="23.25" customHeight="1">
      <c r="A260" s="196"/>
      <c r="B260" s="205" t="s">
        <v>1454</v>
      </c>
      <c r="C260" s="523">
        <v>2</v>
      </c>
      <c r="D260" s="197"/>
      <c r="E260" s="207">
        <v>2</v>
      </c>
      <c r="F260" s="332"/>
      <c r="G260" s="332"/>
      <c r="H260" s="332"/>
      <c r="I260" s="333"/>
      <c r="J260" s="566"/>
      <c r="T260" s="509"/>
    </row>
    <row r="261" spans="1:20" s="22" customFormat="1" ht="23.25" customHeight="1">
      <c r="A261" s="196"/>
      <c r="B261" s="205" t="s">
        <v>1456</v>
      </c>
      <c r="C261" s="523">
        <v>4</v>
      </c>
      <c r="D261" s="197"/>
      <c r="E261" s="207">
        <v>4</v>
      </c>
      <c r="F261" s="332"/>
      <c r="G261" s="332"/>
      <c r="H261" s="332"/>
      <c r="I261" s="333"/>
      <c r="J261" s="566"/>
      <c r="T261" s="509"/>
    </row>
    <row r="262" spans="1:20" s="22" customFormat="1" ht="23.25" customHeight="1">
      <c r="A262" s="196"/>
      <c r="B262" s="205" t="s">
        <v>1458</v>
      </c>
      <c r="C262" s="523">
        <v>2</v>
      </c>
      <c r="D262" s="197"/>
      <c r="E262" s="207">
        <v>2</v>
      </c>
      <c r="F262" s="332"/>
      <c r="G262" s="332"/>
      <c r="H262" s="332"/>
      <c r="I262" s="333"/>
      <c r="J262" s="566"/>
      <c r="T262" s="509"/>
    </row>
    <row r="263" spans="1:20" s="22" customFormat="1" ht="23.25" customHeight="1">
      <c r="A263" s="196"/>
      <c r="B263" s="205" t="s">
        <v>1460</v>
      </c>
      <c r="C263" s="523">
        <v>2</v>
      </c>
      <c r="D263" s="197"/>
      <c r="E263" s="207">
        <v>2</v>
      </c>
      <c r="F263" s="332"/>
      <c r="G263" s="332"/>
      <c r="H263" s="332"/>
      <c r="I263" s="333"/>
      <c r="J263" s="566"/>
      <c r="T263" s="509"/>
    </row>
    <row r="264" spans="1:20" s="22" customFormat="1" ht="23.25" customHeight="1">
      <c r="A264" s="196"/>
      <c r="B264" s="205" t="s">
        <v>1462</v>
      </c>
      <c r="C264" s="523" t="s">
        <v>62</v>
      </c>
      <c r="D264" s="197"/>
      <c r="E264" s="207">
        <f>2*2*2</f>
        <v>8</v>
      </c>
      <c r="F264" s="332"/>
      <c r="G264" s="332"/>
      <c r="H264" s="332"/>
      <c r="I264" s="333"/>
      <c r="J264" s="566"/>
      <c r="T264" s="509"/>
    </row>
    <row r="265" spans="1:20" s="22" customFormat="1" ht="23.25" customHeight="1">
      <c r="A265" s="196"/>
      <c r="B265" s="205" t="s">
        <v>1500</v>
      </c>
      <c r="C265" s="523" t="s">
        <v>1544</v>
      </c>
      <c r="D265" s="197"/>
      <c r="E265" s="207">
        <f>2*2</f>
        <v>4</v>
      </c>
      <c r="F265" s="332"/>
      <c r="G265" s="332"/>
      <c r="H265" s="332"/>
      <c r="I265" s="333"/>
      <c r="J265" s="566"/>
      <c r="T265" s="509"/>
    </row>
    <row r="266" spans="1:20" s="22" customFormat="1" ht="23.25" customHeight="1">
      <c r="A266" s="196"/>
      <c r="B266" s="205" t="s">
        <v>1466</v>
      </c>
      <c r="C266" s="523" t="s">
        <v>1546</v>
      </c>
      <c r="D266" s="197"/>
      <c r="E266" s="207">
        <f>2*2*2</f>
        <v>8</v>
      </c>
      <c r="F266" s="332"/>
      <c r="G266" s="332"/>
      <c r="H266" s="332"/>
      <c r="I266" s="333"/>
      <c r="J266" s="566"/>
      <c r="T266" s="509"/>
    </row>
    <row r="267" spans="1:20" s="22" customFormat="1" ht="23.25" customHeight="1">
      <c r="A267" s="196"/>
      <c r="B267" s="205" t="s">
        <v>1468</v>
      </c>
      <c r="C267" s="523" t="s">
        <v>63</v>
      </c>
      <c r="D267" s="197"/>
      <c r="E267" s="207">
        <f>4+2</f>
        <v>6</v>
      </c>
      <c r="F267" s="332"/>
      <c r="G267" s="332"/>
      <c r="H267" s="332"/>
      <c r="I267" s="333"/>
      <c r="J267" s="566"/>
      <c r="T267" s="509"/>
    </row>
    <row r="268" spans="1:20" s="22" customFormat="1" ht="23.25" customHeight="1">
      <c r="A268" s="196"/>
      <c r="B268" s="205" t="s">
        <v>1470</v>
      </c>
      <c r="C268" s="523" t="s">
        <v>64</v>
      </c>
      <c r="D268" s="197"/>
      <c r="E268" s="207">
        <f>2*4</f>
        <v>8</v>
      </c>
      <c r="F268" s="332"/>
      <c r="G268" s="332"/>
      <c r="H268" s="332"/>
      <c r="I268" s="333"/>
      <c r="J268" s="566"/>
      <c r="T268" s="509"/>
    </row>
    <row r="269" spans="1:20" s="22" customFormat="1" ht="23.25" customHeight="1">
      <c r="A269" s="196"/>
      <c r="B269" s="205" t="s">
        <v>1472</v>
      </c>
      <c r="C269" s="523">
        <v>4</v>
      </c>
      <c r="D269" s="197"/>
      <c r="E269" s="207">
        <v>4</v>
      </c>
      <c r="F269" s="332"/>
      <c r="G269" s="332"/>
      <c r="H269" s="332"/>
      <c r="I269" s="333"/>
      <c r="J269" s="566"/>
      <c r="T269" s="509"/>
    </row>
    <row r="270" spans="1:20" s="22" customFormat="1" ht="23.25" customHeight="1">
      <c r="A270" s="196"/>
      <c r="B270" s="205" t="s">
        <v>1473</v>
      </c>
      <c r="C270" s="523" t="s">
        <v>64</v>
      </c>
      <c r="D270" s="197"/>
      <c r="E270" s="207">
        <f>2*4</f>
        <v>8</v>
      </c>
      <c r="F270" s="332"/>
      <c r="G270" s="332"/>
      <c r="H270" s="332"/>
      <c r="I270" s="333"/>
      <c r="J270" s="566"/>
      <c r="T270" s="509"/>
    </row>
    <row r="271" spans="1:20" s="22" customFormat="1" ht="23.25" customHeight="1">
      <c r="A271" s="196"/>
      <c r="B271" s="205" t="s">
        <v>1470</v>
      </c>
      <c r="C271" s="523" t="s">
        <v>65</v>
      </c>
      <c r="D271" s="197"/>
      <c r="E271" s="207">
        <f>3*2*2</f>
        <v>12</v>
      </c>
      <c r="F271" s="332"/>
      <c r="G271" s="332"/>
      <c r="H271" s="332"/>
      <c r="I271" s="333"/>
      <c r="J271" s="566"/>
      <c r="T271" s="509"/>
    </row>
    <row r="272" spans="1:20" s="22" customFormat="1" ht="23.25" customHeight="1">
      <c r="A272" s="196"/>
      <c r="B272" s="205" t="s">
        <v>1509</v>
      </c>
      <c r="C272" s="523" t="s">
        <v>66</v>
      </c>
      <c r="D272" s="197"/>
      <c r="E272" s="207">
        <f>1*2*2</f>
        <v>4</v>
      </c>
      <c r="F272" s="332"/>
      <c r="G272" s="332"/>
      <c r="H272" s="332"/>
      <c r="I272" s="333"/>
      <c r="J272" s="566"/>
      <c r="T272" s="509"/>
    </row>
    <row r="273" spans="1:20" s="22" customFormat="1" ht="23.25" customHeight="1">
      <c r="A273" s="196"/>
      <c r="B273" s="205" t="s">
        <v>1511</v>
      </c>
      <c r="C273" s="523" t="s">
        <v>66</v>
      </c>
      <c r="D273" s="197"/>
      <c r="E273" s="207">
        <f>1*2*2</f>
        <v>4</v>
      </c>
      <c r="F273" s="332"/>
      <c r="G273" s="332"/>
      <c r="H273" s="332"/>
      <c r="I273" s="333"/>
      <c r="J273" s="566"/>
      <c r="T273" s="509"/>
    </row>
    <row r="274" spans="1:20" s="22" customFormat="1" ht="21.75" customHeight="1">
      <c r="A274" s="278"/>
      <c r="B274" s="205" t="s">
        <v>1476</v>
      </c>
      <c r="C274" s="523">
        <v>8</v>
      </c>
      <c r="D274" s="279"/>
      <c r="E274" s="207">
        <v>8</v>
      </c>
      <c r="F274" s="382"/>
      <c r="G274" s="382"/>
      <c r="H274" s="382"/>
      <c r="I274" s="383"/>
      <c r="J274" s="567"/>
      <c r="T274" s="509"/>
    </row>
    <row r="275" spans="1:20" s="22" customFormat="1" ht="21.75" customHeight="1">
      <c r="A275" s="278"/>
      <c r="B275" s="205" t="s">
        <v>1478</v>
      </c>
      <c r="C275" s="523" t="s">
        <v>1547</v>
      </c>
      <c r="D275" s="279"/>
      <c r="E275" s="207">
        <f>4*2</f>
        <v>8</v>
      </c>
      <c r="F275" s="382"/>
      <c r="G275" s="382"/>
      <c r="H275" s="382"/>
      <c r="I275" s="383"/>
      <c r="J275" s="567"/>
      <c r="T275" s="509"/>
    </row>
    <row r="276" spans="1:20" s="22" customFormat="1" ht="32.25" customHeight="1">
      <c r="A276" s="196" t="s">
        <v>1764</v>
      </c>
      <c r="B276" s="197" t="s">
        <v>67</v>
      </c>
      <c r="C276" s="199" t="s">
        <v>68</v>
      </c>
      <c r="D276" s="197"/>
      <c r="E276" s="198" t="s">
        <v>1718</v>
      </c>
      <c r="F276" s="332">
        <f>SUM(E277:E278)</f>
        <v>152</v>
      </c>
      <c r="G276" s="332"/>
      <c r="H276" s="332">
        <f>F276*G276</f>
        <v>0</v>
      </c>
      <c r="I276" s="333">
        <v>0.01187</v>
      </c>
      <c r="J276" s="566">
        <f>F276*I276</f>
        <v>1.80424</v>
      </c>
      <c r="T276" s="509"/>
    </row>
    <row r="277" spans="1:20" s="22" customFormat="1" ht="23.25" customHeight="1">
      <c r="A277" s="196"/>
      <c r="B277" s="205" t="s">
        <v>1464</v>
      </c>
      <c r="C277" s="523">
        <v>2</v>
      </c>
      <c r="D277" s="197"/>
      <c r="E277" s="207">
        <v>2</v>
      </c>
      <c r="F277" s="332"/>
      <c r="G277" s="332"/>
      <c r="H277" s="332"/>
      <c r="I277" s="333"/>
      <c r="J277" s="566"/>
      <c r="T277" s="509"/>
    </row>
    <row r="278" spans="1:20" s="22" customFormat="1" ht="23.25" customHeight="1">
      <c r="A278" s="196"/>
      <c r="B278" s="205" t="s">
        <v>69</v>
      </c>
      <c r="C278" s="523">
        <v>150</v>
      </c>
      <c r="D278" s="197"/>
      <c r="E278" s="207">
        <v>150</v>
      </c>
      <c r="F278" s="332"/>
      <c r="G278" s="332"/>
      <c r="H278" s="332"/>
      <c r="I278" s="333"/>
      <c r="J278" s="566"/>
      <c r="T278" s="509"/>
    </row>
    <row r="279" spans="1:20" s="22" customFormat="1" ht="16.5" customHeight="1">
      <c r="A279" s="196"/>
      <c r="B279" s="197"/>
      <c r="C279" s="199"/>
      <c r="D279" s="197"/>
      <c r="E279" s="198"/>
      <c r="F279" s="332"/>
      <c r="G279" s="332"/>
      <c r="H279" s="332"/>
      <c r="I279" s="333"/>
      <c r="J279" s="566"/>
      <c r="T279" s="509"/>
    </row>
    <row r="280" spans="1:20" s="22" customFormat="1" ht="27.75" customHeight="1">
      <c r="A280" s="196" t="s">
        <v>1737</v>
      </c>
      <c r="B280" s="197" t="s">
        <v>70</v>
      </c>
      <c r="C280" s="199" t="s">
        <v>71</v>
      </c>
      <c r="D280" s="197"/>
      <c r="E280" s="198" t="s">
        <v>1748</v>
      </c>
      <c r="F280" s="332">
        <f>SUM(E281:E315)</f>
        <v>739.346525</v>
      </c>
      <c r="G280" s="332"/>
      <c r="H280" s="332">
        <f>F280*G280</f>
        <v>0</v>
      </c>
      <c r="I280" s="333">
        <v>0.01935</v>
      </c>
      <c r="J280" s="566">
        <f>F280*I280</f>
        <v>14.306355258750001</v>
      </c>
      <c r="T280" s="509"/>
    </row>
    <row r="281" spans="1:20" s="22" customFormat="1" ht="23.25" customHeight="1">
      <c r="A281" s="196"/>
      <c r="B281" s="205" t="s">
        <v>1545</v>
      </c>
      <c r="C281" s="206" t="s">
        <v>72</v>
      </c>
      <c r="D281" s="205"/>
      <c r="E281" s="207">
        <f>(4.36+8.29)*1.555+0.55*1*2</f>
        <v>20.77075</v>
      </c>
      <c r="F281" s="335"/>
      <c r="G281" s="335"/>
      <c r="H281" s="335"/>
      <c r="I281" s="336"/>
      <c r="J281" s="568"/>
      <c r="T281" s="509"/>
    </row>
    <row r="282" spans="1:20" s="22" customFormat="1" ht="23.25" customHeight="1">
      <c r="A282" s="196"/>
      <c r="B282" s="205" t="s">
        <v>1448</v>
      </c>
      <c r="C282" s="206" t="s">
        <v>73</v>
      </c>
      <c r="D282" s="197"/>
      <c r="E282" s="207">
        <f>7.89*1.45+6.91*1.54+0.45*1+0.54*1</f>
        <v>23.071899999999996</v>
      </c>
      <c r="F282" s="332"/>
      <c r="G282" s="332"/>
      <c r="H282" s="332"/>
      <c r="I282" s="333"/>
      <c r="J282" s="566"/>
      <c r="T282" s="509"/>
    </row>
    <row r="283" spans="1:20" s="22" customFormat="1" ht="23.25" customHeight="1">
      <c r="A283" s="196"/>
      <c r="B283" s="205" t="s">
        <v>1450</v>
      </c>
      <c r="C283" s="206" t="s">
        <v>74</v>
      </c>
      <c r="D283" s="197"/>
      <c r="E283" s="207">
        <f>3.565*1.45+(6.51+0.45)*1.545+0.45*1+0.545*1</f>
        <v>16.917450000000002</v>
      </c>
      <c r="F283" s="332"/>
      <c r="G283" s="332"/>
      <c r="H283" s="332"/>
      <c r="I283" s="333"/>
      <c r="J283" s="566"/>
      <c r="T283" s="509"/>
    </row>
    <row r="284" spans="1:20" s="22" customFormat="1" ht="23.25" customHeight="1">
      <c r="A284" s="196"/>
      <c r="B284" s="205" t="s">
        <v>1452</v>
      </c>
      <c r="C284" s="206" t="s">
        <v>75</v>
      </c>
      <c r="D284" s="197"/>
      <c r="E284" s="207">
        <f>3.79*2.71+2.5*2.48+1.5*1.5</f>
        <v>18.7209</v>
      </c>
      <c r="F284" s="332"/>
      <c r="G284" s="332"/>
      <c r="H284" s="332"/>
      <c r="I284" s="333"/>
      <c r="J284" s="566"/>
      <c r="T284" s="509"/>
    </row>
    <row r="285" spans="1:20" s="22" customFormat="1" ht="23.25" customHeight="1">
      <c r="A285" s="196"/>
      <c r="B285" s="205" t="s">
        <v>1489</v>
      </c>
      <c r="C285" s="206" t="s">
        <v>76</v>
      </c>
      <c r="D285" s="197"/>
      <c r="E285" s="207">
        <f>6.68+4.2*1.5+3.4*1</f>
        <v>16.38</v>
      </c>
      <c r="F285" s="332"/>
      <c r="G285" s="332"/>
      <c r="H285" s="332"/>
      <c r="I285" s="333"/>
      <c r="J285" s="566"/>
      <c r="T285" s="509"/>
    </row>
    <row r="286" spans="1:20" s="22" customFormat="1" ht="33" customHeight="1">
      <c r="A286" s="196"/>
      <c r="B286" s="205" t="s">
        <v>61</v>
      </c>
      <c r="C286" s="206" t="s">
        <v>77</v>
      </c>
      <c r="D286" s="197"/>
      <c r="E286" s="207">
        <f>3.975*1.545+0.545*0.445+7.245*1.445+0.545*1+0.445*1</f>
        <v>17.842925</v>
      </c>
      <c r="F286" s="332"/>
      <c r="G286" s="332"/>
      <c r="H286" s="332"/>
      <c r="I286" s="333"/>
      <c r="J286" s="566"/>
      <c r="T286" s="509"/>
    </row>
    <row r="287" spans="1:20" s="22" customFormat="1" ht="23.25" customHeight="1">
      <c r="A287" s="196"/>
      <c r="B287" s="205" t="s">
        <v>1492</v>
      </c>
      <c r="C287" s="523" t="s">
        <v>78</v>
      </c>
      <c r="D287" s="197"/>
      <c r="E287" s="207">
        <f>1.495*2.09+4.2*2.515</f>
        <v>13.687550000000002</v>
      </c>
      <c r="F287" s="332"/>
      <c r="G287" s="332"/>
      <c r="H287" s="332"/>
      <c r="I287" s="333"/>
      <c r="J287" s="566"/>
      <c r="T287" s="509"/>
    </row>
    <row r="288" spans="1:20" s="22" customFormat="1" ht="23.25" customHeight="1">
      <c r="A288" s="196"/>
      <c r="B288" s="205" t="s">
        <v>79</v>
      </c>
      <c r="C288" s="523" t="s">
        <v>80</v>
      </c>
      <c r="D288" s="197"/>
      <c r="E288" s="207">
        <f>8.035*1.6+2.06*1.5+0.6*1+0.6*0.5+0.5*1</f>
        <v>17.346000000000004</v>
      </c>
      <c r="F288" s="332"/>
      <c r="G288" s="332"/>
      <c r="H288" s="332"/>
      <c r="I288" s="333"/>
      <c r="J288" s="566"/>
      <c r="T288" s="509"/>
    </row>
    <row r="289" spans="1:20" s="22" customFormat="1" ht="23.25" customHeight="1">
      <c r="A289" s="196"/>
      <c r="B289" s="205" t="s">
        <v>1454</v>
      </c>
      <c r="C289" s="523" t="s">
        <v>81</v>
      </c>
      <c r="D289" s="197"/>
      <c r="E289" s="207">
        <f>10.64*1.8+3.92*1.6+0.6*1+0.8*0.6</f>
        <v>26.504</v>
      </c>
      <c r="F289" s="332"/>
      <c r="G289" s="332"/>
      <c r="H289" s="332"/>
      <c r="I289" s="333"/>
      <c r="J289" s="566"/>
      <c r="T289" s="509"/>
    </row>
    <row r="290" spans="1:20" s="22" customFormat="1" ht="23.25" customHeight="1">
      <c r="A290" s="196"/>
      <c r="B290" s="205" t="s">
        <v>1464</v>
      </c>
      <c r="C290" s="523" t="s">
        <v>82</v>
      </c>
      <c r="D290" s="197"/>
      <c r="E290" s="207">
        <f>2.85*2.205</f>
        <v>6.28425</v>
      </c>
      <c r="F290" s="332"/>
      <c r="G290" s="332"/>
      <c r="H290" s="332"/>
      <c r="I290" s="333"/>
      <c r="J290" s="566"/>
      <c r="T290" s="509"/>
    </row>
    <row r="291" spans="1:20" s="22" customFormat="1" ht="23.25" customHeight="1">
      <c r="A291" s="196"/>
      <c r="B291" s="205" t="s">
        <v>1456</v>
      </c>
      <c r="C291" s="523" t="s">
        <v>83</v>
      </c>
      <c r="D291" s="197"/>
      <c r="E291" s="207">
        <f>2.8*2.005+2.8*1</f>
        <v>8.413999999999998</v>
      </c>
      <c r="F291" s="332"/>
      <c r="G291" s="332"/>
      <c r="H291" s="332"/>
      <c r="I291" s="333"/>
      <c r="J291" s="566"/>
      <c r="T291" s="509"/>
    </row>
    <row r="292" spans="1:20" s="22" customFormat="1" ht="23.25" customHeight="1">
      <c r="A292" s="196"/>
      <c r="B292" s="205" t="s">
        <v>1460</v>
      </c>
      <c r="C292" s="523" t="s">
        <v>84</v>
      </c>
      <c r="D292" s="197"/>
      <c r="E292" s="207">
        <f>4.35*1.5+9.06*1.8+0.8*0.5+0.5*1+0.8*1</f>
        <v>24.532999999999998</v>
      </c>
      <c r="F292" s="332"/>
      <c r="G292" s="332"/>
      <c r="H292" s="332"/>
      <c r="I292" s="333"/>
      <c r="J292" s="566"/>
      <c r="T292" s="509"/>
    </row>
    <row r="293" spans="1:20" s="22" customFormat="1" ht="23.25" customHeight="1">
      <c r="A293" s="196"/>
      <c r="B293" s="205" t="s">
        <v>1462</v>
      </c>
      <c r="C293" s="523" t="s">
        <v>85</v>
      </c>
      <c r="D293" s="197"/>
      <c r="E293" s="207">
        <f>4.325*2.8+2.8*1.5*2</f>
        <v>20.509999999999998</v>
      </c>
      <c r="F293" s="332"/>
      <c r="G293" s="332"/>
      <c r="H293" s="332"/>
      <c r="I293" s="333"/>
      <c r="J293" s="566"/>
      <c r="T293" s="509"/>
    </row>
    <row r="294" spans="1:20" s="22" customFormat="1" ht="23.25" customHeight="1">
      <c r="A294" s="196"/>
      <c r="B294" s="205" t="s">
        <v>1500</v>
      </c>
      <c r="C294" s="523" t="s">
        <v>86</v>
      </c>
      <c r="D294" s="197"/>
      <c r="E294" s="207">
        <f>4.86*1.5+0.5*1+0.5*0.8+8.25*1.8+0.8*1</f>
        <v>23.84</v>
      </c>
      <c r="F294" s="332"/>
      <c r="G294" s="332"/>
      <c r="H294" s="332"/>
      <c r="I294" s="333"/>
      <c r="J294" s="566"/>
      <c r="T294" s="509"/>
    </row>
    <row r="295" spans="1:20" s="22" customFormat="1" ht="23.25" customHeight="1">
      <c r="A295" s="196"/>
      <c r="B295" s="205" t="s">
        <v>1464</v>
      </c>
      <c r="C295" s="523" t="s">
        <v>87</v>
      </c>
      <c r="D295" s="197"/>
      <c r="E295" s="207">
        <f>1.735*2.755+1.255*1.265+3.635*2.765+0.815*2.08</f>
        <v>18.113475</v>
      </c>
      <c r="F295" s="332"/>
      <c r="G295" s="332"/>
      <c r="H295" s="332"/>
      <c r="I295" s="333"/>
      <c r="J295" s="566"/>
      <c r="T295" s="509"/>
    </row>
    <row r="296" spans="1:20" s="22" customFormat="1" ht="23.25" customHeight="1">
      <c r="A296" s="196"/>
      <c r="B296" s="205" t="s">
        <v>1502</v>
      </c>
      <c r="C296" s="523" t="s">
        <v>88</v>
      </c>
      <c r="D296" s="197"/>
      <c r="E296" s="207">
        <f>4.59*1.52+1*0.52+0.52*0.79+7.615*1.79+1*0.79</f>
        <v>22.32845</v>
      </c>
      <c r="F296" s="332"/>
      <c r="G296" s="332"/>
      <c r="H296" s="332"/>
      <c r="I296" s="333"/>
      <c r="J296" s="566"/>
      <c r="T296" s="509"/>
    </row>
    <row r="297" spans="1:20" s="22" customFormat="1" ht="23.25" customHeight="1">
      <c r="A297" s="196"/>
      <c r="B297" s="205" t="s">
        <v>1466</v>
      </c>
      <c r="C297" s="523" t="s">
        <v>89</v>
      </c>
      <c r="D297" s="197"/>
      <c r="E297" s="207">
        <f>1.95*2.485+2.5*1.5+1.305*0.985+3.79*2.805</f>
        <v>20.512124999999997</v>
      </c>
      <c r="F297" s="332"/>
      <c r="G297" s="332"/>
      <c r="H297" s="332"/>
      <c r="I297" s="333"/>
      <c r="J297" s="566"/>
      <c r="T297" s="509"/>
    </row>
    <row r="298" spans="1:20" s="22" customFormat="1" ht="23.25" customHeight="1">
      <c r="A298" s="196"/>
      <c r="B298" s="205" t="s">
        <v>90</v>
      </c>
      <c r="C298" s="523" t="s">
        <v>91</v>
      </c>
      <c r="D298" s="197"/>
      <c r="E298" s="207">
        <f>6.45*1.6+0.6*0.5+3.495*1.5+0.6*1+0.5*1</f>
        <v>16.962500000000002</v>
      </c>
      <c r="F298" s="332"/>
      <c r="G298" s="332"/>
      <c r="H298" s="332"/>
      <c r="I298" s="333"/>
      <c r="J298" s="566"/>
      <c r="T298" s="509"/>
    </row>
    <row r="299" spans="1:20" s="22" customFormat="1" ht="23.25" customHeight="1">
      <c r="A299" s="196"/>
      <c r="B299" s="205" t="s">
        <v>92</v>
      </c>
      <c r="C299" s="523" t="s">
        <v>93</v>
      </c>
      <c r="D299" s="197"/>
      <c r="E299" s="207">
        <f>2.95*2.52+4.655*2.75</f>
        <v>20.23525</v>
      </c>
      <c r="F299" s="332"/>
      <c r="G299" s="332"/>
      <c r="H299" s="332"/>
      <c r="I299" s="333"/>
      <c r="J299" s="566"/>
      <c r="T299" s="509"/>
    </row>
    <row r="300" spans="1:20" s="557" customFormat="1" ht="23.25" customHeight="1">
      <c r="A300" s="827"/>
      <c r="B300" s="205" t="s">
        <v>94</v>
      </c>
      <c r="C300" s="523" t="s">
        <v>95</v>
      </c>
      <c r="D300" s="826"/>
      <c r="E300" s="207">
        <f>11.45*1.6+4.23*1.6+0.6*1+0.6*0.6</f>
        <v>26.048000000000002</v>
      </c>
      <c r="F300" s="828"/>
      <c r="G300" s="828"/>
      <c r="H300" s="828"/>
      <c r="I300" s="829"/>
      <c r="J300" s="830"/>
      <c r="K300" s="831"/>
      <c r="L300" s="831"/>
      <c r="M300" s="831"/>
      <c r="N300" s="831"/>
      <c r="O300" s="831"/>
      <c r="P300" s="831"/>
      <c r="Q300" s="831"/>
      <c r="R300" s="831"/>
      <c r="S300" s="831"/>
      <c r="T300" s="831"/>
    </row>
    <row r="301" spans="1:20" s="22" customFormat="1" ht="23.25" customHeight="1">
      <c r="A301" s="196"/>
      <c r="B301" s="205" t="s">
        <v>1472</v>
      </c>
      <c r="C301" s="523" t="s">
        <v>96</v>
      </c>
      <c r="D301" s="197"/>
      <c r="E301" s="207">
        <f>(4.7+1.5)*2.8+0.1*4</f>
        <v>17.759999999999998</v>
      </c>
      <c r="F301" s="332"/>
      <c r="G301" s="332"/>
      <c r="H301" s="332"/>
      <c r="I301" s="333"/>
      <c r="J301" s="566"/>
      <c r="T301" s="509"/>
    </row>
    <row r="302" spans="1:20" s="22" customFormat="1" ht="23.25" customHeight="1">
      <c r="A302" s="196"/>
      <c r="B302" s="205" t="s">
        <v>97</v>
      </c>
      <c r="C302" s="523" t="s">
        <v>98</v>
      </c>
      <c r="D302" s="197"/>
      <c r="E302" s="207">
        <f>8.9*1.75+0.75*1+5*0.4+0.75*0.4</f>
        <v>18.625000000000004</v>
      </c>
      <c r="F302" s="332"/>
      <c r="G302" s="332"/>
      <c r="H302" s="332"/>
      <c r="I302" s="333"/>
      <c r="J302" s="566"/>
      <c r="T302" s="509"/>
    </row>
    <row r="303" spans="1:20" s="22" customFormat="1" ht="23.25" customHeight="1">
      <c r="A303" s="196"/>
      <c r="B303" s="205" t="s">
        <v>99</v>
      </c>
      <c r="C303" s="523" t="s">
        <v>100</v>
      </c>
      <c r="D303" s="197"/>
      <c r="E303" s="207">
        <f>3.5*1.45+10.6*0.78+0.78*0.45</f>
        <v>13.694</v>
      </c>
      <c r="F303" s="332"/>
      <c r="G303" s="332"/>
      <c r="H303" s="332"/>
      <c r="I303" s="333"/>
      <c r="J303" s="566"/>
      <c r="T303" s="509"/>
    </row>
    <row r="304" spans="1:20" s="22" customFormat="1" ht="23.25" customHeight="1">
      <c r="A304" s="196"/>
      <c r="B304" s="205" t="s">
        <v>101</v>
      </c>
      <c r="C304" s="523" t="s">
        <v>102</v>
      </c>
      <c r="D304" s="197"/>
      <c r="E304" s="207">
        <f>4.95*1.45+9*1.75+0.75*0.45</f>
        <v>23.265</v>
      </c>
      <c r="F304" s="332"/>
      <c r="G304" s="332"/>
      <c r="H304" s="332"/>
      <c r="I304" s="333"/>
      <c r="J304" s="566"/>
      <c r="T304" s="509"/>
    </row>
    <row r="305" spans="1:20" s="22" customFormat="1" ht="23.25" customHeight="1">
      <c r="A305" s="196"/>
      <c r="B305" s="205" t="s">
        <v>1473</v>
      </c>
      <c r="C305" s="523" t="s">
        <v>103</v>
      </c>
      <c r="D305" s="197"/>
      <c r="E305" s="207">
        <f>7.9*2.8+6.2*2.8</f>
        <v>39.480000000000004</v>
      </c>
      <c r="F305" s="332"/>
      <c r="G305" s="332"/>
      <c r="H305" s="332"/>
      <c r="I305" s="333"/>
      <c r="J305" s="566"/>
      <c r="T305" s="509"/>
    </row>
    <row r="306" spans="1:20" s="22" customFormat="1" ht="23.25" customHeight="1">
      <c r="A306" s="196"/>
      <c r="B306" s="205" t="s">
        <v>104</v>
      </c>
      <c r="C306" s="523" t="s">
        <v>105</v>
      </c>
      <c r="D306" s="197"/>
      <c r="E306" s="207">
        <f>11.5*1.5+3*1.6+0.6*1+0.6*0.5</f>
        <v>22.950000000000003</v>
      </c>
      <c r="F306" s="332"/>
      <c r="G306" s="332"/>
      <c r="H306" s="332"/>
      <c r="I306" s="333"/>
      <c r="J306" s="566"/>
      <c r="T306" s="509"/>
    </row>
    <row r="307" spans="1:20" s="22" customFormat="1" ht="23.25" customHeight="1">
      <c r="A307" s="196"/>
      <c r="B307" s="205" t="s">
        <v>106</v>
      </c>
      <c r="C307" s="523" t="s">
        <v>107</v>
      </c>
      <c r="D307" s="197"/>
      <c r="E307" s="207">
        <f>0.75*1+9.75*1.75+0.5*1+3.05*1.5+0.75*0.5</f>
        <v>23.2625</v>
      </c>
      <c r="F307" s="332"/>
      <c r="G307" s="332"/>
      <c r="H307" s="332"/>
      <c r="I307" s="333"/>
      <c r="J307" s="566"/>
      <c r="T307" s="509"/>
    </row>
    <row r="308" spans="1:20" s="22" customFormat="1" ht="28.5" customHeight="1">
      <c r="A308" s="196"/>
      <c r="B308" s="205" t="s">
        <v>1509</v>
      </c>
      <c r="C308" s="523" t="s">
        <v>108</v>
      </c>
      <c r="D308" s="197"/>
      <c r="E308" s="207">
        <f>1.55*3.3+0.55*1+2.05*7.5+0.55*1.05+4.8*1.5+1.05*0.5</f>
        <v>29.342499999999998</v>
      </c>
      <c r="F308" s="332"/>
      <c r="G308" s="332"/>
      <c r="H308" s="332"/>
      <c r="I308" s="333"/>
      <c r="J308" s="566"/>
      <c r="T308" s="509"/>
    </row>
    <row r="309" spans="1:20" s="22" customFormat="1" ht="23.25" customHeight="1">
      <c r="A309" s="196"/>
      <c r="B309" s="205" t="s">
        <v>109</v>
      </c>
      <c r="C309" s="523" t="s">
        <v>110</v>
      </c>
      <c r="D309" s="197"/>
      <c r="E309" s="207">
        <f>1.6*3.6+0.6*1+5.1*1.75+0.75*0.6</f>
        <v>15.735</v>
      </c>
      <c r="F309" s="332"/>
      <c r="G309" s="332"/>
      <c r="H309" s="332"/>
      <c r="I309" s="333"/>
      <c r="J309" s="566"/>
      <c r="T309" s="509"/>
    </row>
    <row r="310" spans="1:20" s="22" customFormat="1" ht="23.25" customHeight="1">
      <c r="A310" s="196"/>
      <c r="B310" s="205" t="s">
        <v>2</v>
      </c>
      <c r="C310" s="523" t="s">
        <v>111</v>
      </c>
      <c r="D310" s="197"/>
      <c r="E310" s="207">
        <f>1.7*7.5+2.3*2.7+1*1.6</f>
        <v>20.560000000000002</v>
      </c>
      <c r="F310" s="332"/>
      <c r="G310" s="332"/>
      <c r="H310" s="332"/>
      <c r="I310" s="333"/>
      <c r="J310" s="566"/>
      <c r="T310" s="509"/>
    </row>
    <row r="311" spans="1:20" s="22" customFormat="1" ht="23.25" customHeight="1">
      <c r="A311" s="196"/>
      <c r="B311" s="205" t="s">
        <v>112</v>
      </c>
      <c r="C311" s="523" t="s">
        <v>113</v>
      </c>
      <c r="D311" s="197"/>
      <c r="E311" s="207">
        <f>1.6*3.6+0.6*1+10.7*1.75+0.75*0.6</f>
        <v>25.534999999999997</v>
      </c>
      <c r="F311" s="332"/>
      <c r="G311" s="332"/>
      <c r="H311" s="332"/>
      <c r="I311" s="333"/>
      <c r="J311" s="566"/>
      <c r="T311" s="509"/>
    </row>
    <row r="312" spans="1:20" s="22" customFormat="1" ht="23.25" customHeight="1">
      <c r="A312" s="196"/>
      <c r="B312" s="205" t="s">
        <v>1511</v>
      </c>
      <c r="C312" s="523" t="s">
        <v>114</v>
      </c>
      <c r="D312" s="197"/>
      <c r="E312" s="207">
        <f>1.6*3.6+0.6*1+8.1*1.75+0.75*0.6+0.75*1</f>
        <v>21.735</v>
      </c>
      <c r="F312" s="332"/>
      <c r="G312" s="332"/>
      <c r="H312" s="332"/>
      <c r="I312" s="333"/>
      <c r="J312" s="566"/>
      <c r="T312" s="509"/>
    </row>
    <row r="313" spans="1:20" s="22" customFormat="1" ht="30" customHeight="1">
      <c r="A313" s="196"/>
      <c r="B313" s="205" t="s">
        <v>115</v>
      </c>
      <c r="C313" s="523" t="s">
        <v>116</v>
      </c>
      <c r="D313" s="197"/>
      <c r="E313" s="207">
        <f>1.5*4.9+0.5*1+4.4*2.02+0.5*1.02+1.6*3.3+1.02*0.6+0.6*1</f>
        <v>23.740000000000006</v>
      </c>
      <c r="F313" s="332"/>
      <c r="G313" s="332"/>
      <c r="H313" s="332"/>
      <c r="I313" s="333"/>
      <c r="J313" s="566"/>
      <c r="T313" s="509"/>
    </row>
    <row r="314" spans="1:20" s="22" customFormat="1" ht="24.75" customHeight="1">
      <c r="A314" s="196"/>
      <c r="B314" s="205" t="s">
        <v>1565</v>
      </c>
      <c r="C314" s="523" t="s">
        <v>117</v>
      </c>
      <c r="D314" s="197"/>
      <c r="E314" s="207">
        <f>1.8*11.6+1.5*3+0.5*1+0.5*0.6</f>
        <v>26.18</v>
      </c>
      <c r="F314" s="332"/>
      <c r="G314" s="332"/>
      <c r="H314" s="332"/>
      <c r="I314" s="333"/>
      <c r="J314" s="566"/>
      <c r="T314" s="509"/>
    </row>
    <row r="315" spans="1:20" s="22" customFormat="1" ht="21.75" customHeight="1">
      <c r="A315" s="278"/>
      <c r="B315" s="205" t="s">
        <v>1476</v>
      </c>
      <c r="C315" s="523" t="s">
        <v>118</v>
      </c>
      <c r="D315" s="279"/>
      <c r="E315" s="207">
        <f>4.3*2.8+7.3*2.8+2.2*0.9+4*1</f>
        <v>38.459999999999994</v>
      </c>
      <c r="F315" s="382"/>
      <c r="G315" s="382"/>
      <c r="H315" s="382"/>
      <c r="I315" s="383"/>
      <c r="J315" s="567"/>
      <c r="T315" s="509"/>
    </row>
    <row r="316" spans="1:20" s="22" customFormat="1" ht="13.5" customHeight="1">
      <c r="A316" s="196"/>
      <c r="B316" s="205"/>
      <c r="C316" s="523"/>
      <c r="D316" s="197"/>
      <c r="E316" s="207"/>
      <c r="F316" s="332"/>
      <c r="G316" s="332"/>
      <c r="H316" s="332"/>
      <c r="I316" s="333"/>
      <c r="J316" s="566"/>
      <c r="T316" s="509"/>
    </row>
    <row r="317" spans="1:20" s="22" customFormat="1" ht="30" customHeight="1">
      <c r="A317" s="196" t="s">
        <v>1740</v>
      </c>
      <c r="B317" s="197" t="s">
        <v>119</v>
      </c>
      <c r="C317" s="199" t="s">
        <v>120</v>
      </c>
      <c r="D317" s="197"/>
      <c r="E317" s="198" t="s">
        <v>1826</v>
      </c>
      <c r="F317" s="332">
        <f>SUM(E318:E337)</f>
        <v>156.67</v>
      </c>
      <c r="G317" s="332"/>
      <c r="H317" s="332">
        <f>F317*G317</f>
        <v>0</v>
      </c>
      <c r="I317" s="333">
        <v>0.00238</v>
      </c>
      <c r="J317" s="566">
        <f>F317*I317</f>
        <v>0.3728746</v>
      </c>
      <c r="T317" s="509"/>
    </row>
    <row r="318" spans="1:20" s="536" customFormat="1" ht="21.75" customHeight="1">
      <c r="A318" s="204"/>
      <c r="B318" s="205" t="s">
        <v>1482</v>
      </c>
      <c r="C318" s="206" t="s">
        <v>121</v>
      </c>
      <c r="D318" s="205"/>
      <c r="E318" s="207">
        <f>2*(0.8+0.4)+2*(0.8+0.4)+0.8+0.4+0.15*2</f>
        <v>6.300000000000001</v>
      </c>
      <c r="F318" s="335"/>
      <c r="G318" s="335"/>
      <c r="H318" s="335"/>
      <c r="I318" s="336"/>
      <c r="J318" s="568"/>
      <c r="K318" s="134"/>
      <c r="L318" s="134"/>
      <c r="M318" s="134"/>
      <c r="N318" s="134"/>
      <c r="O318" s="134"/>
      <c r="P318" s="134"/>
      <c r="Q318" s="140"/>
      <c r="R318" s="130"/>
      <c r="S318" s="134"/>
      <c r="T318" s="130"/>
    </row>
    <row r="319" spans="1:20" s="536" customFormat="1" ht="21.75" customHeight="1">
      <c r="A319" s="204"/>
      <c r="B319" s="205" t="s">
        <v>1545</v>
      </c>
      <c r="C319" s="206" t="s">
        <v>122</v>
      </c>
      <c r="D319" s="205"/>
      <c r="E319" s="207">
        <f>2*0.3*4*2</f>
        <v>4.8</v>
      </c>
      <c r="F319" s="335"/>
      <c r="G319" s="335"/>
      <c r="H319" s="335"/>
      <c r="I319" s="336"/>
      <c r="J319" s="568"/>
      <c r="K319" s="134"/>
      <c r="L319" s="134"/>
      <c r="M319" s="134"/>
      <c r="N319" s="134"/>
      <c r="O319" s="134"/>
      <c r="P319" s="134"/>
      <c r="Q319" s="140"/>
      <c r="R319" s="130"/>
      <c r="S319" s="134"/>
      <c r="T319" s="130"/>
    </row>
    <row r="320" spans="1:20" s="22" customFormat="1" ht="23.25" customHeight="1">
      <c r="A320" s="196"/>
      <c r="B320" s="205" t="s">
        <v>1548</v>
      </c>
      <c r="C320" s="832" t="s">
        <v>123</v>
      </c>
      <c r="D320" s="197"/>
      <c r="E320" s="207">
        <f>2*(0.4+0.8)+0.8+0.4+0.15*2</f>
        <v>3.9</v>
      </c>
      <c r="F320" s="332"/>
      <c r="G320" s="332"/>
      <c r="H320" s="332"/>
      <c r="I320" s="333"/>
      <c r="J320" s="566"/>
      <c r="T320" s="509"/>
    </row>
    <row r="321" spans="1:20" s="22" customFormat="1" ht="23.25" customHeight="1">
      <c r="A321" s="196"/>
      <c r="B321" s="205" t="s">
        <v>1452</v>
      </c>
      <c r="C321" s="832" t="s">
        <v>124</v>
      </c>
      <c r="D321" s="197"/>
      <c r="E321" s="207">
        <f>2*(0.78+0.33)+1.1+0.32+0.15*2</f>
        <v>3.94</v>
      </c>
      <c r="F321" s="332"/>
      <c r="G321" s="332"/>
      <c r="H321" s="332"/>
      <c r="I321" s="333"/>
      <c r="J321" s="566"/>
      <c r="T321" s="509"/>
    </row>
    <row r="322" spans="1:20" s="22" customFormat="1" ht="23.25" customHeight="1">
      <c r="A322" s="196"/>
      <c r="B322" s="205" t="s">
        <v>1489</v>
      </c>
      <c r="C322" s="206" t="s">
        <v>125</v>
      </c>
      <c r="D322" s="197"/>
      <c r="E322" s="207">
        <f>1.2*2*2+3.4*1+2*(0.38+0.8)+0.85+0.52+0.15*2</f>
        <v>12.229999999999999</v>
      </c>
      <c r="F322" s="332"/>
      <c r="G322" s="332"/>
      <c r="H322" s="332"/>
      <c r="I322" s="333"/>
      <c r="J322" s="566"/>
      <c r="T322" s="509"/>
    </row>
    <row r="323" spans="1:20" s="22" customFormat="1" ht="23.25" customHeight="1">
      <c r="A323" s="196"/>
      <c r="B323" s="205" t="s">
        <v>61</v>
      </c>
      <c r="C323" s="206" t="s">
        <v>126</v>
      </c>
      <c r="D323" s="197"/>
      <c r="E323" s="207">
        <f>0.3*4*2</f>
        <v>2.4</v>
      </c>
      <c r="F323" s="332"/>
      <c r="G323" s="332"/>
      <c r="H323" s="332"/>
      <c r="I323" s="333"/>
      <c r="J323" s="566"/>
      <c r="T323" s="509"/>
    </row>
    <row r="324" spans="1:20" s="22" customFormat="1" ht="33" customHeight="1">
      <c r="A324" s="196"/>
      <c r="B324" s="205" t="s">
        <v>1492</v>
      </c>
      <c r="C324" s="523" t="s">
        <v>127</v>
      </c>
      <c r="D324" s="197"/>
      <c r="E324" s="207">
        <f>0.75*0.3*2+0.8*2+0.38+0.32+0.75*0.3*2+0.8*2+0.38+0.32</f>
        <v>5.499999999999999</v>
      </c>
      <c r="F324" s="332"/>
      <c r="G324" s="332"/>
      <c r="H324" s="332"/>
      <c r="I324" s="333"/>
      <c r="J324" s="566"/>
      <c r="T324" s="509"/>
    </row>
    <row r="325" spans="1:20" s="22" customFormat="1" ht="23.25" customHeight="1">
      <c r="A325" s="196"/>
      <c r="B325" s="205" t="s">
        <v>1454</v>
      </c>
      <c r="C325" s="523" t="s">
        <v>128</v>
      </c>
      <c r="D325" s="197"/>
      <c r="E325" s="207">
        <f>(2*0.3+0.75)*2</f>
        <v>2.7</v>
      </c>
      <c r="F325" s="332"/>
      <c r="G325" s="332"/>
      <c r="H325" s="332"/>
      <c r="I325" s="333"/>
      <c r="J325" s="566"/>
      <c r="T325" s="509"/>
    </row>
    <row r="326" spans="1:20" s="22" customFormat="1" ht="23.25" customHeight="1">
      <c r="A326" s="196"/>
      <c r="B326" s="205" t="s">
        <v>1456</v>
      </c>
      <c r="C326" s="523" t="s">
        <v>129</v>
      </c>
      <c r="D326" s="197"/>
      <c r="E326" s="207">
        <f>4*1.2*2</f>
        <v>9.6</v>
      </c>
      <c r="F326" s="332"/>
      <c r="G326" s="332"/>
      <c r="H326" s="332"/>
      <c r="I326" s="333"/>
      <c r="J326" s="566"/>
      <c r="T326" s="509"/>
    </row>
    <row r="327" spans="1:20" s="22" customFormat="1" ht="23.25" customHeight="1">
      <c r="A327" s="196"/>
      <c r="B327" s="205" t="s">
        <v>1458</v>
      </c>
      <c r="C327" s="523" t="s">
        <v>130</v>
      </c>
      <c r="D327" s="197"/>
      <c r="E327" s="207">
        <f>1.2*2</f>
        <v>2.4</v>
      </c>
      <c r="F327" s="332"/>
      <c r="G327" s="332"/>
      <c r="H327" s="332"/>
      <c r="I327" s="333"/>
      <c r="J327" s="566"/>
      <c r="T327" s="509"/>
    </row>
    <row r="328" spans="1:20" s="22" customFormat="1" ht="23.25" customHeight="1">
      <c r="A328" s="196"/>
      <c r="B328" s="205" t="s">
        <v>1460</v>
      </c>
      <c r="C328" s="523" t="s">
        <v>131</v>
      </c>
      <c r="D328" s="197"/>
      <c r="E328" s="207">
        <f>1.2*4</f>
        <v>4.8</v>
      </c>
      <c r="F328" s="332"/>
      <c r="G328" s="332"/>
      <c r="H328" s="332"/>
      <c r="I328" s="333"/>
      <c r="J328" s="566"/>
      <c r="T328" s="509"/>
    </row>
    <row r="329" spans="1:20" s="22" customFormat="1" ht="23.25" customHeight="1">
      <c r="A329" s="196"/>
      <c r="B329" s="205" t="s">
        <v>1462</v>
      </c>
      <c r="C329" s="523" t="s">
        <v>132</v>
      </c>
      <c r="D329" s="197"/>
      <c r="E329" s="207">
        <f>2+(0.8+0.4)*2*3</f>
        <v>9.200000000000001</v>
      </c>
      <c r="F329" s="332"/>
      <c r="G329" s="332"/>
      <c r="H329" s="332"/>
      <c r="I329" s="333"/>
      <c r="J329" s="566"/>
      <c r="T329" s="509"/>
    </row>
    <row r="330" spans="1:20" s="22" customFormat="1" ht="23.25" customHeight="1">
      <c r="A330" s="196"/>
      <c r="B330" s="205" t="s">
        <v>1500</v>
      </c>
      <c r="C330" s="523" t="s">
        <v>1544</v>
      </c>
      <c r="D330" s="197"/>
      <c r="E330" s="207">
        <f>2*2</f>
        <v>4</v>
      </c>
      <c r="F330" s="332"/>
      <c r="G330" s="332"/>
      <c r="H330" s="332"/>
      <c r="I330" s="333"/>
      <c r="J330" s="566"/>
      <c r="T330" s="509"/>
    </row>
    <row r="331" spans="1:20" s="22" customFormat="1" ht="23.25" customHeight="1">
      <c r="A331" s="196"/>
      <c r="B331" s="205" t="s">
        <v>1502</v>
      </c>
      <c r="C331" s="523" t="s">
        <v>133</v>
      </c>
      <c r="D331" s="197"/>
      <c r="E331" s="207">
        <f>1.2*2*4</f>
        <v>9.6</v>
      </c>
      <c r="F331" s="332"/>
      <c r="G331" s="332"/>
      <c r="H331" s="332"/>
      <c r="I331" s="333"/>
      <c r="J331" s="566"/>
      <c r="T331" s="509"/>
    </row>
    <row r="332" spans="1:20" s="22" customFormat="1" ht="23.25" customHeight="1">
      <c r="A332" s="196"/>
      <c r="B332" s="205" t="s">
        <v>1466</v>
      </c>
      <c r="C332" s="523" t="s">
        <v>134</v>
      </c>
      <c r="D332" s="197"/>
      <c r="E332" s="207">
        <f>0.83*2+0.3*2*2+0.78*2+0.33*2</f>
        <v>5.08</v>
      </c>
      <c r="F332" s="332"/>
      <c r="G332" s="332"/>
      <c r="H332" s="332"/>
      <c r="I332" s="333"/>
      <c r="J332" s="566"/>
      <c r="T332" s="509"/>
    </row>
    <row r="333" spans="1:20" s="22" customFormat="1" ht="23.25" customHeight="1">
      <c r="A333" s="196"/>
      <c r="B333" s="205" t="s">
        <v>1468</v>
      </c>
      <c r="C333" s="523" t="s">
        <v>135</v>
      </c>
      <c r="D333" s="197"/>
      <c r="E333" s="207">
        <f>0.83*2+0.35*4</f>
        <v>3.0599999999999996</v>
      </c>
      <c r="F333" s="332"/>
      <c r="G333" s="332"/>
      <c r="H333" s="332"/>
      <c r="I333" s="333"/>
      <c r="J333" s="566"/>
      <c r="T333" s="509"/>
    </row>
    <row r="334" spans="1:20" s="22" customFormat="1" ht="23.25" customHeight="1">
      <c r="A334" s="196"/>
      <c r="B334" s="205" t="s">
        <v>1470</v>
      </c>
      <c r="C334" s="523" t="s">
        <v>136</v>
      </c>
      <c r="D334" s="197"/>
      <c r="E334" s="207">
        <f>(0.83*2+0.35*4)*6</f>
        <v>18.36</v>
      </c>
      <c r="F334" s="332"/>
      <c r="G334" s="332"/>
      <c r="H334" s="332"/>
      <c r="I334" s="333"/>
      <c r="J334" s="566"/>
      <c r="T334" s="509"/>
    </row>
    <row r="335" spans="1:20" s="22" customFormat="1" ht="23.25" customHeight="1">
      <c r="A335" s="196"/>
      <c r="B335" s="205" t="s">
        <v>1472</v>
      </c>
      <c r="C335" s="523" t="s">
        <v>137</v>
      </c>
      <c r="D335" s="197"/>
      <c r="E335" s="207">
        <f>4*1.2</f>
        <v>4.8</v>
      </c>
      <c r="F335" s="332"/>
      <c r="G335" s="332"/>
      <c r="H335" s="332"/>
      <c r="I335" s="333"/>
      <c r="J335" s="566"/>
      <c r="T335" s="509"/>
    </row>
    <row r="336" spans="1:20" s="22" customFormat="1" ht="23.25" customHeight="1">
      <c r="A336" s="196"/>
      <c r="B336" s="205" t="s">
        <v>1470</v>
      </c>
      <c r="C336" s="523" t="s">
        <v>138</v>
      </c>
      <c r="D336" s="197"/>
      <c r="E336" s="207">
        <f>6*0.8*2+6*0.5*4</f>
        <v>21.6</v>
      </c>
      <c r="F336" s="332"/>
      <c r="G336" s="332"/>
      <c r="H336" s="332"/>
      <c r="I336" s="333"/>
      <c r="J336" s="566"/>
      <c r="T336" s="509"/>
    </row>
    <row r="337" spans="1:20" s="22" customFormat="1" ht="21.75" customHeight="1">
      <c r="A337" s="278"/>
      <c r="B337" s="205" t="s">
        <v>1478</v>
      </c>
      <c r="C337" s="523" t="s">
        <v>139</v>
      </c>
      <c r="D337" s="279"/>
      <c r="E337" s="207">
        <f>4*0.6*4+4*0.8*4</f>
        <v>22.4</v>
      </c>
      <c r="F337" s="382"/>
      <c r="G337" s="382"/>
      <c r="H337" s="382"/>
      <c r="I337" s="383"/>
      <c r="J337" s="567"/>
      <c r="T337" s="509"/>
    </row>
    <row r="338" spans="1:20" s="22" customFormat="1" ht="13.5" customHeight="1">
      <c r="A338" s="196"/>
      <c r="B338" s="205"/>
      <c r="C338" s="523"/>
      <c r="D338" s="197"/>
      <c r="E338" s="207"/>
      <c r="F338" s="332"/>
      <c r="G338" s="332"/>
      <c r="H338" s="332"/>
      <c r="I338" s="333"/>
      <c r="J338" s="566"/>
      <c r="T338" s="509"/>
    </row>
    <row r="339" spans="1:20" s="22" customFormat="1" ht="23.25" customHeight="1">
      <c r="A339" s="196" t="s">
        <v>1776</v>
      </c>
      <c r="B339" s="197" t="s">
        <v>140</v>
      </c>
      <c r="C339" s="199" t="s">
        <v>141</v>
      </c>
      <c r="D339" s="197"/>
      <c r="E339" s="198" t="s">
        <v>1748</v>
      </c>
      <c r="F339" s="332">
        <f>SUM(E340:E383)</f>
        <v>849.3559624999998</v>
      </c>
      <c r="G339" s="332"/>
      <c r="H339" s="332">
        <f>F339*G339</f>
        <v>0</v>
      </c>
      <c r="I339" s="333">
        <v>7E-05</v>
      </c>
      <c r="J339" s="566">
        <f>F339*I339</f>
        <v>0.05945491737499998</v>
      </c>
      <c r="T339" s="509"/>
    </row>
    <row r="340" spans="1:20" s="536" customFormat="1" ht="21.75" customHeight="1">
      <c r="A340" s="204"/>
      <c r="B340" s="205" t="s">
        <v>1482</v>
      </c>
      <c r="C340" s="206" t="s">
        <v>142</v>
      </c>
      <c r="D340" s="205"/>
      <c r="E340" s="207">
        <f>0.8*0.15*1.1</f>
        <v>0.132</v>
      </c>
      <c r="F340" s="335"/>
      <c r="G340" s="335"/>
      <c r="H340" s="335"/>
      <c r="I340" s="336"/>
      <c r="J340" s="568"/>
      <c r="K340" s="134"/>
      <c r="L340" s="134"/>
      <c r="M340" s="134"/>
      <c r="N340" s="134"/>
      <c r="O340" s="134"/>
      <c r="P340" s="134"/>
      <c r="Q340" s="140"/>
      <c r="R340" s="130"/>
      <c r="S340" s="134"/>
      <c r="T340" s="130"/>
    </row>
    <row r="341" spans="1:20" s="536" customFormat="1" ht="21.75" customHeight="1">
      <c r="A341" s="204"/>
      <c r="B341" s="205" t="s">
        <v>1545</v>
      </c>
      <c r="C341" s="206" t="s">
        <v>143</v>
      </c>
      <c r="D341" s="205"/>
      <c r="E341" s="207">
        <f>2*0.7*0.15*2*1.1+20.77</f>
        <v>21.232</v>
      </c>
      <c r="F341" s="335"/>
      <c r="G341" s="335"/>
      <c r="H341" s="335"/>
      <c r="I341" s="336"/>
      <c r="J341" s="568"/>
      <c r="K341" s="134"/>
      <c r="L341" s="134"/>
      <c r="M341" s="134"/>
      <c r="N341" s="134"/>
      <c r="O341" s="134"/>
      <c r="P341" s="134"/>
      <c r="Q341" s="140"/>
      <c r="R341" s="130"/>
      <c r="S341" s="134"/>
      <c r="T341" s="130"/>
    </row>
    <row r="342" spans="1:20" s="22" customFormat="1" ht="23.25" customHeight="1">
      <c r="A342" s="196"/>
      <c r="B342" s="205" t="s">
        <v>1448</v>
      </c>
      <c r="C342" s="206" t="s">
        <v>73</v>
      </c>
      <c r="D342" s="197"/>
      <c r="E342" s="207">
        <f>7.89*1.45+6.91*1.54+0.45*1+0.54*1</f>
        <v>23.071899999999996</v>
      </c>
      <c r="F342" s="332"/>
      <c r="G342" s="332"/>
      <c r="H342" s="332"/>
      <c r="I342" s="333"/>
      <c r="J342" s="566"/>
      <c r="T342" s="509"/>
    </row>
    <row r="343" spans="1:20" s="536" customFormat="1" ht="21.75" customHeight="1">
      <c r="A343" s="204"/>
      <c r="B343" s="205" t="s">
        <v>1548</v>
      </c>
      <c r="C343" s="206" t="s">
        <v>142</v>
      </c>
      <c r="D343" s="205"/>
      <c r="E343" s="207">
        <f>0.8*0.15*1.1</f>
        <v>0.132</v>
      </c>
      <c r="F343" s="335"/>
      <c r="G343" s="335"/>
      <c r="H343" s="335"/>
      <c r="I343" s="336"/>
      <c r="J343" s="568"/>
      <c r="K343" s="134"/>
      <c r="L343" s="134"/>
      <c r="M343" s="134"/>
      <c r="N343" s="134"/>
      <c r="O343" s="134"/>
      <c r="P343" s="134"/>
      <c r="Q343" s="140"/>
      <c r="R343" s="130"/>
      <c r="S343" s="134"/>
      <c r="T343" s="130"/>
    </row>
    <row r="344" spans="1:20" s="22" customFormat="1" ht="18.75" customHeight="1">
      <c r="A344" s="196"/>
      <c r="B344" s="205" t="s">
        <v>1450</v>
      </c>
      <c r="C344" s="523" t="s">
        <v>144</v>
      </c>
      <c r="D344" s="197"/>
      <c r="E344" s="207">
        <f>2*1.3*0.15*1.1</f>
        <v>0.42900000000000005</v>
      </c>
      <c r="F344" s="332"/>
      <c r="G344" s="332"/>
      <c r="H344" s="332"/>
      <c r="I344" s="333"/>
      <c r="J344" s="566"/>
      <c r="T344" s="509"/>
    </row>
    <row r="345" spans="1:20" s="22" customFormat="1" ht="18.75" customHeight="1">
      <c r="A345" s="196"/>
      <c r="B345" s="205" t="s">
        <v>1452</v>
      </c>
      <c r="C345" s="206" t="s">
        <v>145</v>
      </c>
      <c r="D345" s="197"/>
      <c r="E345" s="207">
        <f>(3.79*2.71+2.5*2.48+1.5*1.5)*1.1</f>
        <v>20.59299</v>
      </c>
      <c r="F345" s="332"/>
      <c r="G345" s="332"/>
      <c r="H345" s="332"/>
      <c r="I345" s="333"/>
      <c r="J345" s="566"/>
      <c r="T345" s="509"/>
    </row>
    <row r="346" spans="1:20" s="22" customFormat="1" ht="19.5" customHeight="1">
      <c r="A346" s="196"/>
      <c r="B346" s="205" t="s">
        <v>1489</v>
      </c>
      <c r="C346" s="206" t="s">
        <v>146</v>
      </c>
      <c r="D346" s="197"/>
      <c r="E346" s="207">
        <f>(6.68+4.2*1.5+3.4*1)*1.1</f>
        <v>18.018</v>
      </c>
      <c r="F346" s="332"/>
      <c r="G346" s="332"/>
      <c r="H346" s="332"/>
      <c r="I346" s="333"/>
      <c r="J346" s="566"/>
      <c r="T346" s="509"/>
    </row>
    <row r="347" spans="1:20" s="22" customFormat="1" ht="33" customHeight="1">
      <c r="A347" s="196"/>
      <c r="B347" s="205" t="s">
        <v>61</v>
      </c>
      <c r="C347" s="206" t="s">
        <v>147</v>
      </c>
      <c r="D347" s="197"/>
      <c r="E347" s="207">
        <f>(3.975*1.545+0.545*0.445+7.245*1.445+0.545*1+0.445*1)*1.1</f>
        <v>19.627217500000004</v>
      </c>
      <c r="F347" s="332"/>
      <c r="G347" s="332"/>
      <c r="H347" s="332"/>
      <c r="I347" s="333"/>
      <c r="J347" s="566"/>
      <c r="T347" s="509"/>
    </row>
    <row r="348" spans="1:20" s="22" customFormat="1" ht="23.25" customHeight="1">
      <c r="A348" s="196"/>
      <c r="B348" s="205" t="s">
        <v>1492</v>
      </c>
      <c r="C348" s="523" t="s">
        <v>148</v>
      </c>
      <c r="D348" s="197"/>
      <c r="E348" s="207">
        <f>(1.495*2.09+4.2*2.515)*1.1</f>
        <v>15.056305000000004</v>
      </c>
      <c r="F348" s="332"/>
      <c r="G348" s="332"/>
      <c r="H348" s="332"/>
      <c r="I348" s="333"/>
      <c r="J348" s="566"/>
      <c r="T348" s="509"/>
    </row>
    <row r="349" spans="1:20" s="22" customFormat="1" ht="23.25" customHeight="1">
      <c r="A349" s="196"/>
      <c r="B349" s="205" t="s">
        <v>79</v>
      </c>
      <c r="C349" s="523" t="s">
        <v>80</v>
      </c>
      <c r="D349" s="197"/>
      <c r="E349" s="207">
        <f>8.035*1.6+2.06*1.5+0.6*1+0.6*0.5+0.5*1</f>
        <v>17.346000000000004</v>
      </c>
      <c r="F349" s="332"/>
      <c r="G349" s="332"/>
      <c r="H349" s="332"/>
      <c r="I349" s="333"/>
      <c r="J349" s="566"/>
      <c r="T349" s="509"/>
    </row>
    <row r="350" spans="1:20" s="22" customFormat="1" ht="23.25" customHeight="1">
      <c r="A350" s="196"/>
      <c r="B350" s="205" t="s">
        <v>1454</v>
      </c>
      <c r="C350" s="523" t="s">
        <v>81</v>
      </c>
      <c r="D350" s="197"/>
      <c r="E350" s="207">
        <f>10.64*1.8+3.92*1.6+0.6*1+0.8*0.6</f>
        <v>26.504</v>
      </c>
      <c r="F350" s="332"/>
      <c r="G350" s="332"/>
      <c r="H350" s="332"/>
      <c r="I350" s="333"/>
      <c r="J350" s="566"/>
      <c r="T350" s="509"/>
    </row>
    <row r="351" spans="1:20" s="22" customFormat="1" ht="23.25" customHeight="1">
      <c r="A351" s="196"/>
      <c r="B351" s="205" t="s">
        <v>1464</v>
      </c>
      <c r="C351" s="523" t="s">
        <v>82</v>
      </c>
      <c r="D351" s="197"/>
      <c r="E351" s="207">
        <f>2.85*2.205</f>
        <v>6.28425</v>
      </c>
      <c r="F351" s="332"/>
      <c r="G351" s="332"/>
      <c r="H351" s="332"/>
      <c r="I351" s="333"/>
      <c r="J351" s="566"/>
      <c r="T351" s="509"/>
    </row>
    <row r="352" spans="1:20" s="22" customFormat="1" ht="23.25" customHeight="1">
      <c r="A352" s="196"/>
      <c r="B352" s="205" t="s">
        <v>1456</v>
      </c>
      <c r="C352" s="523" t="s">
        <v>83</v>
      </c>
      <c r="D352" s="197"/>
      <c r="E352" s="207">
        <f>2.8*2.005+2.8*1</f>
        <v>8.413999999999998</v>
      </c>
      <c r="F352" s="332"/>
      <c r="G352" s="332"/>
      <c r="H352" s="332"/>
      <c r="I352" s="333"/>
      <c r="J352" s="566"/>
      <c r="T352" s="509"/>
    </row>
    <row r="353" spans="1:20" s="22" customFormat="1" ht="23.25" customHeight="1">
      <c r="A353" s="196"/>
      <c r="B353" s="205" t="s">
        <v>1458</v>
      </c>
      <c r="C353" s="523" t="s">
        <v>149</v>
      </c>
      <c r="D353" s="197"/>
      <c r="E353" s="207">
        <f>0.9*2</f>
        <v>1.8</v>
      </c>
      <c r="F353" s="332"/>
      <c r="G353" s="332"/>
      <c r="H353" s="332"/>
      <c r="I353" s="333"/>
      <c r="J353" s="566"/>
      <c r="T353" s="509"/>
    </row>
    <row r="354" spans="1:20" s="22" customFormat="1" ht="23.25" customHeight="1">
      <c r="A354" s="196"/>
      <c r="B354" s="205" t="s">
        <v>1460</v>
      </c>
      <c r="C354" s="523" t="s">
        <v>84</v>
      </c>
      <c r="D354" s="197"/>
      <c r="E354" s="207">
        <f>4.35*1.5+9.06*1.8+0.8*0.5+0.5*1+0.8*1</f>
        <v>24.532999999999998</v>
      </c>
      <c r="F354" s="332"/>
      <c r="G354" s="332"/>
      <c r="H354" s="332"/>
      <c r="I354" s="333"/>
      <c r="J354" s="566"/>
      <c r="T354" s="509"/>
    </row>
    <row r="355" spans="1:20" s="22" customFormat="1" ht="23.25" customHeight="1">
      <c r="A355" s="196"/>
      <c r="B355" s="205" t="s">
        <v>1462</v>
      </c>
      <c r="C355" s="523" t="s">
        <v>85</v>
      </c>
      <c r="D355" s="197"/>
      <c r="E355" s="207">
        <f>4.325*2.8+2.8*1.5*2</f>
        <v>20.509999999999998</v>
      </c>
      <c r="F355" s="332"/>
      <c r="G355" s="332"/>
      <c r="H355" s="332"/>
      <c r="I355" s="333"/>
      <c r="J355" s="566"/>
      <c r="T355" s="509"/>
    </row>
    <row r="356" spans="1:20" s="22" customFormat="1" ht="23.25" customHeight="1">
      <c r="A356" s="196"/>
      <c r="B356" s="205" t="s">
        <v>1462</v>
      </c>
      <c r="C356" s="523" t="s">
        <v>150</v>
      </c>
      <c r="D356" s="197"/>
      <c r="E356" s="207">
        <f>0.9*0.5*4</f>
        <v>1.8</v>
      </c>
      <c r="F356" s="332"/>
      <c r="G356" s="332"/>
      <c r="H356" s="332"/>
      <c r="I356" s="333"/>
      <c r="J356" s="566"/>
      <c r="T356" s="509"/>
    </row>
    <row r="357" spans="1:20" s="22" customFormat="1" ht="23.25" customHeight="1">
      <c r="A357" s="196"/>
      <c r="B357" s="205" t="s">
        <v>1500</v>
      </c>
      <c r="C357" s="523" t="s">
        <v>151</v>
      </c>
      <c r="D357" s="197"/>
      <c r="E357" s="207">
        <f>2*2*0.5*0.5</f>
        <v>1</v>
      </c>
      <c r="F357" s="332"/>
      <c r="G357" s="332"/>
      <c r="H357" s="332"/>
      <c r="I357" s="333"/>
      <c r="J357" s="566"/>
      <c r="T357" s="509"/>
    </row>
    <row r="358" spans="1:20" s="22" customFormat="1" ht="23.25" customHeight="1">
      <c r="A358" s="196"/>
      <c r="B358" s="205" t="s">
        <v>1464</v>
      </c>
      <c r="C358" s="523" t="s">
        <v>87</v>
      </c>
      <c r="D358" s="197"/>
      <c r="E358" s="207">
        <f>1.735*2.755+1.255*1.265+3.635*2.765+0.815*2.08</f>
        <v>18.113475</v>
      </c>
      <c r="F358" s="332"/>
      <c r="G358" s="332"/>
      <c r="H358" s="332"/>
      <c r="I358" s="333"/>
      <c r="J358" s="566"/>
      <c r="T358" s="509"/>
    </row>
    <row r="359" spans="1:20" s="22" customFormat="1" ht="23.25" customHeight="1">
      <c r="A359" s="196"/>
      <c r="B359" s="205" t="s">
        <v>1502</v>
      </c>
      <c r="C359" s="523" t="s">
        <v>88</v>
      </c>
      <c r="D359" s="197"/>
      <c r="E359" s="207">
        <f>4.59*1.52+1*0.52+0.52*0.79+7.615*1.79+1*0.79</f>
        <v>22.32845</v>
      </c>
      <c r="F359" s="332"/>
      <c r="G359" s="332"/>
      <c r="H359" s="332"/>
      <c r="I359" s="333"/>
      <c r="J359" s="566"/>
      <c r="T359" s="509"/>
    </row>
    <row r="360" spans="1:20" s="22" customFormat="1" ht="23.25" customHeight="1">
      <c r="A360" s="196"/>
      <c r="B360" s="205" t="s">
        <v>1466</v>
      </c>
      <c r="C360" s="523" t="s">
        <v>89</v>
      </c>
      <c r="D360" s="197"/>
      <c r="E360" s="207">
        <f>1.95*2.485+2.5*1.5+1.305*0.985+3.79*2.805</f>
        <v>20.512124999999997</v>
      </c>
      <c r="F360" s="332"/>
      <c r="G360" s="332"/>
      <c r="H360" s="332"/>
      <c r="I360" s="333"/>
      <c r="J360" s="566"/>
      <c r="T360" s="509"/>
    </row>
    <row r="361" spans="1:20" s="22" customFormat="1" ht="23.25" customHeight="1">
      <c r="A361" s="196"/>
      <c r="B361" s="205" t="s">
        <v>90</v>
      </c>
      <c r="C361" s="523" t="s">
        <v>91</v>
      </c>
      <c r="D361" s="197"/>
      <c r="E361" s="207">
        <f>6.45*1.6+0.6*0.5+3.495*1.5+0.6*1+0.5*1</f>
        <v>16.962500000000002</v>
      </c>
      <c r="F361" s="332"/>
      <c r="G361" s="332"/>
      <c r="H361" s="332"/>
      <c r="I361" s="333"/>
      <c r="J361" s="566"/>
      <c r="T361" s="509"/>
    </row>
    <row r="362" spans="1:20" s="22" customFormat="1" ht="23.25" customHeight="1">
      <c r="A362" s="196"/>
      <c r="B362" s="205" t="s">
        <v>1468</v>
      </c>
      <c r="C362" s="523" t="s">
        <v>93</v>
      </c>
      <c r="D362" s="197"/>
      <c r="E362" s="207">
        <f>2.95*2.52+4.655*2.75</f>
        <v>20.23525</v>
      </c>
      <c r="F362" s="332"/>
      <c r="G362" s="332"/>
      <c r="H362" s="332"/>
      <c r="I362" s="333"/>
      <c r="J362" s="566"/>
      <c r="T362" s="509"/>
    </row>
    <row r="363" spans="1:20" s="557" customFormat="1" ht="23.25" customHeight="1">
      <c r="A363" s="827"/>
      <c r="B363" s="205" t="s">
        <v>152</v>
      </c>
      <c r="C363" s="523" t="s">
        <v>153</v>
      </c>
      <c r="D363" s="826"/>
      <c r="E363" s="207">
        <f>9.59*1.6+0.6*1+4.62*1.5+0.5*1+0.6*0.5</f>
        <v>23.674000000000003</v>
      </c>
      <c r="F363" s="828"/>
      <c r="G363" s="828"/>
      <c r="H363" s="828"/>
      <c r="I363" s="829"/>
      <c r="J363" s="830"/>
      <c r="K363" s="831"/>
      <c r="L363" s="831"/>
      <c r="M363" s="831"/>
      <c r="N363" s="831"/>
      <c r="O363" s="831"/>
      <c r="P363" s="831"/>
      <c r="Q363" s="831"/>
      <c r="R363" s="831"/>
      <c r="S363" s="831"/>
      <c r="T363" s="831"/>
    </row>
    <row r="364" spans="1:20" s="557" customFormat="1" ht="23.25" customHeight="1">
      <c r="A364" s="827"/>
      <c r="B364" s="205" t="s">
        <v>94</v>
      </c>
      <c r="C364" s="523" t="s">
        <v>95</v>
      </c>
      <c r="D364" s="826"/>
      <c r="E364" s="207">
        <f>11.45*1.6+4.23*1.6+0.6*1+0.6*0.6</f>
        <v>26.048000000000002</v>
      </c>
      <c r="F364" s="828"/>
      <c r="G364" s="828"/>
      <c r="H364" s="828"/>
      <c r="I364" s="829"/>
      <c r="J364" s="830"/>
      <c r="K364" s="831"/>
      <c r="L364" s="831"/>
      <c r="M364" s="831"/>
      <c r="N364" s="831"/>
      <c r="O364" s="831"/>
      <c r="P364" s="831"/>
      <c r="Q364" s="831"/>
      <c r="R364" s="831"/>
      <c r="S364" s="831"/>
      <c r="T364" s="831"/>
    </row>
    <row r="365" spans="1:20" s="22" customFormat="1" ht="23.25" customHeight="1">
      <c r="A365" s="196"/>
      <c r="B365" s="205" t="s">
        <v>1470</v>
      </c>
      <c r="C365" s="523" t="s">
        <v>154</v>
      </c>
      <c r="D365" s="197"/>
      <c r="E365" s="207">
        <f>(0.35*0.8)*6</f>
        <v>1.6799999999999997</v>
      </c>
      <c r="F365" s="332"/>
      <c r="G365" s="332"/>
      <c r="H365" s="332"/>
      <c r="I365" s="333"/>
      <c r="J365" s="566"/>
      <c r="T365" s="509"/>
    </row>
    <row r="366" spans="1:20" s="22" customFormat="1" ht="23.25" customHeight="1">
      <c r="A366" s="196"/>
      <c r="B366" s="205" t="s">
        <v>1472</v>
      </c>
      <c r="C366" s="523" t="s">
        <v>155</v>
      </c>
      <c r="D366" s="197"/>
      <c r="E366" s="207">
        <f>(4.7+1.5)*2.8</f>
        <v>17.36</v>
      </c>
      <c r="F366" s="332"/>
      <c r="G366" s="332"/>
      <c r="H366" s="332"/>
      <c r="I366" s="333"/>
      <c r="J366" s="566"/>
      <c r="T366" s="509"/>
    </row>
    <row r="367" spans="1:20" s="22" customFormat="1" ht="23.25" customHeight="1">
      <c r="A367" s="196"/>
      <c r="B367" s="205" t="s">
        <v>97</v>
      </c>
      <c r="C367" s="523" t="s">
        <v>98</v>
      </c>
      <c r="D367" s="197"/>
      <c r="E367" s="207">
        <f>8.9*1.75+0.75*1+5*0.4+0.75*0.4</f>
        <v>18.625000000000004</v>
      </c>
      <c r="F367" s="332"/>
      <c r="G367" s="332"/>
      <c r="H367" s="332"/>
      <c r="I367" s="333"/>
      <c r="J367" s="566"/>
      <c r="T367" s="509"/>
    </row>
    <row r="368" spans="1:20" s="22" customFormat="1" ht="23.25" customHeight="1">
      <c r="A368" s="196"/>
      <c r="B368" s="205" t="s">
        <v>99</v>
      </c>
      <c r="C368" s="523" t="s">
        <v>100</v>
      </c>
      <c r="D368" s="197"/>
      <c r="E368" s="207">
        <f>3.5*1.45+10.6*0.78+0.78*0.45</f>
        <v>13.694</v>
      </c>
      <c r="F368" s="332"/>
      <c r="G368" s="332"/>
      <c r="H368" s="332"/>
      <c r="I368" s="333"/>
      <c r="J368" s="566"/>
      <c r="T368" s="509"/>
    </row>
    <row r="369" spans="1:20" s="22" customFormat="1" ht="23.25" customHeight="1">
      <c r="A369" s="196"/>
      <c r="B369" s="205" t="s">
        <v>101</v>
      </c>
      <c r="C369" s="523" t="s">
        <v>102</v>
      </c>
      <c r="D369" s="197"/>
      <c r="E369" s="207">
        <f>4.95*1.45+9*1.75+0.75*0.45</f>
        <v>23.265</v>
      </c>
      <c r="F369" s="332"/>
      <c r="G369" s="332"/>
      <c r="H369" s="332"/>
      <c r="I369" s="333"/>
      <c r="J369" s="566"/>
      <c r="T369" s="509"/>
    </row>
    <row r="370" spans="1:20" s="22" customFormat="1" ht="23.25" customHeight="1">
      <c r="A370" s="196"/>
      <c r="B370" s="205" t="s">
        <v>1473</v>
      </c>
      <c r="C370" s="523" t="s">
        <v>103</v>
      </c>
      <c r="D370" s="197"/>
      <c r="E370" s="207">
        <f>7.9*2.8+6.2*2.8</f>
        <v>39.480000000000004</v>
      </c>
      <c r="F370" s="332"/>
      <c r="G370" s="332"/>
      <c r="H370" s="332"/>
      <c r="I370" s="333"/>
      <c r="J370" s="566"/>
      <c r="T370" s="509"/>
    </row>
    <row r="371" spans="1:20" s="22" customFormat="1" ht="23.25" customHeight="1">
      <c r="A371" s="196"/>
      <c r="B371" s="205" t="s">
        <v>1470</v>
      </c>
      <c r="C371" s="523" t="s">
        <v>156</v>
      </c>
      <c r="D371" s="197"/>
      <c r="E371" s="207">
        <f>6*0.8*0.5</f>
        <v>2.4000000000000004</v>
      </c>
      <c r="F371" s="332"/>
      <c r="G371" s="332"/>
      <c r="H371" s="332"/>
      <c r="I371" s="333"/>
      <c r="J371" s="566"/>
      <c r="T371" s="509"/>
    </row>
    <row r="372" spans="1:20" s="22" customFormat="1" ht="23.25" customHeight="1">
      <c r="A372" s="196"/>
      <c r="B372" s="205" t="s">
        <v>104</v>
      </c>
      <c r="C372" s="523" t="s">
        <v>105</v>
      </c>
      <c r="D372" s="197"/>
      <c r="E372" s="207">
        <f>11.5*1.5+3*1.6+0.6*1+0.6*0.5</f>
        <v>22.950000000000003</v>
      </c>
      <c r="F372" s="332"/>
      <c r="G372" s="332"/>
      <c r="H372" s="332"/>
      <c r="I372" s="333"/>
      <c r="J372" s="566"/>
      <c r="T372" s="509"/>
    </row>
    <row r="373" spans="1:20" s="22" customFormat="1" ht="23.25" customHeight="1">
      <c r="A373" s="196"/>
      <c r="B373" s="205" t="s">
        <v>106</v>
      </c>
      <c r="C373" s="523" t="s">
        <v>107</v>
      </c>
      <c r="D373" s="197"/>
      <c r="E373" s="207">
        <f>0.75*1+9.75*1.75+0.5*1+3.05*1.5+0.75*0.5</f>
        <v>23.2625</v>
      </c>
      <c r="F373" s="332"/>
      <c r="G373" s="332"/>
      <c r="H373" s="332"/>
      <c r="I373" s="333"/>
      <c r="J373" s="566"/>
      <c r="T373" s="509"/>
    </row>
    <row r="374" spans="1:20" s="22" customFormat="1" ht="28.5" customHeight="1">
      <c r="A374" s="196"/>
      <c r="B374" s="205" t="s">
        <v>1509</v>
      </c>
      <c r="C374" s="523" t="s">
        <v>108</v>
      </c>
      <c r="D374" s="197"/>
      <c r="E374" s="207">
        <f>1.55*3.3+0.55*1+2.05*7.5+0.55*1.05+4.8*1.5+1.05*0.5</f>
        <v>29.342499999999998</v>
      </c>
      <c r="F374" s="332"/>
      <c r="G374" s="332"/>
      <c r="H374" s="332"/>
      <c r="I374" s="333"/>
      <c r="J374" s="566"/>
      <c r="T374" s="509"/>
    </row>
    <row r="375" spans="1:20" s="22" customFormat="1" ht="23.25" customHeight="1">
      <c r="A375" s="196"/>
      <c r="B375" s="205" t="s">
        <v>109</v>
      </c>
      <c r="C375" s="523" t="s">
        <v>157</v>
      </c>
      <c r="D375" s="197"/>
      <c r="E375" s="207">
        <f>1.6*3.6+0.6*1+5.1*1.45+0.45*0.6</f>
        <v>14.024999999999999</v>
      </c>
      <c r="F375" s="332"/>
      <c r="G375" s="332"/>
      <c r="H375" s="332"/>
      <c r="I375" s="333"/>
      <c r="J375" s="566"/>
      <c r="T375" s="509"/>
    </row>
    <row r="376" spans="1:20" s="22" customFormat="1" ht="23.25" customHeight="1">
      <c r="A376" s="196"/>
      <c r="B376" s="205" t="s">
        <v>2</v>
      </c>
      <c r="C376" s="523" t="s">
        <v>111</v>
      </c>
      <c r="D376" s="197"/>
      <c r="E376" s="207">
        <f>1.7*7.5+2.3*2.7+1*1.6</f>
        <v>20.560000000000002</v>
      </c>
      <c r="F376" s="332"/>
      <c r="G376" s="332"/>
      <c r="H376" s="332"/>
      <c r="I376" s="333"/>
      <c r="J376" s="566"/>
      <c r="T376" s="509"/>
    </row>
    <row r="377" spans="1:20" s="22" customFormat="1" ht="23.25" customHeight="1">
      <c r="A377" s="196"/>
      <c r="B377" s="205" t="s">
        <v>112</v>
      </c>
      <c r="C377" s="523" t="s">
        <v>113</v>
      </c>
      <c r="D377" s="197"/>
      <c r="E377" s="207">
        <f>1.6*3.6+0.6*1+10.7*1.75+0.75*0.6</f>
        <v>25.534999999999997</v>
      </c>
      <c r="F377" s="332"/>
      <c r="G377" s="332"/>
      <c r="H377" s="332"/>
      <c r="I377" s="333"/>
      <c r="J377" s="566"/>
      <c r="T377" s="509"/>
    </row>
    <row r="378" spans="1:20" s="22" customFormat="1" ht="23.25" customHeight="1">
      <c r="A378" s="196"/>
      <c r="B378" s="205" t="s">
        <v>1511</v>
      </c>
      <c r="C378" s="523" t="s">
        <v>114</v>
      </c>
      <c r="D378" s="197"/>
      <c r="E378" s="207">
        <f>1.6*3.6+0.6*1+8.1*1.75+0.75*0.6+0.75*1</f>
        <v>21.735</v>
      </c>
      <c r="F378" s="332"/>
      <c r="G378" s="332"/>
      <c r="H378" s="332"/>
      <c r="I378" s="333"/>
      <c r="J378" s="566"/>
      <c r="T378" s="509"/>
    </row>
    <row r="379" spans="1:20" s="22" customFormat="1" ht="30" customHeight="1">
      <c r="A379" s="196"/>
      <c r="B379" s="205" t="s">
        <v>115</v>
      </c>
      <c r="C379" s="523" t="s">
        <v>116</v>
      </c>
      <c r="D379" s="197"/>
      <c r="E379" s="207">
        <f>1.5*4.9+0.5*1+4.4*2.02+0.5*1.02+1.6*3.3+1.02*0.6+0.6*1</f>
        <v>23.740000000000006</v>
      </c>
      <c r="F379" s="332"/>
      <c r="G379" s="332"/>
      <c r="H379" s="332"/>
      <c r="I379" s="333"/>
      <c r="J379" s="566"/>
      <c r="T379" s="509"/>
    </row>
    <row r="380" spans="1:20" s="22" customFormat="1" ht="24.75" customHeight="1">
      <c r="A380" s="196"/>
      <c r="B380" s="205" t="s">
        <v>1565</v>
      </c>
      <c r="C380" s="523" t="s">
        <v>117</v>
      </c>
      <c r="D380" s="197"/>
      <c r="E380" s="207">
        <f>1.8*11.6+1.5*3+0.5*1+0.5*0.6</f>
        <v>26.18</v>
      </c>
      <c r="F380" s="332"/>
      <c r="G380" s="332"/>
      <c r="H380" s="332"/>
      <c r="I380" s="333"/>
      <c r="J380" s="566"/>
      <c r="T380" s="509"/>
    </row>
    <row r="381" spans="1:20" s="22" customFormat="1" ht="21.75" customHeight="1">
      <c r="A381" s="278"/>
      <c r="B381" s="205" t="s">
        <v>1476</v>
      </c>
      <c r="C381" s="523" t="s">
        <v>118</v>
      </c>
      <c r="D381" s="279"/>
      <c r="E381" s="207">
        <f>4.3*2.8+7.3*2.8+2.2*0.9+4*1</f>
        <v>38.459999999999994</v>
      </c>
      <c r="F381" s="382"/>
      <c r="G381" s="382"/>
      <c r="H381" s="382"/>
      <c r="I381" s="383"/>
      <c r="J381" s="567"/>
      <c r="T381" s="509"/>
    </row>
    <row r="382" spans="1:20" s="22" customFormat="1" ht="21.75" customHeight="1">
      <c r="A382" s="278"/>
      <c r="B382" s="205" t="s">
        <v>1478</v>
      </c>
      <c r="C382" s="523" t="s">
        <v>158</v>
      </c>
      <c r="D382" s="279"/>
      <c r="E382" s="207">
        <f>4*0.6*0.8</f>
        <v>1.92</v>
      </c>
      <c r="F382" s="382"/>
      <c r="G382" s="382"/>
      <c r="H382" s="382"/>
      <c r="I382" s="383"/>
      <c r="J382" s="567"/>
      <c r="T382" s="509"/>
    </row>
    <row r="383" spans="1:20" s="22" customFormat="1" ht="21.75" customHeight="1">
      <c r="A383" s="278"/>
      <c r="B383" s="205" t="s">
        <v>159</v>
      </c>
      <c r="C383" s="523" t="s">
        <v>160</v>
      </c>
      <c r="D383" s="279"/>
      <c r="E383" s="207">
        <f>738.57*0.15</f>
        <v>110.7855</v>
      </c>
      <c r="F383" s="382"/>
      <c r="G383" s="382"/>
      <c r="H383" s="382"/>
      <c r="I383" s="383"/>
      <c r="J383" s="567"/>
      <c r="T383" s="509"/>
    </row>
    <row r="384" spans="1:20" s="22" customFormat="1" ht="16.5" customHeight="1">
      <c r="A384" s="196"/>
      <c r="B384" s="197"/>
      <c r="C384" s="199"/>
      <c r="D384" s="197"/>
      <c r="E384" s="198"/>
      <c r="F384" s="332"/>
      <c r="G384" s="332"/>
      <c r="H384" s="332"/>
      <c r="I384" s="333"/>
      <c r="J384" s="566"/>
      <c r="T384" s="509"/>
    </row>
    <row r="385" spans="1:20" s="22" customFormat="1" ht="23.25" customHeight="1">
      <c r="A385" s="196" t="s">
        <v>1780</v>
      </c>
      <c r="B385" s="197" t="s">
        <v>161</v>
      </c>
      <c r="C385" s="199" t="s">
        <v>162</v>
      </c>
      <c r="D385" s="197"/>
      <c r="E385" s="198" t="s">
        <v>1748</v>
      </c>
      <c r="F385" s="332">
        <f>SUM(E386:E429)</f>
        <v>849.3559624999998</v>
      </c>
      <c r="G385" s="332"/>
      <c r="H385" s="332">
        <f>F385*G385</f>
        <v>0</v>
      </c>
      <c r="I385" s="333">
        <v>0.00029</v>
      </c>
      <c r="J385" s="566">
        <f>F385*I385</f>
        <v>0.24631322912499995</v>
      </c>
      <c r="T385" s="509"/>
    </row>
    <row r="386" spans="1:20" s="536" customFormat="1" ht="17.25" customHeight="1">
      <c r="A386" s="204"/>
      <c r="B386" s="205" t="s">
        <v>163</v>
      </c>
      <c r="C386" s="206" t="s">
        <v>142</v>
      </c>
      <c r="D386" s="205"/>
      <c r="E386" s="207">
        <f>0.8*0.15*1.1</f>
        <v>0.132</v>
      </c>
      <c r="F386" s="335"/>
      <c r="G386" s="335"/>
      <c r="H386" s="335"/>
      <c r="I386" s="336"/>
      <c r="J386" s="568"/>
      <c r="K386" s="134"/>
      <c r="L386" s="134"/>
      <c r="M386" s="134"/>
      <c r="N386" s="134"/>
      <c r="O386" s="134"/>
      <c r="P386" s="134"/>
      <c r="Q386" s="140"/>
      <c r="R386" s="130"/>
      <c r="S386" s="134"/>
      <c r="T386" s="130"/>
    </row>
    <row r="387" spans="1:20" s="536" customFormat="1" ht="18.75" customHeight="1">
      <c r="A387" s="204"/>
      <c r="B387" s="205" t="s">
        <v>1545</v>
      </c>
      <c r="C387" s="206" t="s">
        <v>143</v>
      </c>
      <c r="D387" s="205"/>
      <c r="E387" s="207">
        <f>2*0.7*0.15*2*1.1+20.77</f>
        <v>21.232</v>
      </c>
      <c r="F387" s="335"/>
      <c r="G387" s="335"/>
      <c r="H387" s="335"/>
      <c r="I387" s="336"/>
      <c r="J387" s="568"/>
      <c r="K387" s="134"/>
      <c r="L387" s="134"/>
      <c r="M387" s="134"/>
      <c r="N387" s="134"/>
      <c r="O387" s="134"/>
      <c r="P387" s="134"/>
      <c r="Q387" s="140"/>
      <c r="R387" s="130"/>
      <c r="S387" s="134"/>
      <c r="T387" s="130"/>
    </row>
    <row r="388" spans="1:20" s="22" customFormat="1" ht="18.75" customHeight="1">
      <c r="A388" s="196"/>
      <c r="B388" s="205" t="s">
        <v>164</v>
      </c>
      <c r="C388" s="206" t="s">
        <v>73</v>
      </c>
      <c r="D388" s="197"/>
      <c r="E388" s="207">
        <f>7.89*1.45+6.91*1.54+0.45*1+0.54*1</f>
        <v>23.071899999999996</v>
      </c>
      <c r="F388" s="332"/>
      <c r="G388" s="332"/>
      <c r="H388" s="332"/>
      <c r="I388" s="333"/>
      <c r="J388" s="566"/>
      <c r="T388" s="509"/>
    </row>
    <row r="389" spans="1:20" s="536" customFormat="1" ht="17.25" customHeight="1">
      <c r="A389" s="204"/>
      <c r="B389" s="205" t="s">
        <v>1548</v>
      </c>
      <c r="C389" s="206" t="s">
        <v>142</v>
      </c>
      <c r="D389" s="205"/>
      <c r="E389" s="207">
        <f>0.8*0.15*1.1</f>
        <v>0.132</v>
      </c>
      <c r="F389" s="335"/>
      <c r="G389" s="335"/>
      <c r="H389" s="335"/>
      <c r="I389" s="336"/>
      <c r="J389" s="568"/>
      <c r="K389" s="134"/>
      <c r="L389" s="134"/>
      <c r="M389" s="134"/>
      <c r="N389" s="134"/>
      <c r="O389" s="134"/>
      <c r="P389" s="134"/>
      <c r="Q389" s="140"/>
      <c r="R389" s="130"/>
      <c r="S389" s="134"/>
      <c r="T389" s="130"/>
    </row>
    <row r="390" spans="1:20" s="22" customFormat="1" ht="17.25" customHeight="1">
      <c r="A390" s="196"/>
      <c r="B390" s="205" t="s">
        <v>1450</v>
      </c>
      <c r="C390" s="523" t="s">
        <v>144</v>
      </c>
      <c r="D390" s="197"/>
      <c r="E390" s="207">
        <f>2*1.3*0.15*1.1</f>
        <v>0.42900000000000005</v>
      </c>
      <c r="F390" s="332"/>
      <c r="G390" s="332"/>
      <c r="H390" s="332"/>
      <c r="I390" s="333"/>
      <c r="J390" s="566"/>
      <c r="T390" s="509"/>
    </row>
    <row r="391" spans="1:20" s="22" customFormat="1" ht="18" customHeight="1">
      <c r="A391" s="196"/>
      <c r="B391" s="205" t="s">
        <v>1452</v>
      </c>
      <c r="C391" s="206" t="s">
        <v>145</v>
      </c>
      <c r="D391" s="197"/>
      <c r="E391" s="207">
        <f>(3.79*2.71+2.5*2.48+1.5*1.5)*1.1</f>
        <v>20.59299</v>
      </c>
      <c r="F391" s="332"/>
      <c r="G391" s="332"/>
      <c r="H391" s="332"/>
      <c r="I391" s="333"/>
      <c r="J391" s="566"/>
      <c r="T391" s="509"/>
    </row>
    <row r="392" spans="1:20" s="22" customFormat="1" ht="18" customHeight="1">
      <c r="A392" s="196"/>
      <c r="B392" s="205" t="s">
        <v>1489</v>
      </c>
      <c r="C392" s="206" t="s">
        <v>146</v>
      </c>
      <c r="D392" s="197"/>
      <c r="E392" s="207">
        <f>(6.68+4.2*1.5+3.4*1)*1.1</f>
        <v>18.018</v>
      </c>
      <c r="F392" s="332"/>
      <c r="G392" s="332"/>
      <c r="H392" s="332"/>
      <c r="I392" s="333"/>
      <c r="J392" s="566"/>
      <c r="T392" s="509"/>
    </row>
    <row r="393" spans="1:20" s="22" customFormat="1" ht="33" customHeight="1">
      <c r="A393" s="196"/>
      <c r="B393" s="205" t="s">
        <v>61</v>
      </c>
      <c r="C393" s="206" t="s">
        <v>147</v>
      </c>
      <c r="D393" s="197"/>
      <c r="E393" s="207">
        <f>(3.975*1.545+0.545*0.445+7.245*1.445+0.545*1+0.445*1)*1.1</f>
        <v>19.627217500000004</v>
      </c>
      <c r="F393" s="332"/>
      <c r="G393" s="332"/>
      <c r="H393" s="332"/>
      <c r="I393" s="333"/>
      <c r="J393" s="566"/>
      <c r="T393" s="509"/>
    </row>
    <row r="394" spans="1:20" s="22" customFormat="1" ht="23.25" customHeight="1">
      <c r="A394" s="196"/>
      <c r="B394" s="205" t="s">
        <v>1492</v>
      </c>
      <c r="C394" s="523" t="s">
        <v>148</v>
      </c>
      <c r="D394" s="197"/>
      <c r="E394" s="207">
        <f>(1.495*2.09+4.2*2.515)*1.1</f>
        <v>15.056305000000004</v>
      </c>
      <c r="F394" s="332"/>
      <c r="G394" s="332"/>
      <c r="H394" s="332"/>
      <c r="I394" s="333"/>
      <c r="J394" s="566"/>
      <c r="T394" s="509"/>
    </row>
    <row r="395" spans="1:20" s="22" customFormat="1" ht="23.25" customHeight="1">
      <c r="A395" s="196"/>
      <c r="B395" s="205" t="s">
        <v>79</v>
      </c>
      <c r="C395" s="523" t="s">
        <v>80</v>
      </c>
      <c r="D395" s="197"/>
      <c r="E395" s="207">
        <f>8.035*1.6+2.06*1.5+0.6*1+0.6*0.5+0.5*1</f>
        <v>17.346000000000004</v>
      </c>
      <c r="F395" s="332"/>
      <c r="G395" s="332"/>
      <c r="H395" s="332"/>
      <c r="I395" s="333"/>
      <c r="J395" s="566"/>
      <c r="T395" s="509"/>
    </row>
    <row r="396" spans="1:20" s="22" customFormat="1" ht="23.25" customHeight="1">
      <c r="A396" s="196"/>
      <c r="B396" s="205" t="s">
        <v>1454</v>
      </c>
      <c r="C396" s="523" t="s">
        <v>81</v>
      </c>
      <c r="D396" s="197"/>
      <c r="E396" s="207">
        <f>10.64*1.8+3.92*1.6+0.6*1+0.8*0.6</f>
        <v>26.504</v>
      </c>
      <c r="F396" s="332"/>
      <c r="G396" s="332"/>
      <c r="H396" s="332"/>
      <c r="I396" s="333"/>
      <c r="J396" s="566"/>
      <c r="T396" s="509"/>
    </row>
    <row r="397" spans="1:20" s="22" customFormat="1" ht="23.25" customHeight="1">
      <c r="A397" s="196"/>
      <c r="B397" s="205" t="s">
        <v>1464</v>
      </c>
      <c r="C397" s="523" t="s">
        <v>82</v>
      </c>
      <c r="D397" s="197"/>
      <c r="E397" s="207">
        <f>2.85*2.205</f>
        <v>6.28425</v>
      </c>
      <c r="F397" s="332"/>
      <c r="G397" s="332"/>
      <c r="H397" s="332"/>
      <c r="I397" s="333"/>
      <c r="J397" s="566"/>
      <c r="T397" s="509"/>
    </row>
    <row r="398" spans="1:20" s="22" customFormat="1" ht="23.25" customHeight="1">
      <c r="A398" s="196"/>
      <c r="B398" s="205" t="s">
        <v>1456</v>
      </c>
      <c r="C398" s="523" t="s">
        <v>83</v>
      </c>
      <c r="D398" s="197"/>
      <c r="E398" s="207">
        <f>2.8*2.005+2.8*1</f>
        <v>8.413999999999998</v>
      </c>
      <c r="F398" s="332"/>
      <c r="G398" s="332"/>
      <c r="H398" s="332"/>
      <c r="I398" s="333"/>
      <c r="J398" s="566"/>
      <c r="T398" s="509"/>
    </row>
    <row r="399" spans="1:20" s="22" customFormat="1" ht="23.25" customHeight="1">
      <c r="A399" s="196"/>
      <c r="B399" s="205" t="s">
        <v>1458</v>
      </c>
      <c r="C399" s="523" t="s">
        <v>149</v>
      </c>
      <c r="D399" s="197"/>
      <c r="E399" s="207">
        <f>0.9*2</f>
        <v>1.8</v>
      </c>
      <c r="F399" s="332"/>
      <c r="G399" s="332"/>
      <c r="H399" s="332"/>
      <c r="I399" s="333"/>
      <c r="J399" s="566"/>
      <c r="T399" s="509"/>
    </row>
    <row r="400" spans="1:20" s="22" customFormat="1" ht="23.25" customHeight="1">
      <c r="A400" s="196"/>
      <c r="B400" s="205" t="s">
        <v>1460</v>
      </c>
      <c r="C400" s="523" t="s">
        <v>84</v>
      </c>
      <c r="D400" s="197"/>
      <c r="E400" s="207">
        <f>4.35*1.5+9.06*1.8+0.8*0.5+0.5*1+0.8*1</f>
        <v>24.532999999999998</v>
      </c>
      <c r="F400" s="332"/>
      <c r="G400" s="332"/>
      <c r="H400" s="332"/>
      <c r="I400" s="333"/>
      <c r="J400" s="566"/>
      <c r="T400" s="509"/>
    </row>
    <row r="401" spans="1:20" s="22" customFormat="1" ht="23.25" customHeight="1">
      <c r="A401" s="196"/>
      <c r="B401" s="205" t="s">
        <v>1462</v>
      </c>
      <c r="C401" s="523" t="s">
        <v>85</v>
      </c>
      <c r="D401" s="197"/>
      <c r="E401" s="207">
        <f>4.325*2.8+2.8*1.5*2</f>
        <v>20.509999999999998</v>
      </c>
      <c r="F401" s="332"/>
      <c r="G401" s="332"/>
      <c r="H401" s="332"/>
      <c r="I401" s="333"/>
      <c r="J401" s="566"/>
      <c r="T401" s="509"/>
    </row>
    <row r="402" spans="1:20" s="22" customFormat="1" ht="23.25" customHeight="1">
      <c r="A402" s="196"/>
      <c r="B402" s="205" t="s">
        <v>1462</v>
      </c>
      <c r="C402" s="523" t="s">
        <v>150</v>
      </c>
      <c r="D402" s="197"/>
      <c r="E402" s="207">
        <f>0.9*0.5*4</f>
        <v>1.8</v>
      </c>
      <c r="F402" s="332"/>
      <c r="G402" s="332"/>
      <c r="H402" s="332"/>
      <c r="I402" s="333"/>
      <c r="J402" s="566"/>
      <c r="T402" s="509"/>
    </row>
    <row r="403" spans="1:20" s="22" customFormat="1" ht="23.25" customHeight="1">
      <c r="A403" s="196"/>
      <c r="B403" s="205" t="s">
        <v>1500</v>
      </c>
      <c r="C403" s="523" t="s">
        <v>151</v>
      </c>
      <c r="D403" s="197"/>
      <c r="E403" s="207">
        <f>2*2*0.5*0.5</f>
        <v>1</v>
      </c>
      <c r="F403" s="332"/>
      <c r="G403" s="332"/>
      <c r="H403" s="332"/>
      <c r="I403" s="333"/>
      <c r="J403" s="566"/>
      <c r="T403" s="509"/>
    </row>
    <row r="404" spans="1:20" s="22" customFormat="1" ht="23.25" customHeight="1">
      <c r="A404" s="196"/>
      <c r="B404" s="205" t="s">
        <v>1464</v>
      </c>
      <c r="C404" s="523" t="s">
        <v>87</v>
      </c>
      <c r="D404" s="197"/>
      <c r="E404" s="207">
        <f>1.735*2.755+1.255*1.265+3.635*2.765+0.815*2.08</f>
        <v>18.113475</v>
      </c>
      <c r="F404" s="332"/>
      <c r="G404" s="332"/>
      <c r="H404" s="332"/>
      <c r="I404" s="333"/>
      <c r="J404" s="566"/>
      <c r="T404" s="509"/>
    </row>
    <row r="405" spans="1:20" s="22" customFormat="1" ht="23.25" customHeight="1">
      <c r="A405" s="196"/>
      <c r="B405" s="205" t="s">
        <v>1502</v>
      </c>
      <c r="C405" s="523" t="s">
        <v>88</v>
      </c>
      <c r="D405" s="197"/>
      <c r="E405" s="207">
        <f>4.59*1.52+1*0.52+0.52*0.79+7.615*1.79+1*0.79</f>
        <v>22.32845</v>
      </c>
      <c r="F405" s="332"/>
      <c r="G405" s="332"/>
      <c r="H405" s="332"/>
      <c r="I405" s="333"/>
      <c r="J405" s="566"/>
      <c r="T405" s="509"/>
    </row>
    <row r="406" spans="1:20" s="22" customFormat="1" ht="23.25" customHeight="1">
      <c r="A406" s="196"/>
      <c r="B406" s="205" t="s">
        <v>1466</v>
      </c>
      <c r="C406" s="523" t="s">
        <v>89</v>
      </c>
      <c r="D406" s="197"/>
      <c r="E406" s="207">
        <f>1.95*2.485+2.5*1.5+1.305*0.985+3.79*2.805</f>
        <v>20.512124999999997</v>
      </c>
      <c r="F406" s="332"/>
      <c r="G406" s="332"/>
      <c r="H406" s="332"/>
      <c r="I406" s="333"/>
      <c r="J406" s="566"/>
      <c r="T406" s="509"/>
    </row>
    <row r="407" spans="1:20" s="22" customFormat="1" ht="23.25" customHeight="1">
      <c r="A407" s="196"/>
      <c r="B407" s="205" t="s">
        <v>90</v>
      </c>
      <c r="C407" s="523" t="s">
        <v>91</v>
      </c>
      <c r="D407" s="197"/>
      <c r="E407" s="207">
        <f>6.45*1.6+0.6*0.5+3.495*1.5+0.6*1+0.5*1</f>
        <v>16.962500000000002</v>
      </c>
      <c r="F407" s="332"/>
      <c r="G407" s="332"/>
      <c r="H407" s="332"/>
      <c r="I407" s="333"/>
      <c r="J407" s="566"/>
      <c r="T407" s="509"/>
    </row>
    <row r="408" spans="1:20" s="22" customFormat="1" ht="23.25" customHeight="1">
      <c r="A408" s="196"/>
      <c r="B408" s="205" t="s">
        <v>1468</v>
      </c>
      <c r="C408" s="523" t="s">
        <v>93</v>
      </c>
      <c r="D408" s="197"/>
      <c r="E408" s="207">
        <f>2.95*2.52+4.655*2.75</f>
        <v>20.23525</v>
      </c>
      <c r="F408" s="332"/>
      <c r="G408" s="332"/>
      <c r="H408" s="332"/>
      <c r="I408" s="333"/>
      <c r="J408" s="566"/>
      <c r="T408" s="509"/>
    </row>
    <row r="409" spans="1:20" s="557" customFormat="1" ht="23.25" customHeight="1">
      <c r="A409" s="827"/>
      <c r="B409" s="205" t="s">
        <v>152</v>
      </c>
      <c r="C409" s="523" t="s">
        <v>153</v>
      </c>
      <c r="D409" s="826"/>
      <c r="E409" s="207">
        <f>9.59*1.6+0.6*1+4.62*1.5+0.5*1+0.6*0.5</f>
        <v>23.674000000000003</v>
      </c>
      <c r="F409" s="828"/>
      <c r="G409" s="828"/>
      <c r="H409" s="828"/>
      <c r="I409" s="829"/>
      <c r="J409" s="830"/>
      <c r="K409" s="831"/>
      <c r="L409" s="831"/>
      <c r="M409" s="831"/>
      <c r="N409" s="831"/>
      <c r="O409" s="831"/>
      <c r="P409" s="831"/>
      <c r="Q409" s="831"/>
      <c r="R409" s="831"/>
      <c r="S409" s="831"/>
      <c r="T409" s="831"/>
    </row>
    <row r="410" spans="1:20" s="557" customFormat="1" ht="23.25" customHeight="1">
      <c r="A410" s="827"/>
      <c r="B410" s="205" t="s">
        <v>94</v>
      </c>
      <c r="C410" s="523" t="s">
        <v>95</v>
      </c>
      <c r="D410" s="826"/>
      <c r="E410" s="207">
        <f>11.45*1.6+4.23*1.6+0.6*1+0.6*0.6</f>
        <v>26.048000000000002</v>
      </c>
      <c r="F410" s="828"/>
      <c r="G410" s="828"/>
      <c r="H410" s="828"/>
      <c r="I410" s="829"/>
      <c r="J410" s="830"/>
      <c r="K410" s="831"/>
      <c r="L410" s="831"/>
      <c r="M410" s="831"/>
      <c r="N410" s="831"/>
      <c r="O410" s="831"/>
      <c r="P410" s="831"/>
      <c r="Q410" s="831"/>
      <c r="R410" s="831"/>
      <c r="S410" s="831"/>
      <c r="T410" s="831"/>
    </row>
    <row r="411" spans="1:20" s="22" customFormat="1" ht="23.25" customHeight="1">
      <c r="A411" s="196"/>
      <c r="B411" s="205" t="s">
        <v>1470</v>
      </c>
      <c r="C411" s="523" t="s">
        <v>154</v>
      </c>
      <c r="D411" s="197"/>
      <c r="E411" s="207">
        <f>(0.35*0.8)*6</f>
        <v>1.6799999999999997</v>
      </c>
      <c r="F411" s="332"/>
      <c r="G411" s="332"/>
      <c r="H411" s="332"/>
      <c r="I411" s="333"/>
      <c r="J411" s="566"/>
      <c r="T411" s="509"/>
    </row>
    <row r="412" spans="1:20" s="22" customFormat="1" ht="23.25" customHeight="1">
      <c r="A412" s="196"/>
      <c r="B412" s="205" t="s">
        <v>1472</v>
      </c>
      <c r="C412" s="523" t="s">
        <v>155</v>
      </c>
      <c r="D412" s="197"/>
      <c r="E412" s="207">
        <f>(4.7+1.5)*2.8</f>
        <v>17.36</v>
      </c>
      <c r="F412" s="332"/>
      <c r="G412" s="332"/>
      <c r="H412" s="332"/>
      <c r="I412" s="333"/>
      <c r="J412" s="566"/>
      <c r="T412" s="509"/>
    </row>
    <row r="413" spans="1:20" s="22" customFormat="1" ht="23.25" customHeight="1">
      <c r="A413" s="196"/>
      <c r="B413" s="205" t="s">
        <v>97</v>
      </c>
      <c r="C413" s="523" t="s">
        <v>98</v>
      </c>
      <c r="D413" s="197"/>
      <c r="E413" s="207">
        <f>8.9*1.75+0.75*1+5*0.4+0.75*0.4</f>
        <v>18.625000000000004</v>
      </c>
      <c r="F413" s="332"/>
      <c r="G413" s="332"/>
      <c r="H413" s="332"/>
      <c r="I413" s="333"/>
      <c r="J413" s="566"/>
      <c r="T413" s="509"/>
    </row>
    <row r="414" spans="1:20" s="22" customFormat="1" ht="23.25" customHeight="1">
      <c r="A414" s="196"/>
      <c r="B414" s="205" t="s">
        <v>99</v>
      </c>
      <c r="C414" s="523" t="s">
        <v>100</v>
      </c>
      <c r="D414" s="197"/>
      <c r="E414" s="207">
        <f>3.5*1.45+10.6*0.78+0.78*0.45</f>
        <v>13.694</v>
      </c>
      <c r="F414" s="332"/>
      <c r="G414" s="332"/>
      <c r="H414" s="332"/>
      <c r="I414" s="333"/>
      <c r="J414" s="566"/>
      <c r="T414" s="509"/>
    </row>
    <row r="415" spans="1:20" s="22" customFormat="1" ht="23.25" customHeight="1">
      <c r="A415" s="196"/>
      <c r="B415" s="205" t="s">
        <v>101</v>
      </c>
      <c r="C415" s="523" t="s">
        <v>102</v>
      </c>
      <c r="D415" s="197"/>
      <c r="E415" s="207">
        <f>4.95*1.45+9*1.75+0.75*0.45</f>
        <v>23.265</v>
      </c>
      <c r="F415" s="332"/>
      <c r="G415" s="332"/>
      <c r="H415" s="332"/>
      <c r="I415" s="333"/>
      <c r="J415" s="566"/>
      <c r="T415" s="509"/>
    </row>
    <row r="416" spans="1:20" s="22" customFormat="1" ht="23.25" customHeight="1">
      <c r="A416" s="196"/>
      <c r="B416" s="205" t="s">
        <v>1473</v>
      </c>
      <c r="C416" s="523" t="s">
        <v>103</v>
      </c>
      <c r="D416" s="197"/>
      <c r="E416" s="207">
        <f>7.9*2.8+6.2*2.8</f>
        <v>39.480000000000004</v>
      </c>
      <c r="F416" s="332"/>
      <c r="G416" s="332"/>
      <c r="H416" s="332"/>
      <c r="I416" s="333"/>
      <c r="J416" s="566"/>
      <c r="T416" s="509"/>
    </row>
    <row r="417" spans="1:20" s="22" customFormat="1" ht="23.25" customHeight="1">
      <c r="A417" s="196"/>
      <c r="B417" s="205" t="s">
        <v>1470</v>
      </c>
      <c r="C417" s="523" t="s">
        <v>156</v>
      </c>
      <c r="D417" s="197"/>
      <c r="E417" s="207">
        <f>6*0.8*0.5</f>
        <v>2.4000000000000004</v>
      </c>
      <c r="F417" s="332"/>
      <c r="G417" s="332"/>
      <c r="H417" s="332"/>
      <c r="I417" s="333"/>
      <c r="J417" s="566"/>
      <c r="T417" s="509"/>
    </row>
    <row r="418" spans="1:20" s="22" customFormat="1" ht="23.25" customHeight="1">
      <c r="A418" s="196"/>
      <c r="B418" s="205" t="s">
        <v>104</v>
      </c>
      <c r="C418" s="523" t="s">
        <v>105</v>
      </c>
      <c r="D418" s="197"/>
      <c r="E418" s="207">
        <f>11.5*1.5+3*1.6+0.6*1+0.6*0.5</f>
        <v>22.950000000000003</v>
      </c>
      <c r="F418" s="332"/>
      <c r="G418" s="332"/>
      <c r="H418" s="332"/>
      <c r="I418" s="333"/>
      <c r="J418" s="566"/>
      <c r="T418" s="509"/>
    </row>
    <row r="419" spans="1:20" s="22" customFormat="1" ht="23.25" customHeight="1">
      <c r="A419" s="196"/>
      <c r="B419" s="205" t="s">
        <v>106</v>
      </c>
      <c r="C419" s="523" t="s">
        <v>107</v>
      </c>
      <c r="D419" s="197"/>
      <c r="E419" s="207">
        <f>0.75*1+9.75*1.75+0.5*1+3.05*1.5+0.75*0.5</f>
        <v>23.2625</v>
      </c>
      <c r="F419" s="332"/>
      <c r="G419" s="332"/>
      <c r="H419" s="332"/>
      <c r="I419" s="333"/>
      <c r="J419" s="566"/>
      <c r="T419" s="509"/>
    </row>
    <row r="420" spans="1:20" s="22" customFormat="1" ht="28.5" customHeight="1">
      <c r="A420" s="196"/>
      <c r="B420" s="205" t="s">
        <v>1509</v>
      </c>
      <c r="C420" s="523" t="s">
        <v>108</v>
      </c>
      <c r="D420" s="197"/>
      <c r="E420" s="207">
        <f>1.55*3.3+0.55*1+2.05*7.5+0.55*1.05+4.8*1.5+1.05*0.5</f>
        <v>29.342499999999998</v>
      </c>
      <c r="F420" s="332"/>
      <c r="G420" s="332"/>
      <c r="H420" s="332"/>
      <c r="I420" s="333"/>
      <c r="J420" s="566"/>
      <c r="T420" s="509"/>
    </row>
    <row r="421" spans="1:20" s="22" customFormat="1" ht="23.25" customHeight="1">
      <c r="A421" s="196"/>
      <c r="B421" s="205" t="s">
        <v>109</v>
      </c>
      <c r="C421" s="523" t="s">
        <v>157</v>
      </c>
      <c r="D421" s="197"/>
      <c r="E421" s="207">
        <f>1.6*3.6+0.6*1+5.1*1.45+0.45*0.6</f>
        <v>14.024999999999999</v>
      </c>
      <c r="F421" s="332"/>
      <c r="G421" s="332"/>
      <c r="H421" s="332"/>
      <c r="I421" s="333"/>
      <c r="J421" s="566"/>
      <c r="T421" s="509"/>
    </row>
    <row r="422" spans="1:20" s="22" customFormat="1" ht="23.25" customHeight="1">
      <c r="A422" s="196"/>
      <c r="B422" s="205" t="s">
        <v>2</v>
      </c>
      <c r="C422" s="523" t="s">
        <v>111</v>
      </c>
      <c r="D422" s="197"/>
      <c r="E422" s="207">
        <f>1.7*7.5+2.3*2.7+1*1.6</f>
        <v>20.560000000000002</v>
      </c>
      <c r="F422" s="332"/>
      <c r="G422" s="332"/>
      <c r="H422" s="332"/>
      <c r="I422" s="333"/>
      <c r="J422" s="566"/>
      <c r="T422" s="509"/>
    </row>
    <row r="423" spans="1:20" s="22" customFormat="1" ht="23.25" customHeight="1">
      <c r="A423" s="196"/>
      <c r="B423" s="205" t="s">
        <v>112</v>
      </c>
      <c r="C423" s="523" t="s">
        <v>113</v>
      </c>
      <c r="D423" s="197"/>
      <c r="E423" s="207">
        <f>1.6*3.6+0.6*1+10.7*1.75+0.75*0.6</f>
        <v>25.534999999999997</v>
      </c>
      <c r="F423" s="332"/>
      <c r="G423" s="332"/>
      <c r="H423" s="332"/>
      <c r="I423" s="333"/>
      <c r="J423" s="566"/>
      <c r="T423" s="509"/>
    </row>
    <row r="424" spans="1:20" s="22" customFormat="1" ht="23.25" customHeight="1">
      <c r="A424" s="196"/>
      <c r="B424" s="205" t="s">
        <v>1511</v>
      </c>
      <c r="C424" s="523" t="s">
        <v>114</v>
      </c>
      <c r="D424" s="197"/>
      <c r="E424" s="207">
        <f>1.6*3.6+0.6*1+8.1*1.75+0.75*0.6+0.75*1</f>
        <v>21.735</v>
      </c>
      <c r="F424" s="332"/>
      <c r="G424" s="332"/>
      <c r="H424" s="332"/>
      <c r="I424" s="333"/>
      <c r="J424" s="566"/>
      <c r="T424" s="509"/>
    </row>
    <row r="425" spans="1:20" s="22" customFormat="1" ht="30" customHeight="1">
      <c r="A425" s="196"/>
      <c r="B425" s="205" t="s">
        <v>115</v>
      </c>
      <c r="C425" s="523" t="s">
        <v>116</v>
      </c>
      <c r="D425" s="197"/>
      <c r="E425" s="207">
        <f>1.5*4.9+0.5*1+4.4*2.02+0.5*1.02+1.6*3.3+1.02*0.6+0.6*1</f>
        <v>23.740000000000006</v>
      </c>
      <c r="F425" s="332"/>
      <c r="G425" s="332"/>
      <c r="H425" s="332"/>
      <c r="I425" s="333"/>
      <c r="J425" s="566"/>
      <c r="T425" s="509"/>
    </row>
    <row r="426" spans="1:20" s="22" customFormat="1" ht="24.75" customHeight="1">
      <c r="A426" s="196"/>
      <c r="B426" s="205" t="s">
        <v>1565</v>
      </c>
      <c r="C426" s="523" t="s">
        <v>117</v>
      </c>
      <c r="D426" s="197"/>
      <c r="E426" s="207">
        <f>1.8*11.6+1.5*3+0.5*1+0.5*0.6</f>
        <v>26.18</v>
      </c>
      <c r="F426" s="332"/>
      <c r="G426" s="332"/>
      <c r="H426" s="332"/>
      <c r="I426" s="333"/>
      <c r="J426" s="566"/>
      <c r="T426" s="509"/>
    </row>
    <row r="427" spans="1:20" s="22" customFormat="1" ht="21.75" customHeight="1">
      <c r="A427" s="278"/>
      <c r="B427" s="205" t="s">
        <v>1476</v>
      </c>
      <c r="C427" s="523" t="s">
        <v>118</v>
      </c>
      <c r="D427" s="279"/>
      <c r="E427" s="207">
        <f>4.3*2.8+7.3*2.8+2.2*0.9+4*1</f>
        <v>38.459999999999994</v>
      </c>
      <c r="F427" s="382"/>
      <c r="G427" s="382"/>
      <c r="H427" s="382"/>
      <c r="I427" s="383"/>
      <c r="J427" s="567"/>
      <c r="T427" s="509"/>
    </row>
    <row r="428" spans="1:20" s="22" customFormat="1" ht="21.75" customHeight="1">
      <c r="A428" s="278"/>
      <c r="B428" s="205" t="s">
        <v>1478</v>
      </c>
      <c r="C428" s="523" t="s">
        <v>158</v>
      </c>
      <c r="D428" s="279"/>
      <c r="E428" s="207">
        <f>4*0.6*0.8</f>
        <v>1.92</v>
      </c>
      <c r="F428" s="382"/>
      <c r="G428" s="382"/>
      <c r="H428" s="382"/>
      <c r="I428" s="383"/>
      <c r="J428" s="567"/>
      <c r="T428" s="509"/>
    </row>
    <row r="429" spans="1:20" s="22" customFormat="1" ht="21.75" customHeight="1">
      <c r="A429" s="278"/>
      <c r="B429" s="205" t="s">
        <v>159</v>
      </c>
      <c r="C429" s="523" t="s">
        <v>160</v>
      </c>
      <c r="D429" s="279"/>
      <c r="E429" s="207">
        <f>738.57*0.15</f>
        <v>110.7855</v>
      </c>
      <c r="F429" s="382"/>
      <c r="G429" s="382"/>
      <c r="H429" s="382"/>
      <c r="I429" s="383"/>
      <c r="J429" s="567"/>
      <c r="T429" s="509"/>
    </row>
    <row r="430" spans="1:20" s="22" customFormat="1" ht="23.25" customHeight="1" thickBot="1">
      <c r="A430" s="255"/>
      <c r="B430" s="256"/>
      <c r="C430" s="264"/>
      <c r="D430" s="256"/>
      <c r="E430" s="257"/>
      <c r="F430" s="368"/>
      <c r="G430" s="368"/>
      <c r="H430" s="368"/>
      <c r="I430" s="369"/>
      <c r="J430" s="570"/>
      <c r="T430" s="509"/>
    </row>
    <row r="431" spans="1:20" ht="16.5" customHeight="1" thickBot="1">
      <c r="A431" s="266" t="s">
        <v>1624</v>
      </c>
      <c r="B431" s="175" t="s">
        <v>2369</v>
      </c>
      <c r="C431" s="176" t="s">
        <v>2370</v>
      </c>
      <c r="D431" s="176"/>
      <c r="E431" s="175"/>
      <c r="F431" s="341"/>
      <c r="G431" s="341"/>
      <c r="H431" s="342">
        <f>SUM(H432:H501)</f>
        <v>0</v>
      </c>
      <c r="I431" s="343"/>
      <c r="J431" s="564">
        <f>SUM(J432:J495)</f>
        <v>1.5489356664999998</v>
      </c>
      <c r="O431" s="511"/>
      <c r="P431" s="511"/>
      <c r="T431" s="670"/>
    </row>
    <row r="432" spans="1:20" s="22" customFormat="1" ht="16.5" customHeight="1">
      <c r="A432" s="190"/>
      <c r="B432" s="191"/>
      <c r="C432" s="265"/>
      <c r="D432" s="191"/>
      <c r="E432" s="192"/>
      <c r="F432" s="345"/>
      <c r="G432" s="345"/>
      <c r="H432" s="345"/>
      <c r="I432" s="346"/>
      <c r="J432" s="565"/>
      <c r="T432" s="509"/>
    </row>
    <row r="433" spans="1:20" s="22" customFormat="1" ht="21.75" customHeight="1">
      <c r="A433" s="278" t="s">
        <v>1804</v>
      </c>
      <c r="B433" s="279" t="s">
        <v>165</v>
      </c>
      <c r="C433" s="280" t="s">
        <v>166</v>
      </c>
      <c r="D433" s="279"/>
      <c r="E433" s="281" t="s">
        <v>1826</v>
      </c>
      <c r="F433" s="382">
        <v>45</v>
      </c>
      <c r="G433" s="382"/>
      <c r="H433" s="332">
        <f>F433*G433</f>
        <v>0</v>
      </c>
      <c r="I433" s="383">
        <v>0.000484</v>
      </c>
      <c r="J433" s="566">
        <f>F433*I433</f>
        <v>0.02178</v>
      </c>
      <c r="T433" s="509"/>
    </row>
    <row r="434" spans="1:20" s="22" customFormat="1" ht="13.5" customHeight="1">
      <c r="A434" s="278"/>
      <c r="B434" s="279"/>
      <c r="C434" s="280"/>
      <c r="D434" s="279"/>
      <c r="E434" s="281"/>
      <c r="F434" s="382"/>
      <c r="G434" s="382"/>
      <c r="H434" s="382"/>
      <c r="I434" s="383"/>
      <c r="J434" s="567"/>
      <c r="T434" s="509"/>
    </row>
    <row r="435" spans="1:20" s="22" customFormat="1" ht="21.75" customHeight="1">
      <c r="A435" s="278" t="s">
        <v>167</v>
      </c>
      <c r="B435" s="279" t="s">
        <v>168</v>
      </c>
      <c r="C435" s="280" t="s">
        <v>169</v>
      </c>
      <c r="D435" s="281"/>
      <c r="E435" s="198" t="s">
        <v>1718</v>
      </c>
      <c r="F435" s="382">
        <f>SUM(E436:E439)</f>
        <v>22</v>
      </c>
      <c r="G435" s="382"/>
      <c r="H435" s="332">
        <f>F435*G435</f>
        <v>0</v>
      </c>
      <c r="I435" s="383">
        <v>0.000596</v>
      </c>
      <c r="J435" s="566">
        <f>F435*I435</f>
        <v>0.013111999999999999</v>
      </c>
      <c r="T435" s="509"/>
    </row>
    <row r="436" spans="1:20" s="22" customFormat="1" ht="21.75" customHeight="1">
      <c r="A436" s="278"/>
      <c r="B436" s="205" t="s">
        <v>106</v>
      </c>
      <c r="C436" s="523">
        <v>2</v>
      </c>
      <c r="D436" s="279"/>
      <c r="E436" s="207">
        <v>2</v>
      </c>
      <c r="F436" s="382"/>
      <c r="G436" s="382"/>
      <c r="H436" s="382"/>
      <c r="I436" s="383"/>
      <c r="J436" s="567"/>
      <c r="T436" s="509"/>
    </row>
    <row r="437" spans="1:20" s="22" customFormat="1" ht="21.75" customHeight="1">
      <c r="A437" s="278"/>
      <c r="B437" s="205" t="s">
        <v>1565</v>
      </c>
      <c r="C437" s="523">
        <v>2</v>
      </c>
      <c r="D437" s="279"/>
      <c r="E437" s="207">
        <v>2</v>
      </c>
      <c r="F437" s="382"/>
      <c r="G437" s="382"/>
      <c r="H437" s="382"/>
      <c r="I437" s="383"/>
      <c r="J437" s="567"/>
      <c r="T437" s="509"/>
    </row>
    <row r="438" spans="1:20" s="22" customFormat="1" ht="21.75" customHeight="1">
      <c r="A438" s="278"/>
      <c r="B438" s="205" t="s">
        <v>1476</v>
      </c>
      <c r="C438" s="523" t="s">
        <v>862</v>
      </c>
      <c r="D438" s="279"/>
      <c r="E438" s="207">
        <f>2*3</f>
        <v>6</v>
      </c>
      <c r="F438" s="382"/>
      <c r="G438" s="382"/>
      <c r="H438" s="382"/>
      <c r="I438" s="383"/>
      <c r="J438" s="567"/>
      <c r="T438" s="509"/>
    </row>
    <row r="439" spans="1:20" s="22" customFormat="1" ht="21.75" customHeight="1">
      <c r="A439" s="278"/>
      <c r="B439" s="205" t="s">
        <v>1478</v>
      </c>
      <c r="C439" s="523" t="s">
        <v>170</v>
      </c>
      <c r="D439" s="279"/>
      <c r="E439" s="207">
        <f>2*6</f>
        <v>12</v>
      </c>
      <c r="F439" s="382"/>
      <c r="G439" s="382"/>
      <c r="H439" s="382"/>
      <c r="I439" s="383"/>
      <c r="J439" s="567"/>
      <c r="T439" s="509"/>
    </row>
    <row r="440" spans="1:20" s="22" customFormat="1" ht="21.75" customHeight="1">
      <c r="A440" s="278"/>
      <c r="B440" s="279"/>
      <c r="C440" s="280"/>
      <c r="D440" s="279"/>
      <c r="E440" s="281"/>
      <c r="F440" s="382"/>
      <c r="G440" s="382"/>
      <c r="H440" s="382"/>
      <c r="I440" s="383"/>
      <c r="J440" s="567"/>
      <c r="T440" s="509"/>
    </row>
    <row r="441" spans="1:20" s="22" customFormat="1" ht="21.75" customHeight="1">
      <c r="A441" s="196" t="s">
        <v>171</v>
      </c>
      <c r="B441" s="197" t="s">
        <v>172</v>
      </c>
      <c r="C441" s="199" t="s">
        <v>173</v>
      </c>
      <c r="D441" s="197"/>
      <c r="E441" s="198" t="s">
        <v>1826</v>
      </c>
      <c r="F441" s="332">
        <f>SUM(E442:E453)</f>
        <v>29.177999999999997</v>
      </c>
      <c r="G441" s="332"/>
      <c r="H441" s="332">
        <f>F441*G441</f>
        <v>0</v>
      </c>
      <c r="I441" s="333">
        <v>0.00049</v>
      </c>
      <c r="J441" s="566">
        <f>F441*I441</f>
        <v>0.014297219999999998</v>
      </c>
      <c r="K441" s="133"/>
      <c r="L441" s="133"/>
      <c r="M441" s="133"/>
      <c r="N441" s="133"/>
      <c r="O441" s="133"/>
      <c r="P441" s="133"/>
      <c r="Q441" s="139"/>
      <c r="S441" s="133"/>
      <c r="T441" s="509"/>
    </row>
    <row r="442" spans="1:20" s="536" customFormat="1" ht="21.75" customHeight="1">
      <c r="A442" s="204"/>
      <c r="B442" s="205" t="s">
        <v>163</v>
      </c>
      <c r="C442" s="206" t="s">
        <v>174</v>
      </c>
      <c r="D442" s="205"/>
      <c r="E442" s="207">
        <f>2*0.8+0.8*0.15+0.4*0.8</f>
        <v>2.04</v>
      </c>
      <c r="F442" s="335"/>
      <c r="G442" s="335"/>
      <c r="H442" s="335"/>
      <c r="I442" s="336"/>
      <c r="J442" s="568"/>
      <c r="K442" s="134"/>
      <c r="L442" s="134"/>
      <c r="M442" s="134"/>
      <c r="N442" s="134"/>
      <c r="O442" s="134"/>
      <c r="P442" s="134"/>
      <c r="Q442" s="140"/>
      <c r="R442" s="130"/>
      <c r="S442" s="134"/>
      <c r="T442" s="130"/>
    </row>
    <row r="443" spans="1:20" s="536" customFormat="1" ht="21.75" customHeight="1">
      <c r="A443" s="204"/>
      <c r="B443" s="205" t="s">
        <v>175</v>
      </c>
      <c r="C443" s="206" t="s">
        <v>22</v>
      </c>
      <c r="D443" s="205"/>
      <c r="E443" s="207">
        <f>2*0.7*2</f>
        <v>2.8</v>
      </c>
      <c r="F443" s="335"/>
      <c r="G443" s="335"/>
      <c r="H443" s="335"/>
      <c r="I443" s="336"/>
      <c r="J443" s="568"/>
      <c r="K443" s="134"/>
      <c r="L443" s="134"/>
      <c r="M443" s="134"/>
      <c r="N443" s="134"/>
      <c r="O443" s="134"/>
      <c r="P443" s="134"/>
      <c r="Q443" s="140"/>
      <c r="R443" s="130"/>
      <c r="S443" s="134"/>
      <c r="T443" s="130"/>
    </row>
    <row r="444" spans="1:20" s="22" customFormat="1" ht="23.25" customHeight="1">
      <c r="A444" s="196"/>
      <c r="B444" s="205" t="s">
        <v>1548</v>
      </c>
      <c r="C444" s="832" t="s">
        <v>176</v>
      </c>
      <c r="D444" s="197"/>
      <c r="E444" s="207">
        <f>0.85*2+0.4*0.8+0.8*0.15</f>
        <v>2.14</v>
      </c>
      <c r="F444" s="332"/>
      <c r="G444" s="332"/>
      <c r="H444" s="332"/>
      <c r="I444" s="333"/>
      <c r="J444" s="566"/>
      <c r="T444" s="509"/>
    </row>
    <row r="445" spans="1:20" s="22" customFormat="1" ht="23.25" customHeight="1">
      <c r="A445" s="196"/>
      <c r="B445" s="205" t="s">
        <v>1450</v>
      </c>
      <c r="C445" s="523" t="s">
        <v>23</v>
      </c>
      <c r="D445" s="197"/>
      <c r="E445" s="207">
        <f>2*1.3</f>
        <v>2.6</v>
      </c>
      <c r="F445" s="332"/>
      <c r="G445" s="332"/>
      <c r="H445" s="332"/>
      <c r="I445" s="333"/>
      <c r="J445" s="566"/>
      <c r="T445" s="509"/>
    </row>
    <row r="446" spans="1:20" s="22" customFormat="1" ht="23.25" customHeight="1">
      <c r="A446" s="196"/>
      <c r="B446" s="205" t="s">
        <v>1489</v>
      </c>
      <c r="C446" s="206" t="s">
        <v>177</v>
      </c>
      <c r="D446" s="197"/>
      <c r="E446" s="207">
        <f>0.85*2+1.15+0.38*0.8+0.85*0.15</f>
        <v>3.2815</v>
      </c>
      <c r="F446" s="332"/>
      <c r="G446" s="332"/>
      <c r="H446" s="332"/>
      <c r="I446" s="333"/>
      <c r="J446" s="566"/>
      <c r="T446" s="509"/>
    </row>
    <row r="447" spans="1:20" s="22" customFormat="1" ht="23.25" customHeight="1">
      <c r="A447" s="196"/>
      <c r="B447" s="205" t="s">
        <v>1492</v>
      </c>
      <c r="C447" s="206" t="s">
        <v>178</v>
      </c>
      <c r="D447" s="197"/>
      <c r="E447" s="207">
        <f>0.75*2+0.38*0.8+0.75*0.15</f>
        <v>1.9165</v>
      </c>
      <c r="F447" s="332"/>
      <c r="G447" s="332"/>
      <c r="H447" s="332"/>
      <c r="I447" s="333"/>
      <c r="J447" s="566"/>
      <c r="T447" s="509"/>
    </row>
    <row r="448" spans="1:20" s="22" customFormat="1" ht="23.25" customHeight="1">
      <c r="A448" s="196"/>
      <c r="B448" s="205" t="s">
        <v>1454</v>
      </c>
      <c r="C448" s="523" t="s">
        <v>179</v>
      </c>
      <c r="D448" s="197"/>
      <c r="E448" s="207">
        <f>1.1*2</f>
        <v>2.2</v>
      </c>
      <c r="F448" s="332"/>
      <c r="G448" s="332"/>
      <c r="H448" s="332"/>
      <c r="I448" s="333"/>
      <c r="J448" s="566"/>
      <c r="T448" s="509"/>
    </row>
    <row r="449" spans="1:20" s="22" customFormat="1" ht="23.25" customHeight="1">
      <c r="A449" s="196"/>
      <c r="B449" s="205" t="s">
        <v>1500</v>
      </c>
      <c r="C449" s="523" t="s">
        <v>635</v>
      </c>
      <c r="D449" s="197"/>
      <c r="E449" s="207">
        <f>0.6*2</f>
        <v>1.2</v>
      </c>
      <c r="F449" s="332"/>
      <c r="G449" s="332"/>
      <c r="H449" s="332"/>
      <c r="I449" s="333"/>
      <c r="J449" s="566"/>
      <c r="T449" s="509"/>
    </row>
    <row r="450" spans="1:20" s="22" customFormat="1" ht="23.25" customHeight="1">
      <c r="A450" s="196"/>
      <c r="B450" s="205" t="s">
        <v>1502</v>
      </c>
      <c r="C450" s="523">
        <v>1.2</v>
      </c>
      <c r="D450" s="197"/>
      <c r="E450" s="207">
        <v>1.2</v>
      </c>
      <c r="F450" s="332"/>
      <c r="G450" s="332"/>
      <c r="H450" s="332"/>
      <c r="I450" s="333"/>
      <c r="J450" s="566"/>
      <c r="T450" s="509"/>
    </row>
    <row r="451" spans="1:20" s="22" customFormat="1" ht="23.25" customHeight="1">
      <c r="A451" s="196"/>
      <c r="B451" s="205" t="s">
        <v>1468</v>
      </c>
      <c r="C451" s="523" t="s">
        <v>180</v>
      </c>
      <c r="D451" s="197"/>
      <c r="E451" s="207">
        <f>1.25*2</f>
        <v>2.5</v>
      </c>
      <c r="F451" s="332"/>
      <c r="G451" s="332"/>
      <c r="H451" s="332"/>
      <c r="I451" s="333"/>
      <c r="J451" s="566"/>
      <c r="T451" s="509"/>
    </row>
    <row r="452" spans="1:20" s="22" customFormat="1" ht="23.25" customHeight="1">
      <c r="A452" s="196"/>
      <c r="B452" s="205" t="s">
        <v>1470</v>
      </c>
      <c r="C452" s="523" t="s">
        <v>180</v>
      </c>
      <c r="D452" s="197"/>
      <c r="E452" s="207">
        <f>1.25*2</f>
        <v>2.5</v>
      </c>
      <c r="F452" s="332"/>
      <c r="G452" s="332"/>
      <c r="H452" s="332"/>
      <c r="I452" s="333"/>
      <c r="J452" s="566"/>
      <c r="T452" s="509"/>
    </row>
    <row r="453" spans="1:20" s="22" customFormat="1" ht="21.75" customHeight="1">
      <c r="A453" s="278"/>
      <c r="B453" s="205" t="s">
        <v>1478</v>
      </c>
      <c r="C453" s="825" t="s">
        <v>38</v>
      </c>
      <c r="D453" s="279"/>
      <c r="E453" s="207">
        <f>0.6*2*4</f>
        <v>4.8</v>
      </c>
      <c r="F453" s="382"/>
      <c r="G453" s="382"/>
      <c r="H453" s="382"/>
      <c r="I453" s="383"/>
      <c r="J453" s="567"/>
      <c r="T453" s="509"/>
    </row>
    <row r="454" spans="1:20" s="22" customFormat="1" ht="16.5" customHeight="1">
      <c r="A454" s="196"/>
      <c r="B454" s="197"/>
      <c r="C454" s="199"/>
      <c r="D454" s="197"/>
      <c r="E454" s="198"/>
      <c r="F454" s="332"/>
      <c r="G454" s="332"/>
      <c r="H454" s="332"/>
      <c r="I454" s="333"/>
      <c r="J454" s="566"/>
      <c r="T454" s="509"/>
    </row>
    <row r="455" spans="1:20" s="22" customFormat="1" ht="21.75" customHeight="1">
      <c r="A455" s="196" t="s">
        <v>181</v>
      </c>
      <c r="B455" s="197" t="s">
        <v>182</v>
      </c>
      <c r="C455" s="199" t="s">
        <v>183</v>
      </c>
      <c r="D455" s="197"/>
      <c r="E455" s="198" t="s">
        <v>1709</v>
      </c>
      <c r="F455" s="332">
        <f>SUM(E456:E474)</f>
        <v>11.410575000000001</v>
      </c>
      <c r="G455" s="332"/>
      <c r="H455" s="332">
        <f>F455*G455</f>
        <v>0</v>
      </c>
      <c r="I455" s="333">
        <v>0.00182</v>
      </c>
      <c r="J455" s="566">
        <f>F455*I455</f>
        <v>0.020767246500000003</v>
      </c>
      <c r="K455" s="133"/>
      <c r="L455" s="133"/>
      <c r="M455" s="133"/>
      <c r="N455" s="133"/>
      <c r="O455" s="133"/>
      <c r="P455" s="133"/>
      <c r="Q455" s="139"/>
      <c r="S455" s="133"/>
      <c r="T455" s="509"/>
    </row>
    <row r="456" spans="1:20" s="536" customFormat="1" ht="21.75" customHeight="1">
      <c r="A456" s="204"/>
      <c r="B456" s="205" t="s">
        <v>1482</v>
      </c>
      <c r="C456" s="206" t="s">
        <v>184</v>
      </c>
      <c r="D456" s="205"/>
      <c r="E456" s="207">
        <f>0.8*0.4*0.6</f>
        <v>0.19200000000000003</v>
      </c>
      <c r="F456" s="335"/>
      <c r="G456" s="335"/>
      <c r="H456" s="335"/>
      <c r="I456" s="336"/>
      <c r="J456" s="568"/>
      <c r="K456" s="134"/>
      <c r="L456" s="134"/>
      <c r="M456" s="134"/>
      <c r="N456" s="134"/>
      <c r="O456" s="134"/>
      <c r="P456" s="134"/>
      <c r="Q456" s="140"/>
      <c r="R456" s="130"/>
      <c r="S456" s="134"/>
      <c r="T456" s="130"/>
    </row>
    <row r="457" spans="1:20" s="22" customFormat="1" ht="23.25" customHeight="1">
      <c r="A457" s="196"/>
      <c r="B457" s="205" t="s">
        <v>1448</v>
      </c>
      <c r="C457" s="206" t="s">
        <v>185</v>
      </c>
      <c r="D457" s="197"/>
      <c r="E457" s="207">
        <f>1.2*0.45*0.6</f>
        <v>0.324</v>
      </c>
      <c r="F457" s="332"/>
      <c r="G457" s="332"/>
      <c r="H457" s="332"/>
      <c r="I457" s="333"/>
      <c r="J457" s="566"/>
      <c r="T457" s="509"/>
    </row>
    <row r="458" spans="1:20" s="22" customFormat="1" ht="23.25" customHeight="1">
      <c r="A458" s="196"/>
      <c r="B458" s="205" t="s">
        <v>1450</v>
      </c>
      <c r="C458" s="523" t="s">
        <v>186</v>
      </c>
      <c r="D458" s="197"/>
      <c r="E458" s="207">
        <f>1.3*0.3*0.6</f>
        <v>0.23399999999999999</v>
      </c>
      <c r="F458" s="332"/>
      <c r="G458" s="332"/>
      <c r="H458" s="332"/>
      <c r="I458" s="333"/>
      <c r="J458" s="566"/>
      <c r="T458" s="509"/>
    </row>
    <row r="459" spans="1:20" s="22" customFormat="1" ht="23.25" customHeight="1">
      <c r="A459" s="196"/>
      <c r="B459" s="205" t="s">
        <v>1452</v>
      </c>
      <c r="C459" s="206" t="s">
        <v>187</v>
      </c>
      <c r="D459" s="197"/>
      <c r="E459" s="207">
        <f>1.15*0.48*0.45</f>
        <v>0.24839999999999998</v>
      </c>
      <c r="F459" s="332"/>
      <c r="G459" s="332"/>
      <c r="H459" s="332"/>
      <c r="I459" s="333"/>
      <c r="J459" s="566"/>
      <c r="T459" s="509"/>
    </row>
    <row r="460" spans="1:20" s="22" customFormat="1" ht="23.25" customHeight="1">
      <c r="A460" s="196"/>
      <c r="B460" s="205" t="s">
        <v>1489</v>
      </c>
      <c r="C460" s="206" t="s">
        <v>188</v>
      </c>
      <c r="D460" s="197"/>
      <c r="E460" s="207">
        <f>0.38*0.85*0.6</f>
        <v>0.1938</v>
      </c>
      <c r="F460" s="332"/>
      <c r="G460" s="332"/>
      <c r="H460" s="332"/>
      <c r="I460" s="333"/>
      <c r="J460" s="566"/>
      <c r="T460" s="509"/>
    </row>
    <row r="461" spans="1:20" s="22" customFormat="1" ht="23.25" customHeight="1">
      <c r="A461" s="196"/>
      <c r="B461" s="205" t="s">
        <v>1492</v>
      </c>
      <c r="C461" s="206" t="s">
        <v>189</v>
      </c>
      <c r="D461" s="197"/>
      <c r="E461" s="207">
        <f>0.38*0.8*0.6+1.2*0.5*0.6</f>
        <v>0.5424</v>
      </c>
      <c r="F461" s="332"/>
      <c r="G461" s="332"/>
      <c r="H461" s="332"/>
      <c r="I461" s="333"/>
      <c r="J461" s="566"/>
      <c r="T461" s="509"/>
    </row>
    <row r="462" spans="1:20" s="22" customFormat="1" ht="23.25" customHeight="1">
      <c r="A462" s="196"/>
      <c r="B462" s="205" t="s">
        <v>1456</v>
      </c>
      <c r="C462" s="523" t="s">
        <v>190</v>
      </c>
      <c r="D462" s="197"/>
      <c r="E462" s="207">
        <f>1.255*0.5*0.6+1.255*0.5*0.45</f>
        <v>0.6588749999999999</v>
      </c>
      <c r="F462" s="332"/>
      <c r="G462" s="332"/>
      <c r="H462" s="332"/>
      <c r="I462" s="333"/>
      <c r="J462" s="566"/>
      <c r="T462" s="509"/>
    </row>
    <row r="463" spans="1:20" s="22" customFormat="1" ht="23.25" customHeight="1">
      <c r="A463" s="196"/>
      <c r="B463" s="205" t="s">
        <v>1458</v>
      </c>
      <c r="C463" s="523" t="s">
        <v>191</v>
      </c>
      <c r="D463" s="197"/>
      <c r="E463" s="207">
        <f>1.2*0.5*0.45</f>
        <v>0.27</v>
      </c>
      <c r="F463" s="332"/>
      <c r="G463" s="332"/>
      <c r="H463" s="332"/>
      <c r="I463" s="333"/>
      <c r="J463" s="566"/>
      <c r="T463" s="509"/>
    </row>
    <row r="464" spans="1:20" s="22" customFormat="1" ht="23.25" customHeight="1">
      <c r="A464" s="196"/>
      <c r="B464" s="205" t="s">
        <v>1460</v>
      </c>
      <c r="C464" s="523" t="s">
        <v>192</v>
      </c>
      <c r="D464" s="197"/>
      <c r="E464" s="207">
        <f>1.2*0.5*0.6</f>
        <v>0.36</v>
      </c>
      <c r="F464" s="332"/>
      <c r="G464" s="332"/>
      <c r="H464" s="332"/>
      <c r="I464" s="333"/>
      <c r="J464" s="566"/>
      <c r="T464" s="509"/>
    </row>
    <row r="465" spans="1:20" s="22" customFormat="1" ht="23.25" customHeight="1">
      <c r="A465" s="196"/>
      <c r="B465" s="205" t="s">
        <v>1462</v>
      </c>
      <c r="C465" s="523" t="s">
        <v>193</v>
      </c>
      <c r="D465" s="197"/>
      <c r="E465" s="207">
        <f>1.25*0.6*0.5+1.2*0.5*0.45*2</f>
        <v>0.915</v>
      </c>
      <c r="F465" s="332"/>
      <c r="G465" s="332"/>
      <c r="H465" s="332"/>
      <c r="I465" s="333"/>
      <c r="J465" s="566"/>
      <c r="T465" s="509"/>
    </row>
    <row r="466" spans="1:20" s="22" customFormat="1" ht="23.25" customHeight="1">
      <c r="A466" s="196"/>
      <c r="B466" s="205" t="s">
        <v>1464</v>
      </c>
      <c r="C466" s="523" t="s">
        <v>194</v>
      </c>
      <c r="D466" s="197"/>
      <c r="E466" s="207">
        <f>0.655*0.95*0.6</f>
        <v>0.37334999999999996</v>
      </c>
      <c r="F466" s="332"/>
      <c r="G466" s="332"/>
      <c r="H466" s="332"/>
      <c r="I466" s="333"/>
      <c r="J466" s="566"/>
      <c r="T466" s="509"/>
    </row>
    <row r="467" spans="1:20" s="22" customFormat="1" ht="23.25" customHeight="1">
      <c r="A467" s="196"/>
      <c r="B467" s="205" t="s">
        <v>1466</v>
      </c>
      <c r="C467" s="523" t="s">
        <v>195</v>
      </c>
      <c r="D467" s="197"/>
      <c r="E467" s="207">
        <f>1.3*0.5*0.6+1.2*0.5*0.45</f>
        <v>0.66</v>
      </c>
      <c r="F467" s="332"/>
      <c r="G467" s="332"/>
      <c r="H467" s="332"/>
      <c r="I467" s="333"/>
      <c r="J467" s="566"/>
      <c r="T467" s="509"/>
    </row>
    <row r="468" spans="1:20" s="22" customFormat="1" ht="23.25" customHeight="1">
      <c r="A468" s="196"/>
      <c r="B468" s="205" t="s">
        <v>1468</v>
      </c>
      <c r="C468" s="523" t="s">
        <v>196</v>
      </c>
      <c r="D468" s="197"/>
      <c r="E468" s="207">
        <f>1.25*0.45*0.5+1.2*0.5*0.6</f>
        <v>0.64125</v>
      </c>
      <c r="F468" s="332"/>
      <c r="G468" s="332"/>
      <c r="H468" s="332"/>
      <c r="I468" s="333"/>
      <c r="J468" s="566"/>
      <c r="T468" s="509"/>
    </row>
    <row r="469" spans="1:20" s="22" customFormat="1" ht="23.25" customHeight="1">
      <c r="A469" s="196"/>
      <c r="B469" s="205" t="s">
        <v>1470</v>
      </c>
      <c r="C469" s="523" t="s">
        <v>197</v>
      </c>
      <c r="D469" s="197"/>
      <c r="E469" s="207">
        <f>1.25*0.45*0.5*4</f>
        <v>1.125</v>
      </c>
      <c r="F469" s="332"/>
      <c r="G469" s="332"/>
      <c r="H469" s="332"/>
      <c r="I469" s="333"/>
      <c r="J469" s="566"/>
      <c r="T469" s="509"/>
    </row>
    <row r="470" spans="1:20" s="22" customFormat="1" ht="23.25" customHeight="1">
      <c r="A470" s="196"/>
      <c r="B470" s="205" t="s">
        <v>1472</v>
      </c>
      <c r="C470" s="523" t="s">
        <v>198</v>
      </c>
      <c r="D470" s="197"/>
      <c r="E470" s="207">
        <f>1.25*0.6*0.5</f>
        <v>0.375</v>
      </c>
      <c r="F470" s="332"/>
      <c r="G470" s="332"/>
      <c r="H470" s="332"/>
      <c r="I470" s="333"/>
      <c r="J470" s="566"/>
      <c r="T470" s="509"/>
    </row>
    <row r="471" spans="1:20" s="22" customFormat="1" ht="23.25" customHeight="1">
      <c r="A471" s="196"/>
      <c r="B471" s="205" t="s">
        <v>1473</v>
      </c>
      <c r="C471" s="523" t="s">
        <v>199</v>
      </c>
      <c r="D471" s="197"/>
      <c r="E471" s="207">
        <f>1.2*0.5*0.6*2+1*0.5*0.45+1.3*0.5*0.45</f>
        <v>1.2375</v>
      </c>
      <c r="F471" s="332"/>
      <c r="G471" s="332"/>
      <c r="H471" s="332"/>
      <c r="I471" s="333"/>
      <c r="J471" s="566"/>
      <c r="T471" s="509"/>
    </row>
    <row r="472" spans="1:20" s="22" customFormat="1" ht="23.25" customHeight="1">
      <c r="A472" s="196"/>
      <c r="B472" s="205" t="s">
        <v>1470</v>
      </c>
      <c r="C472" s="523" t="s">
        <v>200</v>
      </c>
      <c r="D472" s="197"/>
      <c r="E472" s="207">
        <f>1.2*0.5*0.45*3</f>
        <v>0.81</v>
      </c>
      <c r="F472" s="332"/>
      <c r="G472" s="332"/>
      <c r="H472" s="332"/>
      <c r="I472" s="333"/>
      <c r="J472" s="566"/>
      <c r="T472" s="509"/>
    </row>
    <row r="473" spans="1:20" s="22" customFormat="1" ht="21.75" customHeight="1">
      <c r="A473" s="278"/>
      <c r="B473" s="205" t="s">
        <v>1476</v>
      </c>
      <c r="C473" s="825" t="s">
        <v>201</v>
      </c>
      <c r="D473" s="279"/>
      <c r="E473" s="207">
        <f>1.8*0.5*0.6*2+1*0.5*0.6+1.1*0.5*0.6</f>
        <v>1.7100000000000002</v>
      </c>
      <c r="F473" s="382"/>
      <c r="G473" s="382"/>
      <c r="H473" s="382"/>
      <c r="I473" s="383"/>
      <c r="J473" s="567"/>
      <c r="T473" s="509"/>
    </row>
    <row r="474" spans="1:20" s="22" customFormat="1" ht="21.75" customHeight="1">
      <c r="A474" s="278"/>
      <c r="B474" s="205" t="s">
        <v>1478</v>
      </c>
      <c r="C474" s="825" t="s">
        <v>202</v>
      </c>
      <c r="D474" s="279"/>
      <c r="E474" s="207">
        <f>0.6*0.45*0.5*4</f>
        <v>0.54</v>
      </c>
      <c r="F474" s="382"/>
      <c r="G474" s="382"/>
      <c r="H474" s="382"/>
      <c r="I474" s="383"/>
      <c r="J474" s="567"/>
      <c r="T474" s="509"/>
    </row>
    <row r="475" spans="1:20" s="22" customFormat="1" ht="16.5" customHeight="1">
      <c r="A475" s="196"/>
      <c r="B475" s="197"/>
      <c r="C475" s="199"/>
      <c r="D475" s="197"/>
      <c r="E475" s="198"/>
      <c r="F475" s="332"/>
      <c r="G475" s="332"/>
      <c r="H475" s="332"/>
      <c r="I475" s="333"/>
      <c r="J475" s="566"/>
      <c r="T475" s="509"/>
    </row>
    <row r="476" spans="1:20" s="22" customFormat="1" ht="21.75" customHeight="1">
      <c r="A476" s="196" t="s">
        <v>203</v>
      </c>
      <c r="B476" s="197" t="s">
        <v>204</v>
      </c>
      <c r="C476" s="199" t="s">
        <v>205</v>
      </c>
      <c r="D476" s="197"/>
      <c r="E476" s="198" t="s">
        <v>1718</v>
      </c>
      <c r="F476" s="332">
        <f>SUM(E477)</f>
        <v>2</v>
      </c>
      <c r="G476" s="332"/>
      <c r="H476" s="332">
        <f>F476*G476</f>
        <v>0</v>
      </c>
      <c r="I476" s="333">
        <v>0.00133</v>
      </c>
      <c r="J476" s="566">
        <f>F476*I476</f>
        <v>0.00266</v>
      </c>
      <c r="K476" s="133"/>
      <c r="L476" s="133"/>
      <c r="M476" s="133"/>
      <c r="N476" s="133"/>
      <c r="O476" s="133"/>
      <c r="P476" s="133"/>
      <c r="Q476" s="139"/>
      <c r="S476" s="133"/>
      <c r="T476" s="509"/>
    </row>
    <row r="477" spans="1:20" s="536" customFormat="1" ht="21.75" customHeight="1">
      <c r="A477" s="204"/>
      <c r="B477" s="205" t="s">
        <v>1545</v>
      </c>
      <c r="C477" s="832">
        <v>2</v>
      </c>
      <c r="D477" s="205"/>
      <c r="E477" s="207">
        <f>2</f>
        <v>2</v>
      </c>
      <c r="F477" s="335"/>
      <c r="G477" s="335"/>
      <c r="H477" s="335"/>
      <c r="I477" s="336"/>
      <c r="J477" s="568"/>
      <c r="K477" s="134"/>
      <c r="L477" s="134"/>
      <c r="M477" s="134"/>
      <c r="N477" s="134"/>
      <c r="O477" s="134"/>
      <c r="P477" s="134"/>
      <c r="Q477" s="140"/>
      <c r="R477" s="130"/>
      <c r="S477" s="134"/>
      <c r="T477" s="130"/>
    </row>
    <row r="478" spans="1:20" s="22" customFormat="1" ht="21.75" customHeight="1">
      <c r="A478" s="196" t="s">
        <v>206</v>
      </c>
      <c r="B478" s="197" t="s">
        <v>207</v>
      </c>
      <c r="C478" s="199" t="s">
        <v>208</v>
      </c>
      <c r="D478" s="197"/>
      <c r="E478" s="198" t="s">
        <v>1709</v>
      </c>
      <c r="F478" s="332">
        <f>SUM(E479)</f>
        <v>0.24000000000000005</v>
      </c>
      <c r="G478" s="332"/>
      <c r="H478" s="332">
        <f>F478*G478</f>
        <v>0</v>
      </c>
      <c r="I478" s="333">
        <v>0.00133</v>
      </c>
      <c r="J478" s="566">
        <f>F478*I478</f>
        <v>0.00031920000000000006</v>
      </c>
      <c r="K478" s="133"/>
      <c r="L478" s="133"/>
      <c r="M478" s="133"/>
      <c r="N478" s="133"/>
      <c r="O478" s="133"/>
      <c r="P478" s="133"/>
      <c r="Q478" s="139"/>
      <c r="S478" s="133"/>
      <c r="T478" s="509"/>
    </row>
    <row r="479" spans="1:20" s="22" customFormat="1" ht="23.25" customHeight="1">
      <c r="A479" s="196"/>
      <c r="B479" s="205" t="s">
        <v>1548</v>
      </c>
      <c r="C479" s="832" t="s">
        <v>209</v>
      </c>
      <c r="D479" s="197"/>
      <c r="E479" s="207">
        <f>0.4*0.8*0.75</f>
        <v>0.24000000000000005</v>
      </c>
      <c r="F479" s="332"/>
      <c r="G479" s="332"/>
      <c r="H479" s="332"/>
      <c r="I479" s="333"/>
      <c r="J479" s="566"/>
      <c r="T479" s="509"/>
    </row>
    <row r="480" spans="1:20" s="22" customFormat="1" ht="21.75" customHeight="1">
      <c r="A480" s="196" t="s">
        <v>210</v>
      </c>
      <c r="B480" s="197" t="s">
        <v>211</v>
      </c>
      <c r="C480" s="199" t="s">
        <v>212</v>
      </c>
      <c r="D480" s="197"/>
      <c r="E480" s="198" t="s">
        <v>1718</v>
      </c>
      <c r="F480" s="332">
        <f>SUM(E481:E488)</f>
        <v>18</v>
      </c>
      <c r="G480" s="332"/>
      <c r="H480" s="332">
        <f>F480*G480</f>
        <v>0</v>
      </c>
      <c r="I480" s="333">
        <v>0.025</v>
      </c>
      <c r="J480" s="566">
        <f>F480*I480</f>
        <v>0.45</v>
      </c>
      <c r="K480" s="133"/>
      <c r="L480" s="133"/>
      <c r="M480" s="133"/>
      <c r="N480" s="133"/>
      <c r="O480" s="133"/>
      <c r="P480" s="133"/>
      <c r="Q480" s="139"/>
      <c r="S480" s="133"/>
      <c r="T480" s="509"/>
    </row>
    <row r="481" spans="1:20" s="22" customFormat="1" ht="23.25" customHeight="1">
      <c r="A481" s="196"/>
      <c r="B481" s="205" t="s">
        <v>1489</v>
      </c>
      <c r="C481" s="206" t="s">
        <v>213</v>
      </c>
      <c r="D481" s="197"/>
      <c r="E481" s="207">
        <v>2</v>
      </c>
      <c r="F481" s="332"/>
      <c r="G481" s="332"/>
      <c r="H481" s="332"/>
      <c r="I481" s="333"/>
      <c r="J481" s="566"/>
      <c r="T481" s="509"/>
    </row>
    <row r="482" spans="1:20" s="22" customFormat="1" ht="23.25" customHeight="1">
      <c r="A482" s="196"/>
      <c r="B482" s="205" t="s">
        <v>1500</v>
      </c>
      <c r="C482" s="523">
        <v>2</v>
      </c>
      <c r="D482" s="197"/>
      <c r="E482" s="207">
        <v>2</v>
      </c>
      <c r="F482" s="332"/>
      <c r="G482" s="332"/>
      <c r="H482" s="332"/>
      <c r="I482" s="333"/>
      <c r="J482" s="566"/>
      <c r="T482" s="509"/>
    </row>
    <row r="483" spans="1:20" s="22" customFormat="1" ht="23.25" customHeight="1">
      <c r="A483" s="196"/>
      <c r="B483" s="205" t="s">
        <v>1502</v>
      </c>
      <c r="C483" s="523">
        <v>2</v>
      </c>
      <c r="D483" s="197"/>
      <c r="E483" s="207">
        <v>2</v>
      </c>
      <c r="F483" s="332"/>
      <c r="G483" s="332"/>
      <c r="H483" s="332"/>
      <c r="I483" s="333"/>
      <c r="J483" s="566"/>
      <c r="T483" s="509"/>
    </row>
    <row r="484" spans="1:20" s="22" customFormat="1" ht="23.25" customHeight="1">
      <c r="A484" s="196"/>
      <c r="B484" s="205" t="s">
        <v>1468</v>
      </c>
      <c r="C484" s="523">
        <v>2</v>
      </c>
      <c r="D484" s="197"/>
      <c r="E484" s="207">
        <v>2</v>
      </c>
      <c r="F484" s="332"/>
      <c r="G484" s="332"/>
      <c r="H484" s="332"/>
      <c r="I484" s="333"/>
      <c r="J484" s="566"/>
      <c r="T484" s="509"/>
    </row>
    <row r="485" spans="1:20" s="22" customFormat="1" ht="23.25" customHeight="1">
      <c r="A485" s="196"/>
      <c r="B485" s="205" t="s">
        <v>1472</v>
      </c>
      <c r="C485" s="523">
        <v>4</v>
      </c>
      <c r="D485" s="197"/>
      <c r="E485" s="207">
        <v>4</v>
      </c>
      <c r="F485" s="332"/>
      <c r="G485" s="332"/>
      <c r="H485" s="332"/>
      <c r="I485" s="333"/>
      <c r="J485" s="566"/>
      <c r="T485" s="509"/>
    </row>
    <row r="486" spans="1:20" s="22" customFormat="1" ht="23.25" customHeight="1">
      <c r="A486" s="196"/>
      <c r="B486" s="205" t="s">
        <v>1473</v>
      </c>
      <c r="C486" s="523">
        <v>4</v>
      </c>
      <c r="D486" s="197"/>
      <c r="E486" s="207">
        <v>4</v>
      </c>
      <c r="F486" s="332"/>
      <c r="G486" s="332"/>
      <c r="H486" s="332"/>
      <c r="I486" s="333"/>
      <c r="J486" s="566"/>
      <c r="T486" s="509"/>
    </row>
    <row r="487" spans="1:20" s="22" customFormat="1" ht="23.25" customHeight="1">
      <c r="A487" s="196"/>
      <c r="B487" s="205" t="s">
        <v>1509</v>
      </c>
      <c r="C487" s="523">
        <v>1</v>
      </c>
      <c r="D487" s="197"/>
      <c r="E487" s="207">
        <v>1</v>
      </c>
      <c r="F487" s="332"/>
      <c r="G487" s="332"/>
      <c r="H487" s="332"/>
      <c r="I487" s="333"/>
      <c r="J487" s="566"/>
      <c r="T487" s="509"/>
    </row>
    <row r="488" spans="1:20" s="22" customFormat="1" ht="23.25" customHeight="1">
      <c r="A488" s="196"/>
      <c r="B488" s="205" t="s">
        <v>1511</v>
      </c>
      <c r="C488" s="523">
        <v>1</v>
      </c>
      <c r="D488" s="197"/>
      <c r="E488" s="207">
        <v>1</v>
      </c>
      <c r="F488" s="332"/>
      <c r="G488" s="332"/>
      <c r="H488" s="332"/>
      <c r="I488" s="333"/>
      <c r="J488" s="566"/>
      <c r="T488" s="509"/>
    </row>
    <row r="489" spans="1:20" s="22" customFormat="1" ht="21.75" customHeight="1">
      <c r="A489" s="196" t="s">
        <v>214</v>
      </c>
      <c r="B489" s="197" t="s">
        <v>215</v>
      </c>
      <c r="C489" s="199" t="s">
        <v>216</v>
      </c>
      <c r="D489" s="197"/>
      <c r="E489" s="198" t="s">
        <v>1718</v>
      </c>
      <c r="F489" s="332">
        <f>SUM(E490)</f>
        <v>1</v>
      </c>
      <c r="G489" s="332"/>
      <c r="H489" s="332">
        <f>F489*G489</f>
        <v>0</v>
      </c>
      <c r="I489" s="333">
        <v>0.138</v>
      </c>
      <c r="J489" s="566">
        <f>F489*I489</f>
        <v>0.138</v>
      </c>
      <c r="K489" s="133"/>
      <c r="L489" s="133"/>
      <c r="M489" s="133"/>
      <c r="N489" s="133"/>
      <c r="O489" s="133"/>
      <c r="P489" s="133"/>
      <c r="Q489" s="139"/>
      <c r="S489" s="133"/>
      <c r="T489" s="509"/>
    </row>
    <row r="490" spans="1:20" s="22" customFormat="1" ht="23.25" customHeight="1">
      <c r="A490" s="196"/>
      <c r="B490" s="205" t="s">
        <v>1454</v>
      </c>
      <c r="C490" s="206" t="s">
        <v>217</v>
      </c>
      <c r="D490" s="197"/>
      <c r="E490" s="207">
        <v>1</v>
      </c>
      <c r="F490" s="332"/>
      <c r="G490" s="332"/>
      <c r="H490" s="332"/>
      <c r="I490" s="333"/>
      <c r="J490" s="566"/>
      <c r="T490" s="509"/>
    </row>
    <row r="491" spans="1:20" s="130" customFormat="1" ht="22.5" customHeight="1">
      <c r="A491" s="204"/>
      <c r="B491" s="205"/>
      <c r="C491" s="206"/>
      <c r="D491" s="205"/>
      <c r="E491" s="207"/>
      <c r="F491" s="335"/>
      <c r="G491" s="335"/>
      <c r="H491" s="335"/>
      <c r="I491" s="336"/>
      <c r="J491" s="568"/>
      <c r="K491" s="134"/>
      <c r="L491" s="134"/>
      <c r="M491" s="134"/>
      <c r="N491" s="134"/>
      <c r="O491" s="323"/>
      <c r="P491" s="323"/>
      <c r="Q491" s="140"/>
      <c r="S491" s="134"/>
      <c r="T491" s="508"/>
    </row>
    <row r="492" spans="1:20" s="22" customFormat="1" ht="23.25" customHeight="1">
      <c r="A492" s="196" t="s">
        <v>218</v>
      </c>
      <c r="B492" s="197" t="s">
        <v>2474</v>
      </c>
      <c r="C492" s="199" t="s">
        <v>2475</v>
      </c>
      <c r="D492" s="197"/>
      <c r="E492" s="198" t="s">
        <v>1748</v>
      </c>
      <c r="F492" s="332">
        <f>SUM(E493)</f>
        <v>4.8</v>
      </c>
      <c r="G492" s="332"/>
      <c r="H492" s="332">
        <f>F492*G492</f>
        <v>0</v>
      </c>
      <c r="I492" s="333">
        <v>0.045</v>
      </c>
      <c r="J492" s="566">
        <f>F492*I492</f>
        <v>0.216</v>
      </c>
      <c r="K492" s="133"/>
      <c r="L492" s="133"/>
      <c r="M492" s="133"/>
      <c r="N492" s="133"/>
      <c r="O492" s="133"/>
      <c r="P492" s="133"/>
      <c r="Q492" s="139"/>
      <c r="S492" s="133"/>
      <c r="T492" s="509"/>
    </row>
    <row r="493" spans="1:20" s="130" customFormat="1" ht="21" customHeight="1">
      <c r="A493" s="204"/>
      <c r="B493" s="205"/>
      <c r="C493" s="206" t="s">
        <v>219</v>
      </c>
      <c r="D493" s="205"/>
      <c r="E493" s="207">
        <f>2*0.6*4</f>
        <v>4.8</v>
      </c>
      <c r="F493" s="335"/>
      <c r="G493" s="335"/>
      <c r="H493" s="335"/>
      <c r="I493" s="336"/>
      <c r="J493" s="568"/>
      <c r="K493" s="134"/>
      <c r="L493" s="134"/>
      <c r="M493" s="134"/>
      <c r="N493" s="134"/>
      <c r="O493" s="323"/>
      <c r="P493" s="323"/>
      <c r="Q493" s="140"/>
      <c r="S493" s="134"/>
      <c r="T493" s="508"/>
    </row>
    <row r="494" spans="1:20" s="22" customFormat="1" ht="24.75" customHeight="1">
      <c r="A494" s="196" t="s">
        <v>220</v>
      </c>
      <c r="B494" s="197" t="s">
        <v>221</v>
      </c>
      <c r="C494" s="199" t="s">
        <v>222</v>
      </c>
      <c r="D494" s="197"/>
      <c r="E494" s="198" t="s">
        <v>1709</v>
      </c>
      <c r="F494" s="332">
        <f>SUM(E495)</f>
        <v>0.48</v>
      </c>
      <c r="G494" s="332"/>
      <c r="H494" s="332">
        <f>F494*G494</f>
        <v>0</v>
      </c>
      <c r="I494" s="333">
        <v>1.4</v>
      </c>
      <c r="J494" s="566">
        <f>F494*I494</f>
        <v>0.6719999999999999</v>
      </c>
      <c r="K494" s="133"/>
      <c r="L494" s="133"/>
      <c r="M494" s="133"/>
      <c r="N494" s="133"/>
      <c r="O494" s="133"/>
      <c r="P494" s="133"/>
      <c r="Q494" s="139"/>
      <c r="S494" s="133"/>
      <c r="T494" s="509"/>
    </row>
    <row r="495" spans="1:20" s="130" customFormat="1" ht="21" customHeight="1">
      <c r="A495" s="204"/>
      <c r="B495" s="205"/>
      <c r="C495" s="206" t="s">
        <v>223</v>
      </c>
      <c r="D495" s="205"/>
      <c r="E495" s="207">
        <f>2*0.6*4*0.1</f>
        <v>0.48</v>
      </c>
      <c r="F495" s="335"/>
      <c r="G495" s="335"/>
      <c r="H495" s="335"/>
      <c r="I495" s="336"/>
      <c r="J495" s="568"/>
      <c r="K495" s="134"/>
      <c r="L495" s="134"/>
      <c r="M495" s="134"/>
      <c r="N495" s="134"/>
      <c r="O495" s="323"/>
      <c r="P495" s="323"/>
      <c r="Q495" s="140"/>
      <c r="S495" s="134"/>
      <c r="T495" s="508"/>
    </row>
    <row r="496" spans="1:20" s="22" customFormat="1" ht="21.75" customHeight="1">
      <c r="A496" s="196"/>
      <c r="B496" s="197"/>
      <c r="C496" s="199"/>
      <c r="D496" s="197"/>
      <c r="E496" s="198"/>
      <c r="F496" s="332"/>
      <c r="G496" s="332"/>
      <c r="H496" s="332"/>
      <c r="I496" s="333"/>
      <c r="J496" s="566"/>
      <c r="T496" s="509"/>
    </row>
    <row r="497" spans="1:17" s="22" customFormat="1" ht="21.75" customHeight="1">
      <c r="A497" s="196" t="s">
        <v>2468</v>
      </c>
      <c r="B497" s="197" t="s">
        <v>2533</v>
      </c>
      <c r="C497" s="199" t="s">
        <v>2534</v>
      </c>
      <c r="D497" s="197"/>
      <c r="E497" s="198" t="s">
        <v>1783</v>
      </c>
      <c r="F497" s="332">
        <f>J431</f>
        <v>1.5489356664999998</v>
      </c>
      <c r="G497" s="332"/>
      <c r="H497" s="332">
        <f>F497*G497</f>
        <v>0</v>
      </c>
      <c r="I497" s="333">
        <v>0</v>
      </c>
      <c r="J497" s="566"/>
      <c r="K497" s="133"/>
      <c r="L497" s="133"/>
      <c r="M497" s="133"/>
      <c r="N497" s="133"/>
      <c r="O497" s="133"/>
      <c r="P497" s="133"/>
      <c r="Q497" s="139"/>
    </row>
    <row r="498" spans="1:17" s="22" customFormat="1" ht="21.75" customHeight="1">
      <c r="A498" s="196" t="s">
        <v>2473</v>
      </c>
      <c r="B498" s="197" t="s">
        <v>2536</v>
      </c>
      <c r="C498" s="199" t="s">
        <v>2537</v>
      </c>
      <c r="D498" s="197"/>
      <c r="E498" s="198" t="s">
        <v>1783</v>
      </c>
      <c r="F498" s="332">
        <f>F497</f>
        <v>1.5489356664999998</v>
      </c>
      <c r="G498" s="332"/>
      <c r="H498" s="332">
        <f>F498*G498</f>
        <v>0</v>
      </c>
      <c r="I498" s="333">
        <v>0</v>
      </c>
      <c r="J498" s="566"/>
      <c r="K498" s="133"/>
      <c r="L498" s="133"/>
      <c r="M498" s="133"/>
      <c r="N498" s="133"/>
      <c r="O498" s="133"/>
      <c r="P498" s="133"/>
      <c r="Q498" s="139"/>
    </row>
    <row r="499" spans="1:17" s="22" customFormat="1" ht="21.75" customHeight="1">
      <c r="A499" s="196" t="s">
        <v>2476</v>
      </c>
      <c r="B499" s="197" t="s">
        <v>2539</v>
      </c>
      <c r="C499" s="199" t="s">
        <v>2540</v>
      </c>
      <c r="D499" s="197"/>
      <c r="E499" s="198" t="s">
        <v>1783</v>
      </c>
      <c r="F499" s="332">
        <f>F497*14</f>
        <v>21.685099330999996</v>
      </c>
      <c r="G499" s="332"/>
      <c r="H499" s="332">
        <f>F499*G499</f>
        <v>0</v>
      </c>
      <c r="I499" s="333">
        <v>0</v>
      </c>
      <c r="J499" s="566"/>
      <c r="K499" s="133"/>
      <c r="L499" s="133"/>
      <c r="M499" s="133"/>
      <c r="N499" s="133"/>
      <c r="O499" s="133"/>
      <c r="P499" s="133"/>
      <c r="Q499" s="139"/>
    </row>
    <row r="500" spans="1:17" s="22" customFormat="1" ht="21.75" customHeight="1">
      <c r="A500" s="196" t="s">
        <v>2482</v>
      </c>
      <c r="B500" s="197" t="s">
        <v>2542</v>
      </c>
      <c r="C500" s="199" t="s">
        <v>2543</v>
      </c>
      <c r="D500" s="197"/>
      <c r="E500" s="198" t="s">
        <v>1783</v>
      </c>
      <c r="F500" s="332">
        <f>F497</f>
        <v>1.5489356664999998</v>
      </c>
      <c r="G500" s="332"/>
      <c r="H500" s="332">
        <f>F500*G500</f>
        <v>0</v>
      </c>
      <c r="I500" s="333">
        <v>0</v>
      </c>
      <c r="J500" s="566"/>
      <c r="K500" s="133"/>
      <c r="L500" s="133"/>
      <c r="M500" s="133"/>
      <c r="N500" s="133"/>
      <c r="O500" s="133"/>
      <c r="P500" s="133"/>
      <c r="Q500" s="139"/>
    </row>
    <row r="501" spans="1:23" s="152" customFormat="1" ht="13.5" thickBot="1">
      <c r="A501" s="156"/>
      <c r="B501" s="751"/>
      <c r="C501" s="157"/>
      <c r="D501" s="157"/>
      <c r="E501" s="158"/>
      <c r="F501" s="396"/>
      <c r="G501" s="284"/>
      <c r="H501" s="284"/>
      <c r="I501" s="397"/>
      <c r="J501" s="398"/>
      <c r="K501" s="149"/>
      <c r="L501" s="149"/>
      <c r="M501" s="149"/>
      <c r="N501" s="150"/>
      <c r="O501" s="833"/>
      <c r="P501" s="817"/>
      <c r="Q501" s="151"/>
      <c r="R501" s="151"/>
      <c r="S501" s="151"/>
      <c r="T501" s="151"/>
      <c r="U501" s="151"/>
      <c r="V501" s="151"/>
      <c r="W501" s="151"/>
    </row>
    <row r="502" spans="1:20" ht="16.5" customHeight="1" thickBot="1">
      <c r="A502" s="266" t="s">
        <v>628</v>
      </c>
      <c r="B502" s="175" t="s">
        <v>224</v>
      </c>
      <c r="C502" s="176" t="s">
        <v>225</v>
      </c>
      <c r="D502" s="176"/>
      <c r="E502" s="175"/>
      <c r="F502" s="341"/>
      <c r="G502" s="341"/>
      <c r="H502" s="342">
        <f>SUM(H503:H505)</f>
        <v>0</v>
      </c>
      <c r="I502" s="343"/>
      <c r="J502" s="564">
        <f>SUM(J503:J505)</f>
        <v>0</v>
      </c>
      <c r="O502" s="511"/>
      <c r="P502" s="511"/>
      <c r="T502" s="670"/>
    </row>
    <row r="503" spans="1:23" s="129" customFormat="1" ht="17.25" customHeight="1">
      <c r="A503" s="752"/>
      <c r="B503" s="301"/>
      <c r="C503" s="301"/>
      <c r="D503" s="301"/>
      <c r="E503" s="302"/>
      <c r="F503" s="399"/>
      <c r="G503" s="399"/>
      <c r="H503" s="400"/>
      <c r="I503" s="401"/>
      <c r="J503" s="571"/>
      <c r="K503" s="22"/>
      <c r="L503" s="22"/>
      <c r="M503" s="22"/>
      <c r="N503" s="22"/>
      <c r="O503" s="22"/>
      <c r="P503" s="22"/>
      <c r="Q503" s="22"/>
      <c r="R503" s="22"/>
      <c r="S503" s="22"/>
      <c r="T503" s="509"/>
      <c r="U503" s="22"/>
      <c r="V503" s="22"/>
      <c r="W503" s="22"/>
    </row>
    <row r="504" spans="1:23" s="129" customFormat="1" ht="17.25" customHeight="1">
      <c r="A504" s="196" t="s">
        <v>631</v>
      </c>
      <c r="B504" s="197" t="s">
        <v>226</v>
      </c>
      <c r="C504" s="197" t="s">
        <v>227</v>
      </c>
      <c r="D504" s="197"/>
      <c r="E504" s="558" t="s">
        <v>1783</v>
      </c>
      <c r="F504" s="332">
        <f>J15+J198</f>
        <v>42.41402988621</v>
      </c>
      <c r="G504" s="332"/>
      <c r="H504" s="332">
        <f>F504*G504</f>
        <v>0</v>
      </c>
      <c r="I504" s="333"/>
      <c r="J504" s="566"/>
      <c r="K504" s="22"/>
      <c r="L504" s="22"/>
      <c r="M504" s="22"/>
      <c r="N504" s="22"/>
      <c r="O504" s="22"/>
      <c r="P504" s="22"/>
      <c r="Q504" s="22"/>
      <c r="R504" s="22"/>
      <c r="S504" s="22"/>
      <c r="T504" s="509"/>
      <c r="U504" s="22"/>
      <c r="V504" s="22"/>
      <c r="W504" s="22"/>
    </row>
    <row r="505" spans="1:20" s="22" customFormat="1" ht="18.75" customHeight="1" thickBot="1">
      <c r="A505" s="196"/>
      <c r="B505" s="197"/>
      <c r="C505" s="199"/>
      <c r="D505" s="197"/>
      <c r="E505" s="198"/>
      <c r="F505" s="332"/>
      <c r="G505" s="332"/>
      <c r="H505" s="332"/>
      <c r="I505" s="333"/>
      <c r="J505" s="566"/>
      <c r="T505" s="509"/>
    </row>
    <row r="506" spans="1:20" ht="16.5" customHeight="1" thickBot="1">
      <c r="A506" s="266"/>
      <c r="B506" s="175"/>
      <c r="C506" s="176"/>
      <c r="D506" s="176"/>
      <c r="E506" s="175"/>
      <c r="F506" s="175"/>
      <c r="G506" s="175"/>
      <c r="H506" s="185"/>
      <c r="I506" s="177"/>
      <c r="J506" s="562"/>
      <c r="O506" s="511"/>
      <c r="P506" s="511"/>
      <c r="T506" s="670"/>
    </row>
    <row r="507" spans="1:20" ht="15">
      <c r="A507" s="24"/>
      <c r="B507" s="186"/>
      <c r="C507" s="186"/>
      <c r="D507" s="186"/>
      <c r="E507" s="187"/>
      <c r="F507" s="186"/>
      <c r="G507" s="186"/>
      <c r="H507" s="186"/>
      <c r="I507" s="188"/>
      <c r="J507" s="572"/>
      <c r="O507" s="511"/>
      <c r="P507" s="511"/>
      <c r="T507" s="670"/>
    </row>
    <row r="508" spans="1:23" s="451" customFormat="1" ht="22.5" customHeight="1" thickBot="1">
      <c r="A508" s="798"/>
      <c r="B508" s="799"/>
      <c r="C508" s="800" t="s">
        <v>716</v>
      </c>
      <c r="D508" s="799"/>
      <c r="E508" s="801"/>
      <c r="F508" s="802"/>
      <c r="G508" s="802"/>
      <c r="H508" s="803">
        <f>H502+H431+H198+H15</f>
        <v>0</v>
      </c>
      <c r="I508" s="804"/>
      <c r="J508" s="834"/>
      <c r="K508" s="806"/>
      <c r="L508" s="806"/>
      <c r="M508" s="806"/>
      <c r="N508" s="806"/>
      <c r="O508" s="806"/>
      <c r="P508" s="806"/>
      <c r="Q508" s="807"/>
      <c r="R508" s="824"/>
      <c r="S508" s="824"/>
      <c r="T508" s="824"/>
      <c r="U508" s="824"/>
      <c r="V508" s="824"/>
      <c r="W508" s="824"/>
    </row>
  </sheetData>
  <mergeCells count="21">
    <mergeCell ref="C6:C7"/>
    <mergeCell ref="D6:E7"/>
    <mergeCell ref="F6:F7"/>
    <mergeCell ref="G6:G7"/>
    <mergeCell ref="D8:F9"/>
    <mergeCell ref="G2:G3"/>
    <mergeCell ref="H4:J5"/>
    <mergeCell ref="G4:G5"/>
    <mergeCell ref="C2:C3"/>
    <mergeCell ref="G11:H11"/>
    <mergeCell ref="I11:J11"/>
    <mergeCell ref="H8:J9"/>
    <mergeCell ref="H2:J3"/>
    <mergeCell ref="H6:J7"/>
    <mergeCell ref="G8:G9"/>
    <mergeCell ref="F4:F5"/>
    <mergeCell ref="D4:E5"/>
    <mergeCell ref="C8:C9"/>
    <mergeCell ref="C4:C5"/>
    <mergeCell ref="D2:E3"/>
    <mergeCell ref="F2:F3"/>
  </mergeCells>
  <printOptions/>
  <pageMargins left="0.4" right="0.36" top="0.59" bottom="0.66" header="0.24" footer="0.24"/>
  <pageSetup horizontalDpi="600" verticalDpi="600" orientation="portrait" paperSize="9" scale="70" r:id="rId1"/>
  <headerFooter alignWithMargins="0">
    <oddFooter>&amp;L&amp;F
&amp;A&amp;C&amp;P/&amp;N</oddFooter>
  </headerFooter>
  <colBreaks count="1" manualBreakCount="1">
    <brk id="10"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55"/>
  <sheetViews>
    <sheetView showGridLines="0" view="pageBreakPreview" zoomScaleSheetLayoutView="100" workbookViewId="0" topLeftCell="A1">
      <selection activeCell="I12" sqref="I12:J12"/>
    </sheetView>
  </sheetViews>
  <sheetFormatPr defaultColWidth="9.140625" defaultRowHeight="12.75"/>
  <cols>
    <col min="1" max="1" width="5.28125" style="28" customWidth="1"/>
    <col min="2" max="2" width="14.28125" style="0" customWidth="1"/>
    <col min="3" max="3" width="42.421875" style="0" customWidth="1"/>
    <col min="4" max="4" width="7.7109375" style="0" customWidth="1"/>
    <col min="5" max="5" width="10.28125" style="33" customWidth="1"/>
    <col min="6" max="6" width="10.57421875" style="0" customWidth="1"/>
    <col min="7" max="7" width="11.57421875" style="0" customWidth="1"/>
    <col min="8" max="8" width="16.00390625" style="0" customWidth="1"/>
    <col min="9" max="9" width="9.140625" style="12" customWidth="1"/>
    <col min="10" max="10" width="10.421875" style="12" customWidth="1"/>
    <col min="15" max="16" width="9.140625" style="513" customWidth="1"/>
    <col min="20" max="20" width="27.140625" style="507" customWidth="1"/>
  </cols>
  <sheetData>
    <row r="1" spans="1:20" ht="23.25">
      <c r="A1" s="23"/>
      <c r="B1" s="13"/>
      <c r="C1" s="14" t="s">
        <v>1683</v>
      </c>
      <c r="D1" s="14"/>
      <c r="E1" s="13"/>
      <c r="F1" s="13"/>
      <c r="G1" s="13"/>
      <c r="H1" s="13"/>
      <c r="I1" s="15"/>
      <c r="J1" s="16"/>
      <c r="O1" s="511"/>
      <c r="P1" s="511"/>
      <c r="T1" s="670"/>
    </row>
    <row r="2" spans="1:20" ht="12.75">
      <c r="A2" s="24"/>
      <c r="B2" s="653"/>
      <c r="C2" s="1310" t="s">
        <v>1684</v>
      </c>
      <c r="D2" s="1308" t="s">
        <v>1685</v>
      </c>
      <c r="E2" s="1308"/>
      <c r="F2" s="1308"/>
      <c r="G2" s="1320" t="s">
        <v>1686</v>
      </c>
      <c r="H2" s="1324" t="s">
        <v>1687</v>
      </c>
      <c r="I2" s="1325"/>
      <c r="J2" s="1326"/>
      <c r="O2" s="511"/>
      <c r="P2" s="511"/>
      <c r="T2" s="670"/>
    </row>
    <row r="3" spans="1:20" ht="12.75">
      <c r="A3" s="24"/>
      <c r="B3" s="652"/>
      <c r="C3" s="1311"/>
      <c r="D3" s="1309"/>
      <c r="E3" s="1309"/>
      <c r="F3" s="1309"/>
      <c r="G3" s="1321"/>
      <c r="H3" s="1316"/>
      <c r="I3" s="1316"/>
      <c r="J3" s="1317"/>
      <c r="O3" s="511"/>
      <c r="P3" s="511"/>
      <c r="T3" s="670"/>
    </row>
    <row r="4" spans="1:20" ht="12.75">
      <c r="A4" s="24"/>
      <c r="B4" s="652"/>
      <c r="C4" s="1309" t="s">
        <v>1688</v>
      </c>
      <c r="D4" s="1309" t="s">
        <v>1689</v>
      </c>
      <c r="E4" s="1309"/>
      <c r="F4" s="1327"/>
      <c r="G4" s="1321" t="s">
        <v>1690</v>
      </c>
      <c r="H4" s="1315" t="s">
        <v>1586</v>
      </c>
      <c r="I4" s="1315"/>
      <c r="J4" s="1328"/>
      <c r="O4" s="511"/>
      <c r="P4" s="511"/>
      <c r="T4" s="670"/>
    </row>
    <row r="5" spans="1:20" ht="12.75">
      <c r="A5" s="24"/>
      <c r="B5" s="652"/>
      <c r="C5" s="1312"/>
      <c r="D5" s="1309"/>
      <c r="E5" s="1309"/>
      <c r="F5" s="1327"/>
      <c r="G5" s="1321"/>
      <c r="H5" s="1315"/>
      <c r="I5" s="1315"/>
      <c r="J5" s="1328"/>
      <c r="O5" s="511"/>
      <c r="P5" s="511"/>
      <c r="T5" s="670"/>
    </row>
    <row r="6" spans="1:20" ht="12.75">
      <c r="A6" s="24"/>
      <c r="B6" s="652"/>
      <c r="C6" s="1309" t="s">
        <v>1580</v>
      </c>
      <c r="D6" s="1309" t="s">
        <v>1691</v>
      </c>
      <c r="E6" s="1309"/>
      <c r="F6" s="1327"/>
      <c r="G6" s="1321" t="s">
        <v>1692</v>
      </c>
      <c r="H6" s="1315"/>
      <c r="I6" s="1316"/>
      <c r="J6" s="1317"/>
      <c r="O6" s="511"/>
      <c r="P6" s="511"/>
      <c r="T6" s="670"/>
    </row>
    <row r="7" spans="1:20" ht="12.75">
      <c r="A7" s="24"/>
      <c r="B7" s="652"/>
      <c r="C7" s="1312"/>
      <c r="D7" s="1309"/>
      <c r="E7" s="1309"/>
      <c r="F7" s="1327"/>
      <c r="G7" s="1321"/>
      <c r="H7" s="1316"/>
      <c r="I7" s="1316"/>
      <c r="J7" s="1317"/>
      <c r="O7" s="511"/>
      <c r="P7" s="511"/>
      <c r="T7" s="670"/>
    </row>
    <row r="8" spans="1:20" ht="12.75">
      <c r="A8" s="24"/>
      <c r="B8" s="652"/>
      <c r="C8" s="1306" t="s">
        <v>228</v>
      </c>
      <c r="D8" s="1333" t="s">
        <v>2832</v>
      </c>
      <c r="E8" s="1334"/>
      <c r="F8" s="1334"/>
      <c r="G8" s="1321" t="s">
        <v>1693</v>
      </c>
      <c r="H8" s="1315" t="s">
        <v>1586</v>
      </c>
      <c r="I8" s="1316"/>
      <c r="J8" s="1317"/>
      <c r="O8" s="511"/>
      <c r="P8" s="511"/>
      <c r="T8" s="670"/>
    </row>
    <row r="9" spans="1:20" ht="30.75" customHeight="1">
      <c r="A9" s="24"/>
      <c r="B9" s="652"/>
      <c r="C9" s="1307"/>
      <c r="D9" s="1334"/>
      <c r="E9" s="1334"/>
      <c r="F9" s="1334"/>
      <c r="G9" s="1321"/>
      <c r="H9" s="1316"/>
      <c r="I9" s="1316"/>
      <c r="J9" s="1317"/>
      <c r="O9" s="511"/>
      <c r="P9" s="511"/>
      <c r="T9" s="670"/>
    </row>
    <row r="10" spans="1:20" s="18" customFormat="1" ht="16.5" customHeight="1">
      <c r="A10" s="25"/>
      <c r="B10" s="1"/>
      <c r="C10" s="1016"/>
      <c r="D10" s="1019" t="s">
        <v>2828</v>
      </c>
      <c r="E10" s="1017"/>
      <c r="F10" s="1017"/>
      <c r="G10" s="1003"/>
      <c r="H10" s="1004"/>
      <c r="I10" s="1004"/>
      <c r="J10" s="1005"/>
      <c r="O10" s="512"/>
      <c r="P10" s="512"/>
      <c r="T10" s="671"/>
    </row>
    <row r="11" spans="1:20" ht="13.5" thickBot="1">
      <c r="A11" s="160"/>
      <c r="B11" s="161"/>
      <c r="C11" s="162"/>
      <c r="D11" s="162"/>
      <c r="E11" s="161"/>
      <c r="F11" s="161"/>
      <c r="G11" s="161"/>
      <c r="H11" s="161"/>
      <c r="I11" s="163"/>
      <c r="J11" s="164"/>
      <c r="O11" s="511"/>
      <c r="P11" s="511"/>
      <c r="T11" s="670"/>
    </row>
    <row r="12" spans="1:20" s="18" customFormat="1" ht="12.75">
      <c r="A12" s="25"/>
      <c r="B12" s="17" t="s">
        <v>1694</v>
      </c>
      <c r="C12" s="2" t="s">
        <v>1694</v>
      </c>
      <c r="D12" s="3"/>
      <c r="E12" s="30" t="s">
        <v>1694</v>
      </c>
      <c r="F12" s="2" t="s">
        <v>1694</v>
      </c>
      <c r="G12" s="1322" t="s">
        <v>1695</v>
      </c>
      <c r="H12" s="1323"/>
      <c r="I12" s="1318" t="s">
        <v>1696</v>
      </c>
      <c r="J12" s="1319"/>
      <c r="O12" s="512"/>
      <c r="P12" s="512"/>
      <c r="T12" s="671"/>
    </row>
    <row r="13" spans="1:20" s="18" customFormat="1" ht="13.5" thickBot="1">
      <c r="A13" s="165"/>
      <c r="B13" s="166" t="s">
        <v>1697</v>
      </c>
      <c r="C13" s="167" t="s">
        <v>1698</v>
      </c>
      <c r="D13" s="168"/>
      <c r="E13" s="169" t="s">
        <v>1699</v>
      </c>
      <c r="F13" s="169" t="s">
        <v>1700</v>
      </c>
      <c r="G13" s="170" t="s">
        <v>1701</v>
      </c>
      <c r="H13" s="171" t="s">
        <v>1702</v>
      </c>
      <c r="I13" s="172" t="s">
        <v>1701</v>
      </c>
      <c r="J13" s="173" t="s">
        <v>1702</v>
      </c>
      <c r="O13" s="512"/>
      <c r="P13" s="512"/>
      <c r="T13" s="671"/>
    </row>
    <row r="14" spans="1:20" ht="13.5" thickBot="1">
      <c r="A14" s="174"/>
      <c r="B14" s="175"/>
      <c r="C14" s="176"/>
      <c r="D14" s="176"/>
      <c r="E14" s="175"/>
      <c r="F14" s="175"/>
      <c r="G14" s="175"/>
      <c r="H14" s="175"/>
      <c r="I14" s="177"/>
      <c r="J14" s="178"/>
      <c r="O14" s="511"/>
      <c r="P14" s="511"/>
      <c r="T14" s="670"/>
    </row>
    <row r="15" spans="1:20" s="18" customFormat="1" ht="16.5" customHeight="1" thickBot="1">
      <c r="A15" s="25"/>
      <c r="B15" s="179"/>
      <c r="C15" s="179" t="s">
        <v>1703</v>
      </c>
      <c r="D15" s="179"/>
      <c r="E15" s="180"/>
      <c r="F15" s="180"/>
      <c r="G15" s="181"/>
      <c r="H15" s="182">
        <f>H16+H28+H147</f>
        <v>0</v>
      </c>
      <c r="I15" s="183"/>
      <c r="J15" s="184"/>
      <c r="O15" s="512"/>
      <c r="P15" s="512"/>
      <c r="T15" s="671"/>
    </row>
    <row r="16" spans="1:20" ht="16.5" customHeight="1" thickBot="1">
      <c r="A16" s="226" t="s">
        <v>1704</v>
      </c>
      <c r="B16" s="175" t="s">
        <v>2628</v>
      </c>
      <c r="C16" s="176" t="s">
        <v>2629</v>
      </c>
      <c r="D16" s="176"/>
      <c r="E16" s="175"/>
      <c r="F16" s="175"/>
      <c r="G16" s="175"/>
      <c r="H16" s="185">
        <f>SUM(H18:H27)</f>
        <v>0</v>
      </c>
      <c r="I16" s="177"/>
      <c r="J16" s="178">
        <f>SUM(J18:J26)</f>
        <v>0</v>
      </c>
      <c r="O16" s="511"/>
      <c r="P16" s="511"/>
      <c r="T16" s="670"/>
    </row>
    <row r="17" spans="1:20" s="22" customFormat="1" ht="17.25" customHeight="1">
      <c r="A17" s="190"/>
      <c r="B17" s="191"/>
      <c r="C17" s="191"/>
      <c r="D17" s="191"/>
      <c r="E17" s="192"/>
      <c r="F17" s="193"/>
      <c r="G17" s="193"/>
      <c r="H17" s="193"/>
      <c r="I17" s="194"/>
      <c r="J17" s="195"/>
      <c r="T17" s="509"/>
    </row>
    <row r="18" spans="1:20" s="22" customFormat="1" ht="58.5" customHeight="1">
      <c r="A18" s="196" t="s">
        <v>1706</v>
      </c>
      <c r="B18" s="197" t="s">
        <v>229</v>
      </c>
      <c r="C18" s="199" t="s">
        <v>230</v>
      </c>
      <c r="D18" s="197"/>
      <c r="E18" s="198" t="s">
        <v>1748</v>
      </c>
      <c r="F18" s="332">
        <f>SUM(E19:E20)</f>
        <v>222.59900000000002</v>
      </c>
      <c r="G18" s="332"/>
      <c r="H18" s="332">
        <f>F18*G18</f>
        <v>0</v>
      </c>
      <c r="I18" s="333"/>
      <c r="J18" s="334"/>
      <c r="T18" s="509"/>
    </row>
    <row r="19" spans="1:20" s="130" customFormat="1" ht="16.5" customHeight="1">
      <c r="A19" s="204"/>
      <c r="B19" s="205" t="s">
        <v>231</v>
      </c>
      <c r="C19" s="206" t="s">
        <v>232</v>
      </c>
      <c r="D19" s="205"/>
      <c r="E19" s="520">
        <f>140.8*1.04</f>
        <v>146.43200000000002</v>
      </c>
      <c r="F19" s="335"/>
      <c r="G19" s="335"/>
      <c r="H19" s="335"/>
      <c r="I19" s="336"/>
      <c r="J19" s="337"/>
      <c r="K19" s="134"/>
      <c r="L19" s="134"/>
      <c r="M19" s="134"/>
      <c r="N19" s="134"/>
      <c r="O19" s="323"/>
      <c r="P19" s="323"/>
      <c r="Q19" s="140"/>
      <c r="S19" s="134"/>
      <c r="T19" s="508"/>
    </row>
    <row r="20" spans="1:20" s="130" customFormat="1" ht="19.5" customHeight="1">
      <c r="A20" s="204"/>
      <c r="B20" s="205" t="s">
        <v>233</v>
      </c>
      <c r="C20" s="206" t="s">
        <v>234</v>
      </c>
      <c r="D20" s="205"/>
      <c r="E20" s="520">
        <f>83.7*0.91</f>
        <v>76.167</v>
      </c>
      <c r="F20" s="335"/>
      <c r="G20" s="335"/>
      <c r="H20" s="335"/>
      <c r="I20" s="336"/>
      <c r="J20" s="337"/>
      <c r="K20" s="134"/>
      <c r="L20" s="134"/>
      <c r="M20" s="134"/>
      <c r="N20" s="134"/>
      <c r="O20" s="323"/>
      <c r="P20" s="323"/>
      <c r="Q20" s="140"/>
      <c r="S20" s="134"/>
      <c r="T20" s="508"/>
    </row>
    <row r="21" spans="1:20" s="22" customFormat="1" ht="63.75" customHeight="1">
      <c r="A21" s="196" t="s">
        <v>1711</v>
      </c>
      <c r="B21" s="197" t="s">
        <v>235</v>
      </c>
      <c r="C21" s="199" t="s">
        <v>236</v>
      </c>
      <c r="D21" s="197"/>
      <c r="E21" s="198" t="s">
        <v>1748</v>
      </c>
      <c r="F21" s="332">
        <f>E22</f>
        <v>83.78370000000001</v>
      </c>
      <c r="G21" s="332"/>
      <c r="H21" s="332">
        <f>F21*G21</f>
        <v>0</v>
      </c>
      <c r="I21" s="333"/>
      <c r="J21" s="334"/>
      <c r="T21" s="509"/>
    </row>
    <row r="22" spans="1:20" s="130" customFormat="1" ht="19.5" customHeight="1">
      <c r="A22" s="204"/>
      <c r="B22" s="205" t="s">
        <v>233</v>
      </c>
      <c r="C22" s="206" t="s">
        <v>237</v>
      </c>
      <c r="D22" s="205"/>
      <c r="E22" s="520">
        <f>83.7*0.91*1.1</f>
        <v>83.78370000000001</v>
      </c>
      <c r="F22" s="335"/>
      <c r="G22" s="335"/>
      <c r="H22" s="335"/>
      <c r="I22" s="336"/>
      <c r="J22" s="337"/>
      <c r="K22" s="134"/>
      <c r="L22" s="134"/>
      <c r="M22" s="134"/>
      <c r="N22" s="134"/>
      <c r="O22" s="323"/>
      <c r="P22" s="323"/>
      <c r="Q22" s="140"/>
      <c r="S22" s="134"/>
      <c r="T22" s="508"/>
    </row>
    <row r="23" spans="1:20" s="22" customFormat="1" ht="61.5" customHeight="1">
      <c r="A23" s="196" t="s">
        <v>1715</v>
      </c>
      <c r="B23" s="197" t="s">
        <v>238</v>
      </c>
      <c r="C23" s="199" t="s">
        <v>239</v>
      </c>
      <c r="D23" s="197"/>
      <c r="E23" s="198" t="s">
        <v>1748</v>
      </c>
      <c r="F23" s="332">
        <f>SUM(E24)</f>
        <v>161.07520000000002</v>
      </c>
      <c r="G23" s="332"/>
      <c r="H23" s="332">
        <f>F23*G23</f>
        <v>0</v>
      </c>
      <c r="I23" s="333"/>
      <c r="J23" s="334"/>
      <c r="T23" s="509"/>
    </row>
    <row r="24" spans="1:20" s="130" customFormat="1" ht="16.5" customHeight="1">
      <c r="A24" s="204"/>
      <c r="B24" s="205" t="s">
        <v>231</v>
      </c>
      <c r="C24" s="206" t="s">
        <v>240</v>
      </c>
      <c r="D24" s="205"/>
      <c r="E24" s="520">
        <f>140.8*1.04*1.1</f>
        <v>161.07520000000002</v>
      </c>
      <c r="F24" s="335"/>
      <c r="G24" s="335"/>
      <c r="H24" s="335"/>
      <c r="I24" s="336"/>
      <c r="J24" s="337"/>
      <c r="K24" s="134"/>
      <c r="L24" s="134"/>
      <c r="M24" s="134"/>
      <c r="N24" s="134"/>
      <c r="O24" s="323"/>
      <c r="P24" s="323"/>
      <c r="Q24" s="140"/>
      <c r="S24" s="134"/>
      <c r="T24" s="508"/>
    </row>
    <row r="25" spans="1:20" s="22" customFormat="1" ht="17.25" customHeight="1">
      <c r="A25" s="196"/>
      <c r="B25" s="197"/>
      <c r="C25" s="197"/>
      <c r="D25" s="197"/>
      <c r="E25" s="198"/>
      <c r="F25" s="332"/>
      <c r="G25" s="332"/>
      <c r="H25" s="332"/>
      <c r="I25" s="333"/>
      <c r="J25" s="334"/>
      <c r="T25" s="509"/>
    </row>
    <row r="26" spans="1:20" s="22" customFormat="1" ht="30.75" customHeight="1">
      <c r="A26" s="196" t="s">
        <v>1719</v>
      </c>
      <c r="B26" s="197" t="s">
        <v>241</v>
      </c>
      <c r="C26" s="199" t="s">
        <v>242</v>
      </c>
      <c r="D26" s="197"/>
      <c r="E26" s="198" t="s">
        <v>1783</v>
      </c>
      <c r="F26" s="332">
        <v>0.46276</v>
      </c>
      <c r="G26" s="332"/>
      <c r="H26" s="332">
        <f>F26*G26</f>
        <v>0</v>
      </c>
      <c r="I26" s="333"/>
      <c r="J26" s="334"/>
      <c r="T26" s="509"/>
    </row>
    <row r="27" spans="1:20" s="22" customFormat="1" ht="17.25" customHeight="1" thickBot="1">
      <c r="A27" s="200"/>
      <c r="B27" s="201"/>
      <c r="C27" s="202"/>
      <c r="D27" s="202"/>
      <c r="E27" s="203"/>
      <c r="F27" s="338"/>
      <c r="G27" s="338"/>
      <c r="H27" s="338"/>
      <c r="I27" s="339"/>
      <c r="J27" s="340"/>
      <c r="T27" s="509"/>
    </row>
    <row r="28" spans="1:20" ht="16.5" customHeight="1" thickBot="1">
      <c r="A28" s="226" t="s">
        <v>1743</v>
      </c>
      <c r="B28" s="175" t="s">
        <v>243</v>
      </c>
      <c r="C28" s="176" t="s">
        <v>244</v>
      </c>
      <c r="D28" s="176"/>
      <c r="E28" s="175"/>
      <c r="F28" s="341"/>
      <c r="G28" s="341"/>
      <c r="H28" s="342">
        <f>SUM(H29:H146)</f>
        <v>0</v>
      </c>
      <c r="I28" s="343"/>
      <c r="J28" s="1012">
        <f>SUM(J29:J146)</f>
        <v>0</v>
      </c>
      <c r="O28" s="511"/>
      <c r="P28" s="511"/>
      <c r="T28" s="670"/>
    </row>
    <row r="29" spans="1:20" s="22" customFormat="1" ht="17.25" customHeight="1">
      <c r="A29" s="190"/>
      <c r="B29" s="191"/>
      <c r="C29" s="191"/>
      <c r="D29" s="191"/>
      <c r="E29" s="192"/>
      <c r="F29" s="345"/>
      <c r="G29" s="345"/>
      <c r="H29" s="345"/>
      <c r="I29" s="346"/>
      <c r="J29" s="347"/>
      <c r="T29" s="509"/>
    </row>
    <row r="30" spans="1:20" s="142" customFormat="1" ht="21" customHeight="1">
      <c r="A30" s="204"/>
      <c r="B30" s="222"/>
      <c r="C30" s="522" t="s">
        <v>245</v>
      </c>
      <c r="D30" s="219"/>
      <c r="E30" s="220"/>
      <c r="F30" s="141"/>
      <c r="G30" s="141"/>
      <c r="H30" s="352"/>
      <c r="I30" s="352"/>
      <c r="J30" s="353"/>
      <c r="K30" s="221"/>
      <c r="L30" s="221"/>
      <c r="O30" s="267"/>
      <c r="P30" s="267"/>
      <c r="T30" s="215"/>
    </row>
    <row r="31" spans="1:20" s="22" customFormat="1" ht="23.25" customHeight="1">
      <c r="A31" s="196" t="s">
        <v>1734</v>
      </c>
      <c r="B31" s="197" t="s">
        <v>246</v>
      </c>
      <c r="C31" s="199" t="s">
        <v>247</v>
      </c>
      <c r="D31" s="199"/>
      <c r="E31" s="198" t="s">
        <v>624</v>
      </c>
      <c r="F31" s="332">
        <v>490.5</v>
      </c>
      <c r="G31" s="332"/>
      <c r="H31" s="332">
        <f>F31*G31</f>
        <v>0</v>
      </c>
      <c r="I31" s="333"/>
      <c r="J31" s="334"/>
      <c r="T31" s="509"/>
    </row>
    <row r="32" spans="1:20" s="22" customFormat="1" ht="27.75" customHeight="1">
      <c r="A32" s="196" t="s">
        <v>1753</v>
      </c>
      <c r="B32" s="197" t="s">
        <v>246</v>
      </c>
      <c r="C32" s="199" t="s">
        <v>248</v>
      </c>
      <c r="D32" s="199"/>
      <c r="E32" s="198" t="s">
        <v>1718</v>
      </c>
      <c r="F32" s="332">
        <f>SUM(E33:E34)</f>
        <v>163</v>
      </c>
      <c r="G32" s="332"/>
      <c r="H32" s="332">
        <f>F32*G32</f>
        <v>0</v>
      </c>
      <c r="I32" s="333"/>
      <c r="J32" s="334"/>
      <c r="T32" s="509"/>
    </row>
    <row r="33" spans="1:24" s="211" customFormat="1" ht="16.5" customHeight="1">
      <c r="A33" s="223"/>
      <c r="B33" s="224" t="s">
        <v>249</v>
      </c>
      <c r="C33" s="233">
        <v>155</v>
      </c>
      <c r="D33" s="224"/>
      <c r="E33" s="220">
        <v>155</v>
      </c>
      <c r="F33" s="225"/>
      <c r="G33" s="674"/>
      <c r="H33" s="225"/>
      <c r="I33" s="348"/>
      <c r="J33" s="349"/>
      <c r="K33" s="208"/>
      <c r="L33" s="208"/>
      <c r="M33" s="208"/>
      <c r="N33" s="208"/>
      <c r="O33" s="835"/>
      <c r="P33" s="835"/>
      <c r="Q33" s="209"/>
      <c r="R33" s="209"/>
      <c r="S33" s="210"/>
      <c r="T33" s="515"/>
      <c r="U33" s="210"/>
      <c r="V33" s="210"/>
      <c r="W33" s="210"/>
      <c r="X33" s="210"/>
    </row>
    <row r="34" spans="1:20" s="142" customFormat="1" ht="16.5" customHeight="1">
      <c r="A34" s="204"/>
      <c r="B34" s="212" t="s">
        <v>250</v>
      </c>
      <c r="C34" s="521">
        <v>8</v>
      </c>
      <c r="D34" s="212"/>
      <c r="E34" s="213">
        <v>8</v>
      </c>
      <c r="F34" s="141"/>
      <c r="G34" s="141"/>
      <c r="H34" s="141"/>
      <c r="I34" s="350"/>
      <c r="J34" s="351"/>
      <c r="M34" s="214"/>
      <c r="N34" s="215"/>
      <c r="O34" s="267"/>
      <c r="P34" s="267"/>
      <c r="T34" s="215"/>
    </row>
    <row r="35" spans="1:20" s="22" customFormat="1" ht="45" customHeight="1">
      <c r="A35" s="196" t="s">
        <v>1758</v>
      </c>
      <c r="B35" s="197" t="s">
        <v>251</v>
      </c>
      <c r="C35" s="199" t="s">
        <v>252</v>
      </c>
      <c r="D35" s="197"/>
      <c r="E35" s="198" t="s">
        <v>1718</v>
      </c>
      <c r="F35" s="332">
        <v>4</v>
      </c>
      <c r="G35" s="332"/>
      <c r="H35" s="332">
        <f>F35*G35</f>
        <v>0</v>
      </c>
      <c r="I35" s="333"/>
      <c r="J35" s="334"/>
      <c r="T35" s="509"/>
    </row>
    <row r="36" spans="1:20" s="22" customFormat="1" ht="42.75" customHeight="1">
      <c r="A36" s="196" t="s">
        <v>1764</v>
      </c>
      <c r="B36" s="197" t="s">
        <v>253</v>
      </c>
      <c r="C36" s="199" t="s">
        <v>254</v>
      </c>
      <c r="D36" s="197"/>
      <c r="E36" s="198" t="s">
        <v>1718</v>
      </c>
      <c r="F36" s="332">
        <v>4</v>
      </c>
      <c r="G36" s="332"/>
      <c r="H36" s="332">
        <f>F36*G36</f>
        <v>0</v>
      </c>
      <c r="I36" s="333"/>
      <c r="J36" s="334"/>
      <c r="T36" s="509"/>
    </row>
    <row r="37" spans="1:20" s="22" customFormat="1" ht="42.75" customHeight="1">
      <c r="A37" s="196" t="s">
        <v>1737</v>
      </c>
      <c r="B37" s="197" t="s">
        <v>255</v>
      </c>
      <c r="C37" s="199" t="s">
        <v>254</v>
      </c>
      <c r="D37" s="197"/>
      <c r="E37" s="198" t="s">
        <v>1718</v>
      </c>
      <c r="F37" s="332">
        <v>4</v>
      </c>
      <c r="G37" s="332"/>
      <c r="H37" s="332">
        <f>F37*G37</f>
        <v>0</v>
      </c>
      <c r="I37" s="333"/>
      <c r="J37" s="334"/>
      <c r="T37" s="509"/>
    </row>
    <row r="38" spans="1:20" s="130" customFormat="1" ht="16.5" customHeight="1">
      <c r="A38" s="204"/>
      <c r="B38" s="205"/>
      <c r="C38" s="206"/>
      <c r="D38" s="205"/>
      <c r="E38" s="207"/>
      <c r="F38" s="335"/>
      <c r="G38" s="335"/>
      <c r="H38" s="335"/>
      <c r="I38" s="336"/>
      <c r="J38" s="337"/>
      <c r="K38" s="134"/>
      <c r="L38" s="134"/>
      <c r="M38" s="134"/>
      <c r="N38" s="134"/>
      <c r="O38" s="323"/>
      <c r="P38" s="323"/>
      <c r="Q38" s="140"/>
      <c r="S38" s="134"/>
      <c r="T38" s="508"/>
    </row>
    <row r="39" spans="1:20" s="142" customFormat="1" ht="21" customHeight="1">
      <c r="A39" s="204"/>
      <c r="B39" s="222"/>
      <c r="C39" s="522" t="s">
        <v>256</v>
      </c>
      <c r="D39" s="219"/>
      <c r="E39" s="220"/>
      <c r="F39" s="141"/>
      <c r="G39" s="141"/>
      <c r="H39" s="352"/>
      <c r="I39" s="352"/>
      <c r="J39" s="353"/>
      <c r="K39" s="221"/>
      <c r="L39" s="221"/>
      <c r="O39" s="267"/>
      <c r="P39" s="267"/>
      <c r="T39" s="215"/>
    </row>
    <row r="40" spans="1:20" s="22" customFormat="1" ht="32.25" customHeight="1">
      <c r="A40" s="196" t="s">
        <v>1740</v>
      </c>
      <c r="B40" s="197" t="s">
        <v>257</v>
      </c>
      <c r="C40" s="199" t="s">
        <v>258</v>
      </c>
      <c r="D40" s="197"/>
      <c r="E40" s="198" t="s">
        <v>1718</v>
      </c>
      <c r="F40" s="332">
        <f>SUM(E41:E42)</f>
        <v>46</v>
      </c>
      <c r="G40" s="332"/>
      <c r="H40" s="332">
        <f>F40*G40</f>
        <v>0</v>
      </c>
      <c r="I40" s="333"/>
      <c r="J40" s="334"/>
      <c r="T40" s="509"/>
    </row>
    <row r="41" spans="1:20" s="130" customFormat="1" ht="16.5" customHeight="1">
      <c r="A41" s="204"/>
      <c r="B41" s="205"/>
      <c r="C41" s="206" t="s">
        <v>259</v>
      </c>
      <c r="D41" s="205"/>
      <c r="E41" s="207">
        <v>42</v>
      </c>
      <c r="F41" s="335"/>
      <c r="G41" s="335"/>
      <c r="H41" s="335"/>
      <c r="I41" s="336"/>
      <c r="J41" s="337"/>
      <c r="K41" s="134"/>
      <c r="L41" s="134"/>
      <c r="M41" s="134"/>
      <c r="N41" s="134"/>
      <c r="O41" s="323"/>
      <c r="P41" s="323"/>
      <c r="Q41" s="140"/>
      <c r="S41" s="134"/>
      <c r="T41" s="508"/>
    </row>
    <row r="42" spans="1:20" s="130" customFormat="1" ht="16.5" customHeight="1">
      <c r="A42" s="204"/>
      <c r="B42" s="205"/>
      <c r="C42" s="206" t="s">
        <v>260</v>
      </c>
      <c r="D42" s="205"/>
      <c r="E42" s="207">
        <v>4</v>
      </c>
      <c r="F42" s="335"/>
      <c r="G42" s="335"/>
      <c r="H42" s="335"/>
      <c r="I42" s="336"/>
      <c r="J42" s="337"/>
      <c r="K42" s="134"/>
      <c r="L42" s="134"/>
      <c r="M42" s="134"/>
      <c r="N42" s="134"/>
      <c r="O42" s="323"/>
      <c r="P42" s="323"/>
      <c r="Q42" s="140"/>
      <c r="S42" s="134"/>
      <c r="T42" s="508"/>
    </row>
    <row r="43" spans="1:20" s="142" customFormat="1" ht="21" customHeight="1">
      <c r="A43" s="204"/>
      <c r="B43" s="222"/>
      <c r="C43" s="522" t="s">
        <v>261</v>
      </c>
      <c r="D43" s="219"/>
      <c r="E43" s="220"/>
      <c r="F43" s="141"/>
      <c r="G43" s="141"/>
      <c r="H43" s="352"/>
      <c r="I43" s="352"/>
      <c r="J43" s="353"/>
      <c r="K43" s="221"/>
      <c r="L43" s="221"/>
      <c r="O43" s="267"/>
      <c r="P43" s="267"/>
      <c r="T43" s="215"/>
    </row>
    <row r="44" spans="1:20" s="22" customFormat="1" ht="33" customHeight="1">
      <c r="A44" s="196" t="s">
        <v>1776</v>
      </c>
      <c r="B44" s="197" t="s">
        <v>262</v>
      </c>
      <c r="C44" s="199" t="s">
        <v>263</v>
      </c>
      <c r="D44" s="197"/>
      <c r="E44" s="198" t="s">
        <v>1718</v>
      </c>
      <c r="F44" s="332">
        <f>SUM(E45)</f>
        <v>24</v>
      </c>
      <c r="G44" s="332"/>
      <c r="H44" s="332">
        <f>F44*G44</f>
        <v>0</v>
      </c>
      <c r="I44" s="333"/>
      <c r="J44" s="334"/>
      <c r="T44" s="509"/>
    </row>
    <row r="45" spans="1:20" s="130" customFormat="1" ht="16.5" customHeight="1">
      <c r="A45" s="204"/>
      <c r="B45" s="205" t="s">
        <v>264</v>
      </c>
      <c r="C45" s="206" t="s">
        <v>265</v>
      </c>
      <c r="D45" s="205"/>
      <c r="E45" s="207">
        <v>24</v>
      </c>
      <c r="F45" s="335"/>
      <c r="G45" s="335"/>
      <c r="H45" s="335"/>
      <c r="I45" s="336"/>
      <c r="J45" s="337"/>
      <c r="K45" s="134"/>
      <c r="L45" s="134"/>
      <c r="M45" s="134"/>
      <c r="N45" s="134"/>
      <c r="O45" s="323"/>
      <c r="P45" s="323"/>
      <c r="Q45" s="140"/>
      <c r="S45" s="134"/>
      <c r="T45" s="508"/>
    </row>
    <row r="46" spans="1:20" s="142" customFormat="1" ht="21" customHeight="1">
      <c r="A46" s="204"/>
      <c r="B46" s="222"/>
      <c r="C46" s="522" t="s">
        <v>266</v>
      </c>
      <c r="D46" s="219"/>
      <c r="E46" s="220"/>
      <c r="F46" s="141"/>
      <c r="G46" s="141"/>
      <c r="H46" s="352"/>
      <c r="I46" s="352"/>
      <c r="J46" s="353"/>
      <c r="K46" s="221"/>
      <c r="L46" s="221"/>
      <c r="O46" s="267"/>
      <c r="P46" s="267"/>
      <c r="T46" s="215"/>
    </row>
    <row r="47" spans="1:20" s="22" customFormat="1" ht="17.25" customHeight="1">
      <c r="A47" s="196" t="s">
        <v>1780</v>
      </c>
      <c r="B47" s="197" t="s">
        <v>267</v>
      </c>
      <c r="C47" s="197" t="s">
        <v>268</v>
      </c>
      <c r="D47" s="197"/>
      <c r="E47" s="198" t="s">
        <v>1718</v>
      </c>
      <c r="F47" s="332">
        <v>64</v>
      </c>
      <c r="G47" s="332"/>
      <c r="H47" s="332">
        <f>F47*G47</f>
        <v>0</v>
      </c>
      <c r="I47" s="333"/>
      <c r="J47" s="334"/>
      <c r="T47" s="509"/>
    </row>
    <row r="48" spans="1:20" s="130" customFormat="1" ht="16.5" customHeight="1">
      <c r="A48" s="204"/>
      <c r="B48" s="205"/>
      <c r="C48" s="206"/>
      <c r="D48" s="205"/>
      <c r="E48" s="207"/>
      <c r="F48" s="335"/>
      <c r="G48" s="335"/>
      <c r="H48" s="335"/>
      <c r="I48" s="336"/>
      <c r="J48" s="337"/>
      <c r="K48" s="134"/>
      <c r="L48" s="134"/>
      <c r="M48" s="134"/>
      <c r="N48" s="134"/>
      <c r="O48" s="323"/>
      <c r="P48" s="323"/>
      <c r="Q48" s="140"/>
      <c r="S48" s="134"/>
      <c r="T48" s="508"/>
    </row>
    <row r="49" spans="1:20" s="142" customFormat="1" ht="21" customHeight="1">
      <c r="A49" s="204"/>
      <c r="B49" s="222"/>
      <c r="C49" s="522" t="s">
        <v>269</v>
      </c>
      <c r="D49" s="219"/>
      <c r="E49" s="220"/>
      <c r="F49" s="141"/>
      <c r="G49" s="141"/>
      <c r="H49" s="352"/>
      <c r="I49" s="352"/>
      <c r="J49" s="353"/>
      <c r="K49" s="221"/>
      <c r="L49" s="221"/>
      <c r="O49" s="267"/>
      <c r="P49" s="267"/>
      <c r="T49" s="215"/>
    </row>
    <row r="50" spans="1:20" s="22" customFormat="1" ht="33" customHeight="1">
      <c r="A50" s="196" t="s">
        <v>1785</v>
      </c>
      <c r="B50" s="197" t="s">
        <v>270</v>
      </c>
      <c r="C50" s="199" t="s">
        <v>271</v>
      </c>
      <c r="D50" s="197"/>
      <c r="E50" s="198" t="s">
        <v>1718</v>
      </c>
      <c r="F50" s="332">
        <f>SUM(E51:E52)</f>
        <v>60</v>
      </c>
      <c r="G50" s="332"/>
      <c r="H50" s="332">
        <f>F50*G50</f>
        <v>0</v>
      </c>
      <c r="I50" s="333"/>
      <c r="J50" s="334"/>
      <c r="T50" s="509"/>
    </row>
    <row r="51" spans="1:20" s="130" customFormat="1" ht="27.75" customHeight="1">
      <c r="A51" s="204"/>
      <c r="B51" s="303" t="s">
        <v>272</v>
      </c>
      <c r="C51" s="523">
        <v>36</v>
      </c>
      <c r="D51" s="205"/>
      <c r="E51" s="207">
        <v>36</v>
      </c>
      <c r="F51" s="335"/>
      <c r="G51" s="335"/>
      <c r="H51" s="335"/>
      <c r="I51" s="336"/>
      <c r="J51" s="337"/>
      <c r="K51" s="134"/>
      <c r="L51" s="134"/>
      <c r="M51" s="134"/>
      <c r="N51" s="134"/>
      <c r="O51" s="323"/>
      <c r="P51" s="323"/>
      <c r="Q51" s="140"/>
      <c r="S51" s="134"/>
      <c r="T51" s="508"/>
    </row>
    <row r="52" spans="1:20" s="22" customFormat="1" ht="17.25" customHeight="1">
      <c r="A52" s="196"/>
      <c r="B52" s="205" t="s">
        <v>273</v>
      </c>
      <c r="C52" s="523">
        <v>24</v>
      </c>
      <c r="D52" s="197"/>
      <c r="E52" s="207">
        <v>24</v>
      </c>
      <c r="F52" s="332"/>
      <c r="G52" s="332"/>
      <c r="H52" s="332"/>
      <c r="I52" s="333"/>
      <c r="J52" s="334"/>
      <c r="T52" s="509"/>
    </row>
    <row r="53" spans="1:20" s="22" customFormat="1" ht="36.75" customHeight="1">
      <c r="A53" s="196" t="s">
        <v>1790</v>
      </c>
      <c r="B53" s="197" t="s">
        <v>274</v>
      </c>
      <c r="C53" s="199" t="s">
        <v>275</v>
      </c>
      <c r="D53" s="197"/>
      <c r="E53" s="198" t="s">
        <v>2331</v>
      </c>
      <c r="F53" s="332">
        <v>8</v>
      </c>
      <c r="G53" s="332"/>
      <c r="H53" s="332">
        <f>F53*G53</f>
        <v>0</v>
      </c>
      <c r="I53" s="333"/>
      <c r="J53" s="334"/>
      <c r="T53" s="509"/>
    </row>
    <row r="54" spans="1:19" s="22" customFormat="1" ht="15" customHeight="1">
      <c r="A54" s="196"/>
      <c r="B54" s="245"/>
      <c r="C54" s="246" t="s">
        <v>276</v>
      </c>
      <c r="D54" s="245"/>
      <c r="E54" s="525"/>
      <c r="F54" s="363"/>
      <c r="G54" s="363"/>
      <c r="H54" s="363"/>
      <c r="I54" s="364"/>
      <c r="J54" s="365"/>
      <c r="K54" s="133"/>
      <c r="L54" s="133"/>
      <c r="M54" s="133"/>
      <c r="N54" s="133"/>
      <c r="O54" s="133"/>
      <c r="P54" s="133"/>
      <c r="Q54" s="139"/>
      <c r="S54" s="133"/>
    </row>
    <row r="55" spans="1:20" s="22" customFormat="1" ht="28.5" customHeight="1">
      <c r="A55" s="196"/>
      <c r="B55" s="197"/>
      <c r="C55" s="524" t="s">
        <v>277</v>
      </c>
      <c r="D55" s="197"/>
      <c r="E55" s="198"/>
      <c r="F55" s="332"/>
      <c r="G55" s="332"/>
      <c r="H55" s="332"/>
      <c r="I55" s="333"/>
      <c r="J55" s="334"/>
      <c r="T55" s="509"/>
    </row>
    <row r="56" spans="1:20" s="22" customFormat="1" ht="36">
      <c r="A56" s="196"/>
      <c r="B56" s="197"/>
      <c r="C56" s="524" t="s">
        <v>278</v>
      </c>
      <c r="D56" s="197"/>
      <c r="E56" s="198"/>
      <c r="F56" s="332"/>
      <c r="G56" s="332"/>
      <c r="H56" s="332"/>
      <c r="I56" s="333"/>
      <c r="J56" s="334"/>
      <c r="T56" s="509"/>
    </row>
    <row r="57" spans="1:20" s="22" customFormat="1" ht="16.5" customHeight="1">
      <c r="A57" s="196"/>
      <c r="B57" s="197"/>
      <c r="C57" s="524" t="s">
        <v>279</v>
      </c>
      <c r="D57" s="197"/>
      <c r="E57" s="198"/>
      <c r="F57" s="332"/>
      <c r="G57" s="332"/>
      <c r="H57" s="332"/>
      <c r="I57" s="333"/>
      <c r="J57" s="334"/>
      <c r="T57" s="509"/>
    </row>
    <row r="58" spans="1:20" s="22" customFormat="1" ht="16.5" customHeight="1">
      <c r="A58" s="196"/>
      <c r="B58" s="197"/>
      <c r="C58" s="524" t="s">
        <v>280</v>
      </c>
      <c r="D58" s="197"/>
      <c r="E58" s="198"/>
      <c r="F58" s="332"/>
      <c r="G58" s="332"/>
      <c r="H58" s="332"/>
      <c r="I58" s="333"/>
      <c r="J58" s="334"/>
      <c r="T58" s="509"/>
    </row>
    <row r="59" spans="1:20" s="22" customFormat="1" ht="18" customHeight="1">
      <c r="A59" s="196"/>
      <c r="B59" s="197"/>
      <c r="C59" s="524" t="s">
        <v>281</v>
      </c>
      <c r="D59" s="197"/>
      <c r="E59" s="198"/>
      <c r="F59" s="332"/>
      <c r="G59" s="332"/>
      <c r="H59" s="332"/>
      <c r="I59" s="333"/>
      <c r="J59" s="334"/>
      <c r="T59" s="509"/>
    </row>
    <row r="60" spans="1:20" s="22" customFormat="1" ht="21" customHeight="1">
      <c r="A60" s="196"/>
      <c r="B60" s="197"/>
      <c r="C60" s="524" t="s">
        <v>282</v>
      </c>
      <c r="D60" s="197"/>
      <c r="E60" s="198"/>
      <c r="F60" s="332"/>
      <c r="G60" s="332"/>
      <c r="H60" s="332"/>
      <c r="I60" s="333"/>
      <c r="J60" s="334"/>
      <c r="T60" s="509"/>
    </row>
    <row r="61" spans="1:20" s="22" customFormat="1" ht="60">
      <c r="A61" s="196"/>
      <c r="B61" s="197"/>
      <c r="C61" s="524" t="s">
        <v>283</v>
      </c>
      <c r="D61" s="197"/>
      <c r="E61" s="198"/>
      <c r="F61" s="332"/>
      <c r="G61" s="332"/>
      <c r="H61" s="332"/>
      <c r="I61" s="333"/>
      <c r="J61" s="334"/>
      <c r="T61" s="509"/>
    </row>
    <row r="62" spans="1:20" s="22" customFormat="1" ht="17.25" customHeight="1">
      <c r="A62" s="196"/>
      <c r="B62" s="197"/>
      <c r="C62" s="524" t="s">
        <v>284</v>
      </c>
      <c r="D62" s="197"/>
      <c r="E62" s="198"/>
      <c r="F62" s="332"/>
      <c r="G62" s="332"/>
      <c r="H62" s="332"/>
      <c r="I62" s="333"/>
      <c r="J62" s="334"/>
      <c r="T62" s="509"/>
    </row>
    <row r="63" spans="1:20" s="22" customFormat="1" ht="66.75" customHeight="1">
      <c r="A63" s="196"/>
      <c r="B63" s="197"/>
      <c r="C63" s="524" t="s">
        <v>285</v>
      </c>
      <c r="D63" s="197"/>
      <c r="E63" s="198"/>
      <c r="F63" s="332"/>
      <c r="G63" s="332"/>
      <c r="H63" s="332"/>
      <c r="I63" s="333"/>
      <c r="J63" s="334"/>
      <c r="T63" s="509"/>
    </row>
    <row r="64" spans="1:20" s="22" customFormat="1" ht="36.75" customHeight="1">
      <c r="A64" s="196" t="s">
        <v>1793</v>
      </c>
      <c r="B64" s="197" t="s">
        <v>286</v>
      </c>
      <c r="C64" s="199" t="s">
        <v>287</v>
      </c>
      <c r="D64" s="197"/>
      <c r="E64" s="198" t="s">
        <v>2331</v>
      </c>
      <c r="F64" s="332">
        <v>7</v>
      </c>
      <c r="G64" s="332"/>
      <c r="H64" s="332">
        <f>F64*G64</f>
        <v>0</v>
      </c>
      <c r="I64" s="333"/>
      <c r="J64" s="334"/>
      <c r="T64" s="509"/>
    </row>
    <row r="65" spans="1:20" s="22" customFormat="1" ht="16.5" customHeight="1">
      <c r="A65" s="196"/>
      <c r="B65" s="197"/>
      <c r="C65" s="199" t="s">
        <v>276</v>
      </c>
      <c r="D65" s="197"/>
      <c r="E65" s="198"/>
      <c r="F65" s="332"/>
      <c r="G65" s="332"/>
      <c r="H65" s="332"/>
      <c r="I65" s="333"/>
      <c r="J65" s="334"/>
      <c r="T65" s="509"/>
    </row>
    <row r="66" spans="1:20" s="22" customFormat="1" ht="30.75" customHeight="1">
      <c r="A66" s="196"/>
      <c r="B66" s="197"/>
      <c r="C66" s="199" t="s">
        <v>277</v>
      </c>
      <c r="D66" s="197"/>
      <c r="E66" s="198"/>
      <c r="F66" s="332"/>
      <c r="G66" s="332"/>
      <c r="H66" s="332"/>
      <c r="I66" s="333"/>
      <c r="J66" s="334"/>
      <c r="T66" s="509"/>
    </row>
    <row r="67" spans="1:20" s="22" customFormat="1" ht="39.75" customHeight="1">
      <c r="A67" s="196"/>
      <c r="B67" s="197"/>
      <c r="C67" s="199" t="s">
        <v>278</v>
      </c>
      <c r="D67" s="197"/>
      <c r="E67" s="198"/>
      <c r="F67" s="332"/>
      <c r="G67" s="332"/>
      <c r="H67" s="332"/>
      <c r="I67" s="333"/>
      <c r="J67" s="334"/>
      <c r="T67" s="509"/>
    </row>
    <row r="68" spans="1:20" s="22" customFormat="1" ht="21" customHeight="1">
      <c r="A68" s="196"/>
      <c r="B68" s="197"/>
      <c r="C68" s="199" t="s">
        <v>279</v>
      </c>
      <c r="D68" s="197"/>
      <c r="E68" s="198"/>
      <c r="F68" s="332"/>
      <c r="G68" s="332"/>
      <c r="H68" s="332"/>
      <c r="I68" s="333"/>
      <c r="J68" s="334"/>
      <c r="T68" s="509"/>
    </row>
    <row r="69" spans="1:20" s="22" customFormat="1" ht="21" customHeight="1">
      <c r="A69" s="196"/>
      <c r="B69" s="197"/>
      <c r="C69" s="199" t="s">
        <v>280</v>
      </c>
      <c r="D69" s="197"/>
      <c r="E69" s="198"/>
      <c r="F69" s="332"/>
      <c r="G69" s="332"/>
      <c r="H69" s="332"/>
      <c r="I69" s="333"/>
      <c r="J69" s="334"/>
      <c r="T69" s="509"/>
    </row>
    <row r="70" spans="1:20" s="22" customFormat="1" ht="21" customHeight="1">
      <c r="A70" s="196"/>
      <c r="B70" s="197"/>
      <c r="C70" s="199" t="s">
        <v>281</v>
      </c>
      <c r="D70" s="197"/>
      <c r="E70" s="198"/>
      <c r="F70" s="332"/>
      <c r="G70" s="332"/>
      <c r="H70" s="332"/>
      <c r="I70" s="333"/>
      <c r="J70" s="334"/>
      <c r="T70" s="509"/>
    </row>
    <row r="71" spans="1:20" s="22" customFormat="1" ht="21" customHeight="1">
      <c r="A71" s="196"/>
      <c r="B71" s="197"/>
      <c r="C71" s="199" t="s">
        <v>288</v>
      </c>
      <c r="D71" s="197"/>
      <c r="E71" s="198"/>
      <c r="F71" s="332"/>
      <c r="G71" s="332"/>
      <c r="H71" s="332"/>
      <c r="I71" s="333"/>
      <c r="J71" s="334"/>
      <c r="T71" s="509"/>
    </row>
    <row r="72" spans="1:20" s="22" customFormat="1" ht="67.5" customHeight="1">
      <c r="A72" s="196"/>
      <c r="B72" s="197"/>
      <c r="C72" s="199" t="s">
        <v>283</v>
      </c>
      <c r="D72" s="197"/>
      <c r="E72" s="198"/>
      <c r="F72" s="332"/>
      <c r="G72" s="332"/>
      <c r="H72" s="332"/>
      <c r="I72" s="333"/>
      <c r="J72" s="334"/>
      <c r="T72" s="509"/>
    </row>
    <row r="73" spans="1:20" s="130" customFormat="1" ht="16.5" customHeight="1">
      <c r="A73" s="204"/>
      <c r="B73" s="205"/>
      <c r="C73" s="199" t="s">
        <v>284</v>
      </c>
      <c r="D73" s="205"/>
      <c r="E73" s="207"/>
      <c r="F73" s="335"/>
      <c r="G73" s="335"/>
      <c r="H73" s="335"/>
      <c r="I73" s="336"/>
      <c r="J73" s="337"/>
      <c r="K73" s="134"/>
      <c r="L73" s="134"/>
      <c r="M73" s="134"/>
      <c r="N73" s="134"/>
      <c r="O73" s="323"/>
      <c r="P73" s="323"/>
      <c r="Q73" s="140"/>
      <c r="S73" s="134"/>
      <c r="T73" s="508"/>
    </row>
    <row r="74" spans="1:20" s="22" customFormat="1" ht="62.25" customHeight="1">
      <c r="A74" s="196"/>
      <c r="B74" s="197"/>
      <c r="C74" s="524" t="s">
        <v>285</v>
      </c>
      <c r="D74" s="197"/>
      <c r="E74" s="198"/>
      <c r="F74" s="332"/>
      <c r="G74" s="332"/>
      <c r="H74" s="332"/>
      <c r="I74" s="333"/>
      <c r="J74" s="334"/>
      <c r="T74" s="509"/>
    </row>
    <row r="75" spans="1:20" s="22" customFormat="1" ht="36.75" customHeight="1">
      <c r="A75" s="196" t="s">
        <v>1796</v>
      </c>
      <c r="B75" s="197" t="s">
        <v>289</v>
      </c>
      <c r="C75" s="199" t="s">
        <v>290</v>
      </c>
      <c r="D75" s="197"/>
      <c r="E75" s="198" t="s">
        <v>2331</v>
      </c>
      <c r="F75" s="332">
        <v>2</v>
      </c>
      <c r="G75" s="332"/>
      <c r="H75" s="332">
        <f>F75*G75</f>
        <v>0</v>
      </c>
      <c r="I75" s="333"/>
      <c r="J75" s="334"/>
      <c r="T75" s="509"/>
    </row>
    <row r="76" spans="1:20" s="22" customFormat="1" ht="16.5" customHeight="1">
      <c r="A76" s="196"/>
      <c r="B76" s="197"/>
      <c r="C76" s="199" t="s">
        <v>276</v>
      </c>
      <c r="D76" s="197"/>
      <c r="E76" s="198"/>
      <c r="F76" s="332"/>
      <c r="G76" s="332"/>
      <c r="H76" s="332"/>
      <c r="I76" s="333"/>
      <c r="J76" s="334"/>
      <c r="T76" s="509"/>
    </row>
    <row r="77" spans="1:20" s="22" customFormat="1" ht="30.75" customHeight="1">
      <c r="A77" s="196"/>
      <c r="B77" s="197"/>
      <c r="C77" s="199" t="s">
        <v>277</v>
      </c>
      <c r="D77" s="197"/>
      <c r="E77" s="198"/>
      <c r="F77" s="332"/>
      <c r="G77" s="332"/>
      <c r="H77" s="332"/>
      <c r="I77" s="333"/>
      <c r="J77" s="334"/>
      <c r="T77" s="509"/>
    </row>
    <row r="78" spans="1:20" s="22" customFormat="1" ht="39.75" customHeight="1">
      <c r="A78" s="196"/>
      <c r="B78" s="197"/>
      <c r="C78" s="199" t="s">
        <v>278</v>
      </c>
      <c r="D78" s="197"/>
      <c r="E78" s="198"/>
      <c r="F78" s="332"/>
      <c r="G78" s="332"/>
      <c r="H78" s="332"/>
      <c r="I78" s="333"/>
      <c r="J78" s="334"/>
      <c r="T78" s="509"/>
    </row>
    <row r="79" spans="1:20" s="22" customFormat="1" ht="21" customHeight="1">
      <c r="A79" s="196"/>
      <c r="B79" s="197"/>
      <c r="C79" s="199" t="s">
        <v>279</v>
      </c>
      <c r="D79" s="197"/>
      <c r="E79" s="198"/>
      <c r="F79" s="332"/>
      <c r="G79" s="332"/>
      <c r="H79" s="332"/>
      <c r="I79" s="333"/>
      <c r="J79" s="334"/>
      <c r="T79" s="509"/>
    </row>
    <row r="80" spans="1:20" s="22" customFormat="1" ht="21" customHeight="1">
      <c r="A80" s="196"/>
      <c r="B80" s="197"/>
      <c r="C80" s="199" t="s">
        <v>280</v>
      </c>
      <c r="D80" s="197"/>
      <c r="E80" s="198"/>
      <c r="F80" s="332"/>
      <c r="G80" s="332"/>
      <c r="H80" s="332"/>
      <c r="I80" s="333"/>
      <c r="J80" s="334"/>
      <c r="T80" s="509"/>
    </row>
    <row r="81" spans="1:20" s="22" customFormat="1" ht="21" customHeight="1">
      <c r="A81" s="196"/>
      <c r="B81" s="197"/>
      <c r="C81" s="199" t="s">
        <v>281</v>
      </c>
      <c r="D81" s="197"/>
      <c r="E81" s="198"/>
      <c r="F81" s="332"/>
      <c r="G81" s="332"/>
      <c r="H81" s="332"/>
      <c r="I81" s="333"/>
      <c r="J81" s="334"/>
      <c r="T81" s="509"/>
    </row>
    <row r="82" spans="1:20" s="22" customFormat="1" ht="21" customHeight="1">
      <c r="A82" s="196"/>
      <c r="B82" s="197"/>
      <c r="C82" s="199" t="s">
        <v>291</v>
      </c>
      <c r="D82" s="197"/>
      <c r="E82" s="198"/>
      <c r="F82" s="332"/>
      <c r="G82" s="332"/>
      <c r="H82" s="332"/>
      <c r="I82" s="333"/>
      <c r="J82" s="334"/>
      <c r="T82" s="509"/>
    </row>
    <row r="83" spans="1:20" s="22" customFormat="1" ht="67.5" customHeight="1">
      <c r="A83" s="196"/>
      <c r="B83" s="197"/>
      <c r="C83" s="199" t="s">
        <v>283</v>
      </c>
      <c r="D83" s="197"/>
      <c r="E83" s="198"/>
      <c r="F83" s="332"/>
      <c r="G83" s="332"/>
      <c r="H83" s="332"/>
      <c r="I83" s="333"/>
      <c r="J83" s="334"/>
      <c r="T83" s="509"/>
    </row>
    <row r="84" spans="1:20" s="130" customFormat="1" ht="16.5" customHeight="1">
      <c r="A84" s="204"/>
      <c r="B84" s="205"/>
      <c r="C84" s="199" t="s">
        <v>284</v>
      </c>
      <c r="D84" s="205"/>
      <c r="E84" s="207"/>
      <c r="F84" s="335"/>
      <c r="G84" s="335"/>
      <c r="H84" s="335"/>
      <c r="I84" s="336"/>
      <c r="J84" s="337"/>
      <c r="K84" s="134"/>
      <c r="L84" s="134"/>
      <c r="M84" s="134"/>
      <c r="N84" s="134"/>
      <c r="O84" s="323"/>
      <c r="P84" s="323"/>
      <c r="Q84" s="140"/>
      <c r="S84" s="134"/>
      <c r="T84" s="508"/>
    </row>
    <row r="85" spans="1:20" s="22" customFormat="1" ht="62.25" customHeight="1">
      <c r="A85" s="196"/>
      <c r="B85" s="197"/>
      <c r="C85" s="524" t="s">
        <v>285</v>
      </c>
      <c r="D85" s="197"/>
      <c r="E85" s="198"/>
      <c r="F85" s="332"/>
      <c r="G85" s="332"/>
      <c r="H85" s="332"/>
      <c r="I85" s="333"/>
      <c r="J85" s="334"/>
      <c r="T85" s="509"/>
    </row>
    <row r="86" spans="1:20" s="22" customFormat="1" ht="36.75" customHeight="1">
      <c r="A86" s="196" t="s">
        <v>1799</v>
      </c>
      <c r="B86" s="197" t="s">
        <v>292</v>
      </c>
      <c r="C86" s="199" t="s">
        <v>293</v>
      </c>
      <c r="D86" s="197"/>
      <c r="E86" s="198" t="s">
        <v>2331</v>
      </c>
      <c r="F86" s="332">
        <v>2</v>
      </c>
      <c r="G86" s="332"/>
      <c r="H86" s="332">
        <f>F86*G86</f>
        <v>0</v>
      </c>
      <c r="I86" s="333"/>
      <c r="J86" s="334"/>
      <c r="T86" s="509"/>
    </row>
    <row r="87" spans="1:20" s="22" customFormat="1" ht="16.5" customHeight="1">
      <c r="A87" s="196"/>
      <c r="B87" s="197"/>
      <c r="C87" s="199" t="s">
        <v>276</v>
      </c>
      <c r="D87" s="197"/>
      <c r="E87" s="198"/>
      <c r="F87" s="332"/>
      <c r="G87" s="332"/>
      <c r="H87" s="332"/>
      <c r="I87" s="333"/>
      <c r="J87" s="334"/>
      <c r="T87" s="509"/>
    </row>
    <row r="88" spans="1:20" s="22" customFormat="1" ht="30.75" customHeight="1">
      <c r="A88" s="196"/>
      <c r="B88" s="197"/>
      <c r="C88" s="199" t="s">
        <v>277</v>
      </c>
      <c r="D88" s="197"/>
      <c r="E88" s="198"/>
      <c r="F88" s="332"/>
      <c r="G88" s="332"/>
      <c r="H88" s="332"/>
      <c r="I88" s="333"/>
      <c r="J88" s="334"/>
      <c r="T88" s="509"/>
    </row>
    <row r="89" spans="1:20" s="22" customFormat="1" ht="39.75" customHeight="1">
      <c r="A89" s="196"/>
      <c r="B89" s="197"/>
      <c r="C89" s="199" t="s">
        <v>278</v>
      </c>
      <c r="D89" s="197"/>
      <c r="E89" s="198"/>
      <c r="F89" s="332"/>
      <c r="G89" s="332"/>
      <c r="H89" s="332"/>
      <c r="I89" s="333"/>
      <c r="J89" s="334"/>
      <c r="T89" s="509"/>
    </row>
    <row r="90" spans="1:20" s="22" customFormat="1" ht="21" customHeight="1">
      <c r="A90" s="196"/>
      <c r="B90" s="197"/>
      <c r="C90" s="199" t="s">
        <v>279</v>
      </c>
      <c r="D90" s="197"/>
      <c r="E90" s="198"/>
      <c r="F90" s="332"/>
      <c r="G90" s="332"/>
      <c r="H90" s="332"/>
      <c r="I90" s="333"/>
      <c r="J90" s="334"/>
      <c r="T90" s="509"/>
    </row>
    <row r="91" spans="1:20" s="22" customFormat="1" ht="21" customHeight="1">
      <c r="A91" s="196"/>
      <c r="B91" s="197"/>
      <c r="C91" s="199" t="s">
        <v>280</v>
      </c>
      <c r="D91" s="197"/>
      <c r="E91" s="198"/>
      <c r="F91" s="332"/>
      <c r="G91" s="332"/>
      <c r="H91" s="332"/>
      <c r="I91" s="333"/>
      <c r="J91" s="334"/>
      <c r="T91" s="509"/>
    </row>
    <row r="92" spans="1:20" s="22" customFormat="1" ht="21" customHeight="1">
      <c r="A92" s="196"/>
      <c r="B92" s="197"/>
      <c r="C92" s="199" t="s">
        <v>281</v>
      </c>
      <c r="D92" s="197"/>
      <c r="E92" s="198"/>
      <c r="F92" s="332"/>
      <c r="G92" s="332"/>
      <c r="H92" s="332"/>
      <c r="I92" s="333"/>
      <c r="J92" s="334"/>
      <c r="T92" s="509"/>
    </row>
    <row r="93" spans="1:20" s="22" customFormat="1" ht="21" customHeight="1">
      <c r="A93" s="196"/>
      <c r="B93" s="197"/>
      <c r="C93" s="199" t="s">
        <v>294</v>
      </c>
      <c r="D93" s="197"/>
      <c r="E93" s="198"/>
      <c r="F93" s="332"/>
      <c r="G93" s="332"/>
      <c r="H93" s="332"/>
      <c r="I93" s="333"/>
      <c r="J93" s="334"/>
      <c r="T93" s="509"/>
    </row>
    <row r="94" spans="1:20" s="22" customFormat="1" ht="67.5" customHeight="1">
      <c r="A94" s="196"/>
      <c r="B94" s="197"/>
      <c r="C94" s="199" t="s">
        <v>283</v>
      </c>
      <c r="D94" s="197"/>
      <c r="E94" s="198"/>
      <c r="F94" s="332"/>
      <c r="G94" s="332"/>
      <c r="H94" s="332"/>
      <c r="I94" s="333"/>
      <c r="J94" s="334"/>
      <c r="T94" s="509"/>
    </row>
    <row r="95" spans="1:20" s="130" customFormat="1" ht="16.5" customHeight="1">
      <c r="A95" s="204"/>
      <c r="B95" s="205"/>
      <c r="C95" s="199" t="s">
        <v>284</v>
      </c>
      <c r="D95" s="205"/>
      <c r="E95" s="207"/>
      <c r="F95" s="335"/>
      <c r="G95" s="335"/>
      <c r="H95" s="335"/>
      <c r="I95" s="336"/>
      <c r="J95" s="337"/>
      <c r="K95" s="134"/>
      <c r="L95" s="134"/>
      <c r="M95" s="134"/>
      <c r="N95" s="134"/>
      <c r="O95" s="323"/>
      <c r="P95" s="323"/>
      <c r="Q95" s="140"/>
      <c r="S95" s="134"/>
      <c r="T95" s="508"/>
    </row>
    <row r="96" spans="1:20" s="22" customFormat="1" ht="62.25" customHeight="1">
      <c r="A96" s="196"/>
      <c r="B96" s="197"/>
      <c r="C96" s="524" t="s">
        <v>285</v>
      </c>
      <c r="D96" s="197"/>
      <c r="E96" s="198"/>
      <c r="F96" s="332"/>
      <c r="G96" s="332"/>
      <c r="H96" s="332"/>
      <c r="I96" s="333"/>
      <c r="J96" s="334"/>
      <c r="T96" s="509"/>
    </row>
    <row r="97" spans="1:20" s="22" customFormat="1" ht="36.75" customHeight="1">
      <c r="A97" s="196" t="s">
        <v>295</v>
      </c>
      <c r="B97" s="197" t="s">
        <v>296</v>
      </c>
      <c r="C97" s="199" t="s">
        <v>293</v>
      </c>
      <c r="D97" s="197"/>
      <c r="E97" s="198" t="s">
        <v>2331</v>
      </c>
      <c r="F97" s="332">
        <v>1</v>
      </c>
      <c r="G97" s="332"/>
      <c r="H97" s="332">
        <f>F97*G97</f>
        <v>0</v>
      </c>
      <c r="I97" s="333"/>
      <c r="J97" s="334"/>
      <c r="T97" s="509"/>
    </row>
    <row r="98" spans="1:20" s="22" customFormat="1" ht="16.5" customHeight="1">
      <c r="A98" s="196"/>
      <c r="B98" s="197"/>
      <c r="C98" s="199" t="s">
        <v>276</v>
      </c>
      <c r="D98" s="197"/>
      <c r="E98" s="198"/>
      <c r="F98" s="332"/>
      <c r="G98" s="332"/>
      <c r="H98" s="332"/>
      <c r="I98" s="333"/>
      <c r="J98" s="334"/>
      <c r="T98" s="509"/>
    </row>
    <row r="99" spans="1:20" s="22" customFormat="1" ht="30.75" customHeight="1">
      <c r="A99" s="196"/>
      <c r="B99" s="197"/>
      <c r="C99" s="199" t="s">
        <v>277</v>
      </c>
      <c r="D99" s="197"/>
      <c r="E99" s="198"/>
      <c r="F99" s="332"/>
      <c r="G99" s="332"/>
      <c r="H99" s="332"/>
      <c r="I99" s="333"/>
      <c r="J99" s="334"/>
      <c r="T99" s="509"/>
    </row>
    <row r="100" spans="1:20" s="22" customFormat="1" ht="39.75" customHeight="1">
      <c r="A100" s="196"/>
      <c r="B100" s="197"/>
      <c r="C100" s="199" t="s">
        <v>278</v>
      </c>
      <c r="D100" s="197"/>
      <c r="E100" s="198"/>
      <c r="F100" s="332"/>
      <c r="G100" s="332"/>
      <c r="H100" s="332"/>
      <c r="I100" s="333"/>
      <c r="J100" s="334"/>
      <c r="T100" s="509"/>
    </row>
    <row r="101" spans="1:20" s="22" customFormat="1" ht="21" customHeight="1">
      <c r="A101" s="196"/>
      <c r="B101" s="197"/>
      <c r="C101" s="199" t="s">
        <v>297</v>
      </c>
      <c r="D101" s="197"/>
      <c r="E101" s="198"/>
      <c r="F101" s="332"/>
      <c r="G101" s="332"/>
      <c r="H101" s="332"/>
      <c r="I101" s="333"/>
      <c r="J101" s="334"/>
      <c r="T101" s="509"/>
    </row>
    <row r="102" spans="1:20" s="22" customFormat="1" ht="21" customHeight="1">
      <c r="A102" s="196"/>
      <c r="B102" s="197"/>
      <c r="C102" s="199" t="s">
        <v>280</v>
      </c>
      <c r="D102" s="197"/>
      <c r="E102" s="198"/>
      <c r="F102" s="332"/>
      <c r="G102" s="332"/>
      <c r="H102" s="332"/>
      <c r="I102" s="333"/>
      <c r="J102" s="334"/>
      <c r="T102" s="509"/>
    </row>
    <row r="103" spans="1:20" s="22" customFormat="1" ht="21" customHeight="1">
      <c r="A103" s="196"/>
      <c r="B103" s="197"/>
      <c r="C103" s="199" t="s">
        <v>281</v>
      </c>
      <c r="D103" s="197"/>
      <c r="E103" s="198"/>
      <c r="F103" s="332"/>
      <c r="G103" s="332"/>
      <c r="H103" s="332"/>
      <c r="I103" s="333"/>
      <c r="J103" s="334"/>
      <c r="T103" s="509"/>
    </row>
    <row r="104" spans="1:20" s="22" customFormat="1" ht="21" customHeight="1">
      <c r="A104" s="196"/>
      <c r="B104" s="197"/>
      <c r="C104" s="199" t="s">
        <v>298</v>
      </c>
      <c r="D104" s="197"/>
      <c r="E104" s="198"/>
      <c r="F104" s="332"/>
      <c r="G104" s="332"/>
      <c r="H104" s="332"/>
      <c r="I104" s="333"/>
      <c r="J104" s="334"/>
      <c r="T104" s="509"/>
    </row>
    <row r="105" spans="1:20" s="22" customFormat="1" ht="67.5" customHeight="1">
      <c r="A105" s="196"/>
      <c r="B105" s="197"/>
      <c r="C105" s="199" t="s">
        <v>299</v>
      </c>
      <c r="D105" s="197"/>
      <c r="E105" s="198"/>
      <c r="F105" s="332"/>
      <c r="G105" s="332"/>
      <c r="H105" s="332"/>
      <c r="I105" s="333"/>
      <c r="J105" s="334"/>
      <c r="T105" s="509"/>
    </row>
    <row r="106" spans="1:20" s="130" customFormat="1" ht="16.5" customHeight="1">
      <c r="A106" s="204"/>
      <c r="B106" s="205"/>
      <c r="C106" s="199" t="s">
        <v>284</v>
      </c>
      <c r="D106" s="205"/>
      <c r="E106" s="207"/>
      <c r="F106" s="335"/>
      <c r="G106" s="335"/>
      <c r="H106" s="335"/>
      <c r="I106" s="336"/>
      <c r="J106" s="337"/>
      <c r="K106" s="134"/>
      <c r="L106" s="134"/>
      <c r="M106" s="134"/>
      <c r="N106" s="134"/>
      <c r="O106" s="323"/>
      <c r="P106" s="323"/>
      <c r="Q106" s="140"/>
      <c r="S106" s="134"/>
      <c r="T106" s="508"/>
    </row>
    <row r="107" spans="1:20" s="22" customFormat="1" ht="62.25" customHeight="1">
      <c r="A107" s="196"/>
      <c r="B107" s="197"/>
      <c r="C107" s="524" t="s">
        <v>300</v>
      </c>
      <c r="D107" s="197"/>
      <c r="E107" s="198"/>
      <c r="F107" s="332"/>
      <c r="G107" s="332"/>
      <c r="H107" s="332"/>
      <c r="I107" s="333"/>
      <c r="J107" s="334"/>
      <c r="T107" s="509"/>
    </row>
    <row r="108" spans="1:20" s="22" customFormat="1" ht="36.75" customHeight="1">
      <c r="A108" s="196" t="s">
        <v>301</v>
      </c>
      <c r="B108" s="197" t="s">
        <v>302</v>
      </c>
      <c r="C108" s="199" t="s">
        <v>303</v>
      </c>
      <c r="D108" s="197"/>
      <c r="E108" s="198" t="s">
        <v>2331</v>
      </c>
      <c r="F108" s="332">
        <v>2</v>
      </c>
      <c r="G108" s="332"/>
      <c r="H108" s="332">
        <f>F108*G108</f>
        <v>0</v>
      </c>
      <c r="I108" s="333"/>
      <c r="J108" s="334"/>
      <c r="T108" s="509"/>
    </row>
    <row r="109" spans="1:20" s="22" customFormat="1" ht="16.5" customHeight="1">
      <c r="A109" s="196"/>
      <c r="B109" s="197"/>
      <c r="C109" s="199" t="s">
        <v>276</v>
      </c>
      <c r="D109" s="197"/>
      <c r="E109" s="198"/>
      <c r="F109" s="332"/>
      <c r="G109" s="332"/>
      <c r="H109" s="332"/>
      <c r="I109" s="333"/>
      <c r="J109" s="334"/>
      <c r="T109" s="509"/>
    </row>
    <row r="110" spans="1:20" s="22" customFormat="1" ht="30.75" customHeight="1">
      <c r="A110" s="196"/>
      <c r="B110" s="197"/>
      <c r="C110" s="199" t="s">
        <v>277</v>
      </c>
      <c r="D110" s="197"/>
      <c r="E110" s="198"/>
      <c r="F110" s="332"/>
      <c r="G110" s="332"/>
      <c r="H110" s="332"/>
      <c r="I110" s="333"/>
      <c r="J110" s="334"/>
      <c r="T110" s="509"/>
    </row>
    <row r="111" spans="1:20" s="22" customFormat="1" ht="39.75" customHeight="1">
      <c r="A111" s="196"/>
      <c r="B111" s="197"/>
      <c r="C111" s="199" t="s">
        <v>278</v>
      </c>
      <c r="D111" s="197"/>
      <c r="E111" s="198"/>
      <c r="F111" s="332"/>
      <c r="G111" s="332"/>
      <c r="H111" s="332"/>
      <c r="I111" s="333"/>
      <c r="J111" s="334"/>
      <c r="T111" s="509"/>
    </row>
    <row r="112" spans="1:20" s="22" customFormat="1" ht="21" customHeight="1">
      <c r="A112" s="196"/>
      <c r="B112" s="197"/>
      <c r="C112" s="199" t="s">
        <v>297</v>
      </c>
      <c r="D112" s="197"/>
      <c r="E112" s="198"/>
      <c r="F112" s="332"/>
      <c r="G112" s="332"/>
      <c r="H112" s="332"/>
      <c r="I112" s="333"/>
      <c r="J112" s="334"/>
      <c r="T112" s="509"/>
    </row>
    <row r="113" spans="1:20" s="22" customFormat="1" ht="21" customHeight="1">
      <c r="A113" s="196"/>
      <c r="B113" s="197"/>
      <c r="C113" s="199" t="s">
        <v>280</v>
      </c>
      <c r="D113" s="197"/>
      <c r="E113" s="198"/>
      <c r="F113" s="332"/>
      <c r="G113" s="332"/>
      <c r="H113" s="332"/>
      <c r="I113" s="333"/>
      <c r="J113" s="334"/>
      <c r="T113" s="509"/>
    </row>
    <row r="114" spans="1:20" s="22" customFormat="1" ht="21" customHeight="1">
      <c r="A114" s="196"/>
      <c r="B114" s="197"/>
      <c r="C114" s="199" t="s">
        <v>281</v>
      </c>
      <c r="D114" s="197"/>
      <c r="E114" s="198"/>
      <c r="F114" s="332"/>
      <c r="G114" s="332"/>
      <c r="H114" s="332"/>
      <c r="I114" s="333"/>
      <c r="J114" s="334"/>
      <c r="T114" s="509"/>
    </row>
    <row r="115" spans="1:20" s="22" customFormat="1" ht="21" customHeight="1">
      <c r="A115" s="196"/>
      <c r="B115" s="197"/>
      <c r="C115" s="199" t="s">
        <v>304</v>
      </c>
      <c r="D115" s="197"/>
      <c r="E115" s="198"/>
      <c r="F115" s="332"/>
      <c r="G115" s="332"/>
      <c r="H115" s="332"/>
      <c r="I115" s="333"/>
      <c r="J115" s="334"/>
      <c r="T115" s="509"/>
    </row>
    <row r="116" spans="1:20" s="22" customFormat="1" ht="67.5" customHeight="1">
      <c r="A116" s="196"/>
      <c r="B116" s="197"/>
      <c r="C116" s="199" t="s">
        <v>299</v>
      </c>
      <c r="D116" s="197"/>
      <c r="E116" s="198"/>
      <c r="F116" s="332"/>
      <c r="G116" s="332"/>
      <c r="H116" s="332"/>
      <c r="I116" s="333"/>
      <c r="J116" s="334"/>
      <c r="T116" s="509"/>
    </row>
    <row r="117" spans="1:20" s="130" customFormat="1" ht="16.5" customHeight="1">
      <c r="A117" s="204"/>
      <c r="B117" s="205"/>
      <c r="C117" s="199" t="s">
        <v>284</v>
      </c>
      <c r="D117" s="205"/>
      <c r="E117" s="207"/>
      <c r="F117" s="335"/>
      <c r="G117" s="335"/>
      <c r="H117" s="335"/>
      <c r="I117" s="336"/>
      <c r="J117" s="337"/>
      <c r="K117" s="134"/>
      <c r="L117" s="134"/>
      <c r="M117" s="134"/>
      <c r="N117" s="134"/>
      <c r="O117" s="323"/>
      <c r="P117" s="323"/>
      <c r="Q117" s="140"/>
      <c r="S117" s="134"/>
      <c r="T117" s="508"/>
    </row>
    <row r="118" spans="1:20" s="22" customFormat="1" ht="62.25" customHeight="1">
      <c r="A118" s="196"/>
      <c r="B118" s="197"/>
      <c r="C118" s="524" t="s">
        <v>300</v>
      </c>
      <c r="D118" s="197"/>
      <c r="E118" s="198"/>
      <c r="F118" s="332"/>
      <c r="G118" s="332"/>
      <c r="H118" s="332"/>
      <c r="I118" s="333"/>
      <c r="J118" s="334"/>
      <c r="T118" s="509"/>
    </row>
    <row r="119" spans="1:20" s="130" customFormat="1" ht="16.5" customHeight="1">
      <c r="A119" s="204"/>
      <c r="B119" s="205"/>
      <c r="C119" s="206"/>
      <c r="D119" s="205"/>
      <c r="E119" s="207"/>
      <c r="F119" s="335"/>
      <c r="G119" s="335"/>
      <c r="H119" s="335"/>
      <c r="I119" s="336"/>
      <c r="J119" s="337"/>
      <c r="K119" s="134"/>
      <c r="L119" s="134"/>
      <c r="M119" s="134"/>
      <c r="N119" s="134"/>
      <c r="O119" s="323"/>
      <c r="P119" s="323"/>
      <c r="Q119" s="140"/>
      <c r="S119" s="134"/>
      <c r="T119" s="508"/>
    </row>
    <row r="120" spans="1:20" s="22" customFormat="1" ht="72">
      <c r="A120" s="196" t="s">
        <v>305</v>
      </c>
      <c r="B120" s="197" t="s">
        <v>306</v>
      </c>
      <c r="C120" s="524" t="s">
        <v>307</v>
      </c>
      <c r="D120" s="197"/>
      <c r="E120" s="198" t="s">
        <v>1718</v>
      </c>
      <c r="F120" s="332">
        <f>SUM(E121)</f>
        <v>4</v>
      </c>
      <c r="G120" s="332"/>
      <c r="H120" s="332">
        <f>F120*G120</f>
        <v>0</v>
      </c>
      <c r="I120" s="333"/>
      <c r="J120" s="334"/>
      <c r="T120" s="509"/>
    </row>
    <row r="121" spans="1:20" s="22" customFormat="1" ht="12">
      <c r="A121" s="196"/>
      <c r="B121" s="197"/>
      <c r="C121" s="523">
        <v>4</v>
      </c>
      <c r="D121" s="197"/>
      <c r="E121" s="836">
        <v>4</v>
      </c>
      <c r="F121" s="332"/>
      <c r="G121" s="332"/>
      <c r="H121" s="332"/>
      <c r="I121" s="333"/>
      <c r="J121" s="334"/>
      <c r="T121" s="509"/>
    </row>
    <row r="122" spans="1:20" s="22" customFormat="1" ht="48">
      <c r="A122" s="196" t="s">
        <v>308</v>
      </c>
      <c r="B122" s="197" t="s">
        <v>309</v>
      </c>
      <c r="C122" s="524" t="s">
        <v>310</v>
      </c>
      <c r="D122" s="197"/>
      <c r="E122" s="198" t="s">
        <v>1718</v>
      </c>
      <c r="F122" s="332">
        <f>SUM(E123)</f>
        <v>4</v>
      </c>
      <c r="G122" s="332"/>
      <c r="H122" s="332">
        <f>F122*G122</f>
        <v>0</v>
      </c>
      <c r="I122" s="333"/>
      <c r="J122" s="334"/>
      <c r="T122" s="509"/>
    </row>
    <row r="123" spans="1:20" s="22" customFormat="1" ht="12">
      <c r="A123" s="196"/>
      <c r="B123" s="197"/>
      <c r="C123" s="523">
        <v>4</v>
      </c>
      <c r="D123" s="197"/>
      <c r="E123" s="836">
        <v>4</v>
      </c>
      <c r="F123" s="332"/>
      <c r="G123" s="332"/>
      <c r="H123" s="332"/>
      <c r="I123" s="333"/>
      <c r="J123" s="334"/>
      <c r="T123" s="509"/>
    </row>
    <row r="124" spans="1:20" s="22" customFormat="1" ht="36">
      <c r="A124" s="196" t="s">
        <v>311</v>
      </c>
      <c r="B124" s="197" t="s">
        <v>312</v>
      </c>
      <c r="C124" s="524" t="s">
        <v>313</v>
      </c>
      <c r="D124" s="197"/>
      <c r="E124" s="198" t="s">
        <v>1718</v>
      </c>
      <c r="F124" s="332">
        <f>SUM(E125)</f>
        <v>24</v>
      </c>
      <c r="G124" s="332"/>
      <c r="H124" s="332">
        <f>F124*G124</f>
        <v>0</v>
      </c>
      <c r="I124" s="333"/>
      <c r="J124" s="334"/>
      <c r="T124" s="509"/>
    </row>
    <row r="125" spans="1:20" s="22" customFormat="1" ht="12">
      <c r="A125" s="196"/>
      <c r="B125" s="197"/>
      <c r="C125" s="523">
        <v>24</v>
      </c>
      <c r="D125" s="197"/>
      <c r="E125" s="836">
        <v>24</v>
      </c>
      <c r="F125" s="332"/>
      <c r="G125" s="332"/>
      <c r="H125" s="332"/>
      <c r="I125" s="333"/>
      <c r="J125" s="334"/>
      <c r="T125" s="509"/>
    </row>
    <row r="126" spans="1:20" s="22" customFormat="1" ht="36">
      <c r="A126" s="196" t="s">
        <v>314</v>
      </c>
      <c r="B126" s="197" t="s">
        <v>315</v>
      </c>
      <c r="C126" s="524" t="s">
        <v>316</v>
      </c>
      <c r="D126" s="197"/>
      <c r="E126" s="198" t="s">
        <v>1718</v>
      </c>
      <c r="F126" s="332">
        <f>SUM(E127)</f>
        <v>515.025</v>
      </c>
      <c r="G126" s="332"/>
      <c r="H126" s="332">
        <f>F126*G126</f>
        <v>0</v>
      </c>
      <c r="I126" s="333"/>
      <c r="J126" s="334"/>
      <c r="T126" s="509"/>
    </row>
    <row r="127" spans="1:20" s="22" customFormat="1" ht="12">
      <c r="A127" s="196"/>
      <c r="B127" s="197"/>
      <c r="C127" s="523" t="s">
        <v>317</v>
      </c>
      <c r="D127" s="197"/>
      <c r="E127" s="836">
        <f>490.5*1.05</f>
        <v>515.025</v>
      </c>
      <c r="F127" s="332"/>
      <c r="G127" s="332"/>
      <c r="H127" s="332"/>
      <c r="I127" s="333"/>
      <c r="J127" s="334"/>
      <c r="T127" s="509"/>
    </row>
    <row r="128" spans="1:20" s="22" customFormat="1" ht="36">
      <c r="A128" s="196" t="s">
        <v>318</v>
      </c>
      <c r="B128" s="197" t="s">
        <v>319</v>
      </c>
      <c r="C128" s="524" t="s">
        <v>320</v>
      </c>
      <c r="D128" s="197"/>
      <c r="E128" s="198" t="s">
        <v>1718</v>
      </c>
      <c r="F128" s="332">
        <f>SUM(E129)</f>
        <v>155</v>
      </c>
      <c r="G128" s="332"/>
      <c r="H128" s="332">
        <f>F128*G128</f>
        <v>0</v>
      </c>
      <c r="I128" s="333"/>
      <c r="J128" s="334"/>
      <c r="T128" s="509"/>
    </row>
    <row r="129" spans="1:20" s="22" customFormat="1" ht="12">
      <c r="A129" s="196"/>
      <c r="B129" s="197"/>
      <c r="C129" s="523">
        <v>155</v>
      </c>
      <c r="D129" s="197"/>
      <c r="E129" s="836">
        <v>155</v>
      </c>
      <c r="F129" s="332"/>
      <c r="G129" s="332"/>
      <c r="H129" s="332"/>
      <c r="I129" s="333"/>
      <c r="J129" s="334"/>
      <c r="T129" s="509"/>
    </row>
    <row r="130" spans="1:20" s="22" customFormat="1" ht="36">
      <c r="A130" s="196" t="s">
        <v>321</v>
      </c>
      <c r="B130" s="197" t="s">
        <v>322</v>
      </c>
      <c r="C130" s="524" t="s">
        <v>323</v>
      </c>
      <c r="D130" s="197"/>
      <c r="E130" s="198" t="s">
        <v>1718</v>
      </c>
      <c r="F130" s="332">
        <f>SUM(E131)</f>
        <v>8</v>
      </c>
      <c r="G130" s="332"/>
      <c r="H130" s="332">
        <f>F130*G130</f>
        <v>0</v>
      </c>
      <c r="I130" s="333"/>
      <c r="J130" s="334"/>
      <c r="T130" s="509"/>
    </row>
    <row r="131" spans="1:20" s="22" customFormat="1" ht="12">
      <c r="A131" s="196"/>
      <c r="B131" s="197"/>
      <c r="C131" s="523">
        <v>8</v>
      </c>
      <c r="D131" s="197"/>
      <c r="E131" s="836">
        <v>8</v>
      </c>
      <c r="F131" s="332"/>
      <c r="G131" s="332"/>
      <c r="H131" s="332"/>
      <c r="I131" s="333"/>
      <c r="J131" s="334"/>
      <c r="T131" s="509"/>
    </row>
    <row r="132" spans="1:20" s="22" customFormat="1" ht="36">
      <c r="A132" s="196" t="s">
        <v>324</v>
      </c>
      <c r="B132" s="197" t="s">
        <v>325</v>
      </c>
      <c r="C132" s="524" t="s">
        <v>326</v>
      </c>
      <c r="D132" s="197"/>
      <c r="E132" s="198" t="s">
        <v>1718</v>
      </c>
      <c r="F132" s="332">
        <f>SUM(E133)</f>
        <v>4</v>
      </c>
      <c r="G132" s="332"/>
      <c r="H132" s="332">
        <f>F132*G132</f>
        <v>0</v>
      </c>
      <c r="I132" s="333"/>
      <c r="J132" s="334"/>
      <c r="T132" s="509"/>
    </row>
    <row r="133" spans="1:20" s="22" customFormat="1" ht="12">
      <c r="A133" s="196"/>
      <c r="B133" s="197"/>
      <c r="C133" s="523">
        <v>4</v>
      </c>
      <c r="D133" s="197"/>
      <c r="E133" s="836">
        <v>4</v>
      </c>
      <c r="F133" s="332"/>
      <c r="G133" s="332"/>
      <c r="H133" s="332"/>
      <c r="I133" s="333"/>
      <c r="J133" s="334"/>
      <c r="T133" s="509"/>
    </row>
    <row r="134" spans="1:20" s="22" customFormat="1" ht="12">
      <c r="A134" s="196" t="s">
        <v>327</v>
      </c>
      <c r="B134" s="197" t="s">
        <v>328</v>
      </c>
      <c r="C134" s="524" t="s">
        <v>329</v>
      </c>
      <c r="D134" s="197"/>
      <c r="E134" s="198" t="s">
        <v>1718</v>
      </c>
      <c r="F134" s="332">
        <f>SUM(E135)</f>
        <v>24</v>
      </c>
      <c r="G134" s="332"/>
      <c r="H134" s="332">
        <f>F134*G134</f>
        <v>0</v>
      </c>
      <c r="I134" s="333"/>
      <c r="J134" s="334"/>
      <c r="T134" s="509"/>
    </row>
    <row r="135" spans="1:20" s="22" customFormat="1" ht="12">
      <c r="A135" s="196"/>
      <c r="B135" s="197"/>
      <c r="C135" s="523">
        <v>24</v>
      </c>
      <c r="D135" s="197"/>
      <c r="E135" s="836">
        <v>24</v>
      </c>
      <c r="F135" s="332"/>
      <c r="G135" s="332"/>
      <c r="H135" s="332"/>
      <c r="I135" s="333"/>
      <c r="J135" s="334"/>
      <c r="T135" s="509"/>
    </row>
    <row r="136" spans="1:20" s="22" customFormat="1" ht="24">
      <c r="A136" s="196" t="s">
        <v>330</v>
      </c>
      <c r="B136" s="197" t="s">
        <v>331</v>
      </c>
      <c r="C136" s="524" t="s">
        <v>332</v>
      </c>
      <c r="D136" s="197"/>
      <c r="E136" s="198" t="s">
        <v>1718</v>
      </c>
      <c r="F136" s="332">
        <f>SUM(E137)</f>
        <v>36</v>
      </c>
      <c r="G136" s="332"/>
      <c r="H136" s="332">
        <f>F136*G136</f>
        <v>0</v>
      </c>
      <c r="I136" s="333"/>
      <c r="J136" s="334"/>
      <c r="T136" s="509"/>
    </row>
    <row r="137" spans="1:20" s="22" customFormat="1" ht="12">
      <c r="A137" s="196"/>
      <c r="B137" s="197"/>
      <c r="C137" s="523">
        <v>36</v>
      </c>
      <c r="D137" s="197"/>
      <c r="E137" s="836">
        <v>36</v>
      </c>
      <c r="F137" s="332"/>
      <c r="G137" s="332"/>
      <c r="H137" s="332"/>
      <c r="I137" s="333"/>
      <c r="J137" s="334"/>
      <c r="T137" s="509"/>
    </row>
    <row r="138" spans="1:20" s="22" customFormat="1" ht="24">
      <c r="A138" s="196" t="s">
        <v>333</v>
      </c>
      <c r="B138" s="197" t="s">
        <v>334</v>
      </c>
      <c r="C138" s="524" t="s">
        <v>335</v>
      </c>
      <c r="D138" s="197"/>
      <c r="E138" s="198" t="s">
        <v>1718</v>
      </c>
      <c r="F138" s="332">
        <f>SUM(E139)</f>
        <v>42</v>
      </c>
      <c r="G138" s="332"/>
      <c r="H138" s="332">
        <f>F138*G138</f>
        <v>0</v>
      </c>
      <c r="I138" s="333"/>
      <c r="J138" s="334"/>
      <c r="T138" s="509"/>
    </row>
    <row r="139" spans="1:20" s="22" customFormat="1" ht="12">
      <c r="A139" s="196"/>
      <c r="B139" s="197"/>
      <c r="C139" s="523">
        <v>42</v>
      </c>
      <c r="D139" s="197"/>
      <c r="E139" s="836">
        <v>42</v>
      </c>
      <c r="F139" s="332"/>
      <c r="G139" s="332"/>
      <c r="H139" s="332"/>
      <c r="I139" s="333"/>
      <c r="J139" s="334"/>
      <c r="T139" s="509"/>
    </row>
    <row r="140" spans="1:20" s="22" customFormat="1" ht="24">
      <c r="A140" s="196" t="s">
        <v>336</v>
      </c>
      <c r="B140" s="197" t="s">
        <v>337</v>
      </c>
      <c r="C140" s="524" t="s">
        <v>338</v>
      </c>
      <c r="D140" s="197"/>
      <c r="E140" s="198" t="s">
        <v>1718</v>
      </c>
      <c r="F140" s="332">
        <f>SUM(E141)</f>
        <v>4</v>
      </c>
      <c r="G140" s="332"/>
      <c r="H140" s="332">
        <f>F140*G140</f>
        <v>0</v>
      </c>
      <c r="I140" s="333"/>
      <c r="J140" s="334"/>
      <c r="T140" s="509"/>
    </row>
    <row r="141" spans="1:20" s="22" customFormat="1" ht="12">
      <c r="A141" s="196"/>
      <c r="B141" s="197"/>
      <c r="C141" s="523">
        <v>4</v>
      </c>
      <c r="D141" s="197"/>
      <c r="E141" s="836">
        <v>4</v>
      </c>
      <c r="F141" s="332"/>
      <c r="G141" s="332"/>
      <c r="H141" s="332"/>
      <c r="I141" s="333"/>
      <c r="J141" s="334"/>
      <c r="T141" s="509"/>
    </row>
    <row r="142" spans="1:20" s="22" customFormat="1" ht="24">
      <c r="A142" s="196" t="s">
        <v>339</v>
      </c>
      <c r="B142" s="197" t="s">
        <v>340</v>
      </c>
      <c r="C142" s="524" t="s">
        <v>341</v>
      </c>
      <c r="D142" s="197"/>
      <c r="E142" s="198" t="s">
        <v>1718</v>
      </c>
      <c r="F142" s="332">
        <f>SUM(E143:E144)</f>
        <v>64</v>
      </c>
      <c r="G142" s="332"/>
      <c r="H142" s="332">
        <f>F142*G142</f>
        <v>0</v>
      </c>
      <c r="I142" s="333"/>
      <c r="J142" s="334"/>
      <c r="T142" s="509"/>
    </row>
    <row r="143" spans="1:20" s="22" customFormat="1" ht="12">
      <c r="A143" s="196"/>
      <c r="B143" s="197"/>
      <c r="C143" s="837" t="s">
        <v>342</v>
      </c>
      <c r="D143" s="197"/>
      <c r="E143" s="836"/>
      <c r="F143" s="332"/>
      <c r="G143" s="332"/>
      <c r="H143" s="332"/>
      <c r="I143" s="333"/>
      <c r="J143" s="334"/>
      <c r="T143" s="509"/>
    </row>
    <row r="144" spans="1:20" s="22" customFormat="1" ht="12">
      <c r="A144" s="196"/>
      <c r="B144" s="197"/>
      <c r="C144" s="838">
        <v>64</v>
      </c>
      <c r="D144" s="197"/>
      <c r="E144" s="836">
        <v>64</v>
      </c>
      <c r="F144" s="332"/>
      <c r="G144" s="332"/>
      <c r="H144" s="332"/>
      <c r="I144" s="333"/>
      <c r="J144" s="334"/>
      <c r="T144" s="509"/>
    </row>
    <row r="145" spans="1:20" s="22" customFormat="1" ht="35.25" customHeight="1">
      <c r="A145" s="196" t="s">
        <v>343</v>
      </c>
      <c r="B145" s="197" t="s">
        <v>344</v>
      </c>
      <c r="C145" s="524" t="s">
        <v>345</v>
      </c>
      <c r="D145" s="197"/>
      <c r="E145" s="198" t="s">
        <v>1783</v>
      </c>
      <c r="F145" s="332">
        <v>3.51661</v>
      </c>
      <c r="G145" s="332"/>
      <c r="H145" s="332">
        <f>F145*G145</f>
        <v>0</v>
      </c>
      <c r="I145" s="1013"/>
      <c r="J145" s="1014"/>
      <c r="T145" s="509"/>
    </row>
    <row r="146" spans="1:20" s="22" customFormat="1" ht="17.25" customHeight="1" thickBot="1">
      <c r="A146" s="200"/>
      <c r="B146" s="201"/>
      <c r="C146" s="201"/>
      <c r="D146" s="201"/>
      <c r="E146" s="203"/>
      <c r="F146" s="338"/>
      <c r="G146" s="338"/>
      <c r="H146" s="338"/>
      <c r="I146" s="339"/>
      <c r="J146" s="340"/>
      <c r="T146" s="509"/>
    </row>
    <row r="147" spans="1:20" ht="16.5" customHeight="1" thickBot="1">
      <c r="A147" s="226" t="s">
        <v>1801</v>
      </c>
      <c r="B147" s="175" t="s">
        <v>2369</v>
      </c>
      <c r="C147" s="176" t="s">
        <v>1660</v>
      </c>
      <c r="D147" s="176"/>
      <c r="E147" s="175"/>
      <c r="F147" s="341"/>
      <c r="G147" s="341"/>
      <c r="H147" s="342">
        <f>SUM(H148:H152)</f>
        <v>0</v>
      </c>
      <c r="I147" s="343"/>
      <c r="J147" s="344">
        <f>SUM(J149)</f>
        <v>0</v>
      </c>
      <c r="O147" s="511"/>
      <c r="P147" s="511"/>
      <c r="T147" s="670"/>
    </row>
    <row r="148" spans="1:20" s="240" customFormat="1" ht="21" customHeight="1">
      <c r="A148" s="227"/>
      <c r="B148" s="228"/>
      <c r="C148" s="229"/>
      <c r="D148" s="230"/>
      <c r="E148" s="230"/>
      <c r="F148" s="678"/>
      <c r="G148" s="678"/>
      <c r="H148" s="354"/>
      <c r="I148" s="354"/>
      <c r="J148" s="355"/>
      <c r="K148" s="238"/>
      <c r="L148" s="238"/>
      <c r="M148" s="239"/>
      <c r="O148" s="514"/>
      <c r="P148" s="514"/>
      <c r="T148" s="239"/>
    </row>
    <row r="149" spans="1:20" s="22" customFormat="1" ht="18.75" customHeight="1">
      <c r="A149" s="196" t="s">
        <v>1804</v>
      </c>
      <c r="B149" s="197" t="s">
        <v>346</v>
      </c>
      <c r="C149" s="197" t="s">
        <v>347</v>
      </c>
      <c r="D149" s="197"/>
      <c r="E149" s="198" t="s">
        <v>2331</v>
      </c>
      <c r="F149" s="332">
        <v>1</v>
      </c>
      <c r="G149" s="332"/>
      <c r="H149" s="332">
        <f>F149*G149</f>
        <v>0</v>
      </c>
      <c r="I149" s="333"/>
      <c r="J149" s="334"/>
      <c r="T149" s="509"/>
    </row>
    <row r="150" spans="1:20" s="22" customFormat="1" ht="18.75" customHeight="1">
      <c r="A150" s="196" t="s">
        <v>167</v>
      </c>
      <c r="B150" s="197" t="s">
        <v>348</v>
      </c>
      <c r="C150" s="197" t="s">
        <v>349</v>
      </c>
      <c r="D150" s="197"/>
      <c r="E150" s="198" t="s">
        <v>2331</v>
      </c>
      <c r="F150" s="332">
        <v>1</v>
      </c>
      <c r="G150" s="332"/>
      <c r="H150" s="332">
        <f>F150*G150</f>
        <v>0</v>
      </c>
      <c r="I150" s="333"/>
      <c r="J150" s="334"/>
      <c r="T150" s="509"/>
    </row>
    <row r="151" spans="1:20" s="22" customFormat="1" ht="18.75" customHeight="1">
      <c r="A151" s="196" t="s">
        <v>171</v>
      </c>
      <c r="B151" s="197" t="s">
        <v>350</v>
      </c>
      <c r="C151" s="197" t="s">
        <v>351</v>
      </c>
      <c r="D151" s="197"/>
      <c r="E151" s="198" t="s">
        <v>2331</v>
      </c>
      <c r="F151" s="332">
        <v>1</v>
      </c>
      <c r="G151" s="332"/>
      <c r="H151" s="332">
        <f>F151*G151</f>
        <v>0</v>
      </c>
      <c r="I151" s="333"/>
      <c r="J151" s="334"/>
      <c r="T151" s="509"/>
    </row>
    <row r="152" spans="1:20" s="240" customFormat="1" ht="21" customHeight="1" thickBot="1">
      <c r="A152" s="234"/>
      <c r="B152" s="235"/>
      <c r="C152" s="236"/>
      <c r="D152" s="237"/>
      <c r="E152" s="237"/>
      <c r="F152" s="680"/>
      <c r="G152" s="680"/>
      <c r="H152" s="358"/>
      <c r="I152" s="358"/>
      <c r="J152" s="359"/>
      <c r="K152" s="238"/>
      <c r="L152" s="238"/>
      <c r="M152" s="239"/>
      <c r="O152" s="514"/>
      <c r="P152" s="514"/>
      <c r="T152" s="239"/>
    </row>
    <row r="153" spans="1:20" ht="16.5" customHeight="1" thickBot="1">
      <c r="A153" s="266"/>
      <c r="B153" s="175"/>
      <c r="C153" s="176"/>
      <c r="D153" s="176"/>
      <c r="E153" s="175"/>
      <c r="F153" s="175"/>
      <c r="G153" s="175"/>
      <c r="H153" s="185"/>
      <c r="I153" s="177"/>
      <c r="J153" s="178"/>
      <c r="O153" s="511"/>
      <c r="P153" s="511"/>
      <c r="T153" s="670"/>
    </row>
    <row r="154" spans="1:20" ht="15">
      <c r="A154" s="24"/>
      <c r="B154" s="186"/>
      <c r="C154" s="186"/>
      <c r="D154" s="186"/>
      <c r="E154" s="187"/>
      <c r="F154" s="186"/>
      <c r="G154" s="186"/>
      <c r="H154" s="186"/>
      <c r="I154" s="188"/>
      <c r="J154" s="189"/>
      <c r="O154" s="511"/>
      <c r="P154" s="511"/>
      <c r="T154" s="670"/>
    </row>
    <row r="155" spans="1:20" s="451" customFormat="1" ht="22.5" customHeight="1" thickBot="1">
      <c r="A155" s="798"/>
      <c r="B155" s="799"/>
      <c r="C155" s="800" t="s">
        <v>716</v>
      </c>
      <c r="D155" s="799"/>
      <c r="E155" s="801"/>
      <c r="F155" s="802"/>
      <c r="G155" s="802"/>
      <c r="H155" s="803">
        <f>H147+H28+H16</f>
        <v>0</v>
      </c>
      <c r="I155" s="804"/>
      <c r="J155" s="805"/>
      <c r="K155" s="806"/>
      <c r="L155" s="806"/>
      <c r="M155" s="806"/>
      <c r="N155" s="806"/>
      <c r="O155" s="806"/>
      <c r="P155" s="806"/>
      <c r="Q155" s="807"/>
      <c r="R155" s="824"/>
      <c r="S155" s="824"/>
      <c r="T155" s="824"/>
    </row>
  </sheetData>
  <mergeCells count="21">
    <mergeCell ref="C6:C7"/>
    <mergeCell ref="D6:E7"/>
    <mergeCell ref="F6:F7"/>
    <mergeCell ref="G6:G7"/>
    <mergeCell ref="D8:F9"/>
    <mergeCell ref="G2:G3"/>
    <mergeCell ref="H4:J5"/>
    <mergeCell ref="G4:G5"/>
    <mergeCell ref="C2:C3"/>
    <mergeCell ref="G12:H12"/>
    <mergeCell ref="I12:J12"/>
    <mergeCell ref="H8:J9"/>
    <mergeCell ref="H2:J3"/>
    <mergeCell ref="H6:J7"/>
    <mergeCell ref="G8:G9"/>
    <mergeCell ref="F4:F5"/>
    <mergeCell ref="D4:E5"/>
    <mergeCell ref="C8:C9"/>
    <mergeCell ref="C4:C5"/>
    <mergeCell ref="D2:E3"/>
    <mergeCell ref="F2:F3"/>
  </mergeCells>
  <printOptions/>
  <pageMargins left="0.4" right="0.36" top="0.59" bottom="0.66" header="0.24" footer="0.24"/>
  <pageSetup horizontalDpi="600" verticalDpi="600" orientation="portrait" paperSize="9" scale="70" r:id="rId1"/>
  <headerFooter alignWithMargins="0">
    <oddFooter>&amp;L&amp;F
&amp;A&amp;C&amp;P/&amp;N</oddFooter>
  </headerFooter>
  <colBreaks count="1" manualBreakCount="1">
    <brk id="10"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65"/>
  <sheetViews>
    <sheetView showGridLines="0" view="pageBreakPreview" zoomScaleSheetLayoutView="100" workbookViewId="0" topLeftCell="A1">
      <selection activeCell="I11" sqref="I11:J11"/>
    </sheetView>
  </sheetViews>
  <sheetFormatPr defaultColWidth="9.140625" defaultRowHeight="12.75"/>
  <cols>
    <col min="1" max="1" width="5.28125" style="28" customWidth="1"/>
    <col min="2" max="2" width="14.28125" style="0" customWidth="1"/>
    <col min="3" max="3" width="42.421875" style="0" customWidth="1"/>
    <col min="4" max="4" width="9.7109375" style="0" customWidth="1"/>
    <col min="5" max="5" width="10.28125" style="33" customWidth="1"/>
    <col min="6" max="6" width="10.57421875" style="0" customWidth="1"/>
    <col min="7" max="7" width="11.57421875" style="0" customWidth="1"/>
    <col min="8" max="8" width="13.7109375" style="0" customWidth="1"/>
    <col min="9" max="9" width="9.140625" style="12" customWidth="1"/>
    <col min="10" max="10" width="10.421875" style="12" customWidth="1"/>
    <col min="15" max="16" width="9.140625" style="513" customWidth="1"/>
    <col min="20" max="20" width="27.140625" style="507" customWidth="1"/>
  </cols>
  <sheetData>
    <row r="1" spans="1:20" ht="23.25">
      <c r="A1" s="23"/>
      <c r="B1" s="13"/>
      <c r="C1" s="14" t="s">
        <v>1683</v>
      </c>
      <c r="D1" s="14"/>
      <c r="E1" s="13"/>
      <c r="F1" s="13"/>
      <c r="G1" s="13"/>
      <c r="H1" s="13"/>
      <c r="I1" s="15"/>
      <c r="J1" s="16"/>
      <c r="O1" s="511"/>
      <c r="P1" s="511"/>
      <c r="T1" s="670"/>
    </row>
    <row r="2" spans="1:20" ht="12.75">
      <c r="A2" s="24"/>
      <c r="B2" s="653"/>
      <c r="C2" s="1310" t="s">
        <v>1684</v>
      </c>
      <c r="D2" s="1308" t="s">
        <v>1685</v>
      </c>
      <c r="E2" s="1308"/>
      <c r="F2" s="1308"/>
      <c r="G2" s="1320" t="s">
        <v>1686</v>
      </c>
      <c r="H2" s="1324" t="s">
        <v>1687</v>
      </c>
      <c r="I2" s="1325"/>
      <c r="J2" s="1326"/>
      <c r="O2" s="511"/>
      <c r="P2" s="511"/>
      <c r="T2" s="670"/>
    </row>
    <row r="3" spans="1:20" ht="12.75">
      <c r="A3" s="24"/>
      <c r="B3" s="652"/>
      <c r="C3" s="1311"/>
      <c r="D3" s="1309"/>
      <c r="E3" s="1309"/>
      <c r="F3" s="1309"/>
      <c r="G3" s="1321"/>
      <c r="H3" s="1316"/>
      <c r="I3" s="1316"/>
      <c r="J3" s="1317"/>
      <c r="O3" s="511"/>
      <c r="P3" s="511"/>
      <c r="T3" s="670"/>
    </row>
    <row r="4" spans="1:20" ht="12.75">
      <c r="A4" s="24"/>
      <c r="B4" s="652"/>
      <c r="C4" s="1309" t="s">
        <v>1688</v>
      </c>
      <c r="D4" s="1309" t="s">
        <v>1689</v>
      </c>
      <c r="E4" s="1309"/>
      <c r="F4" s="1327"/>
      <c r="G4" s="1321" t="s">
        <v>1690</v>
      </c>
      <c r="H4" s="1315" t="s">
        <v>1586</v>
      </c>
      <c r="I4" s="1315"/>
      <c r="J4" s="1328"/>
      <c r="O4" s="511"/>
      <c r="P4" s="511"/>
      <c r="T4" s="670"/>
    </row>
    <row r="5" spans="1:20" ht="12.75">
      <c r="A5" s="24"/>
      <c r="B5" s="652"/>
      <c r="C5" s="1312"/>
      <c r="D5" s="1309"/>
      <c r="E5" s="1309"/>
      <c r="F5" s="1327"/>
      <c r="G5" s="1321"/>
      <c r="H5" s="1315"/>
      <c r="I5" s="1315"/>
      <c r="J5" s="1328"/>
      <c r="O5" s="511"/>
      <c r="P5" s="511"/>
      <c r="T5" s="670"/>
    </row>
    <row r="6" spans="1:20" ht="12.75">
      <c r="A6" s="24"/>
      <c r="B6" s="652"/>
      <c r="C6" s="1309" t="s">
        <v>1580</v>
      </c>
      <c r="D6" s="1309" t="s">
        <v>1691</v>
      </c>
      <c r="E6" s="1309"/>
      <c r="F6" s="1327"/>
      <c r="G6" s="1321" t="s">
        <v>1692</v>
      </c>
      <c r="H6" s="1315"/>
      <c r="I6" s="1316"/>
      <c r="J6" s="1317"/>
      <c r="O6" s="511"/>
      <c r="P6" s="511"/>
      <c r="T6" s="670"/>
    </row>
    <row r="7" spans="1:20" ht="12.75">
      <c r="A7" s="24"/>
      <c r="B7" s="652"/>
      <c r="C7" s="1312"/>
      <c r="D7" s="1309"/>
      <c r="E7" s="1309"/>
      <c r="F7" s="1327"/>
      <c r="G7" s="1321"/>
      <c r="H7" s="1316"/>
      <c r="I7" s="1316"/>
      <c r="J7" s="1317"/>
      <c r="O7" s="511"/>
      <c r="P7" s="511"/>
      <c r="T7" s="670"/>
    </row>
    <row r="8" spans="1:20" ht="12.75">
      <c r="A8" s="24"/>
      <c r="B8" s="652"/>
      <c r="C8" s="1306" t="s">
        <v>352</v>
      </c>
      <c r="D8" s="1333" t="s">
        <v>2832</v>
      </c>
      <c r="E8" s="1334"/>
      <c r="F8" s="1334"/>
      <c r="G8" s="1321" t="s">
        <v>1693</v>
      </c>
      <c r="H8" s="1315" t="s">
        <v>1586</v>
      </c>
      <c r="I8" s="1316"/>
      <c r="J8" s="1317"/>
      <c r="O8" s="511"/>
      <c r="P8" s="511"/>
      <c r="T8" s="670"/>
    </row>
    <row r="9" spans="1:20" ht="41.25" customHeight="1">
      <c r="A9" s="24"/>
      <c r="B9" s="1"/>
      <c r="C9" s="1343"/>
      <c r="D9" s="1335"/>
      <c r="E9" s="1335"/>
      <c r="F9" s="1335"/>
      <c r="G9" s="1338"/>
      <c r="H9" s="1336"/>
      <c r="I9" s="1336"/>
      <c r="J9" s="1337"/>
      <c r="O9" s="511"/>
      <c r="P9" s="511"/>
      <c r="T9" s="670"/>
    </row>
    <row r="10" spans="1:20" ht="13.5" thickBot="1">
      <c r="A10" s="160"/>
      <c r="B10" s="161"/>
      <c r="C10" s="162"/>
      <c r="D10" s="162"/>
      <c r="E10" s="161"/>
      <c r="F10" s="161"/>
      <c r="G10" s="161"/>
      <c r="H10" s="161"/>
      <c r="I10" s="163"/>
      <c r="J10" s="164"/>
      <c r="O10" s="511"/>
      <c r="P10" s="511"/>
      <c r="T10" s="670"/>
    </row>
    <row r="11" spans="1:20" s="18" customFormat="1" ht="12.75">
      <c r="A11" s="25"/>
      <c r="B11" s="17" t="s">
        <v>1694</v>
      </c>
      <c r="C11" s="2" t="s">
        <v>1694</v>
      </c>
      <c r="D11" s="3"/>
      <c r="E11" s="30" t="s">
        <v>1694</v>
      </c>
      <c r="F11" s="2" t="s">
        <v>1694</v>
      </c>
      <c r="G11" s="1322" t="s">
        <v>1695</v>
      </c>
      <c r="H11" s="1323"/>
      <c r="I11" s="1318" t="s">
        <v>1696</v>
      </c>
      <c r="J11" s="1319"/>
      <c r="O11" s="512"/>
      <c r="P11" s="512"/>
      <c r="T11" s="671"/>
    </row>
    <row r="12" spans="1:20" s="18" customFormat="1" ht="13.5" thickBot="1">
      <c r="A12" s="165"/>
      <c r="B12" s="166" t="s">
        <v>1697</v>
      </c>
      <c r="C12" s="167" t="s">
        <v>1698</v>
      </c>
      <c r="D12" s="168"/>
      <c r="E12" s="169" t="s">
        <v>1699</v>
      </c>
      <c r="F12" s="169" t="s">
        <v>1700</v>
      </c>
      <c r="G12" s="170" t="s">
        <v>1701</v>
      </c>
      <c r="H12" s="171" t="s">
        <v>1702</v>
      </c>
      <c r="I12" s="172" t="s">
        <v>1701</v>
      </c>
      <c r="J12" s="173" t="s">
        <v>1702</v>
      </c>
      <c r="O12" s="512"/>
      <c r="P12" s="512"/>
      <c r="T12" s="671"/>
    </row>
    <row r="13" spans="1:20" ht="13.5" thickBot="1">
      <c r="A13" s="174"/>
      <c r="B13" s="175"/>
      <c r="C13" s="176"/>
      <c r="D13" s="176"/>
      <c r="E13" s="175"/>
      <c r="F13" s="175"/>
      <c r="G13" s="175"/>
      <c r="H13" s="175"/>
      <c r="I13" s="177"/>
      <c r="J13" s="178"/>
      <c r="O13" s="511"/>
      <c r="P13" s="511"/>
      <c r="T13" s="670"/>
    </row>
    <row r="14" spans="1:20" s="18" customFormat="1" ht="16.5" customHeight="1" thickBot="1">
      <c r="A14" s="25"/>
      <c r="B14" s="179"/>
      <c r="C14" s="179" t="s">
        <v>1703</v>
      </c>
      <c r="D14" s="179"/>
      <c r="E14" s="180"/>
      <c r="F14" s="180"/>
      <c r="G14" s="181"/>
      <c r="H14" s="182">
        <f>H15</f>
        <v>0</v>
      </c>
      <c r="I14" s="183"/>
      <c r="J14" s="184"/>
      <c r="O14" s="512"/>
      <c r="P14" s="512"/>
      <c r="T14" s="671"/>
    </row>
    <row r="15" spans="1:20" ht="16.5" customHeight="1" thickBot="1">
      <c r="A15" s="226" t="s">
        <v>1704</v>
      </c>
      <c r="B15" s="175" t="s">
        <v>353</v>
      </c>
      <c r="C15" s="176" t="s">
        <v>354</v>
      </c>
      <c r="D15" s="176"/>
      <c r="E15" s="175"/>
      <c r="F15" s="175"/>
      <c r="G15" s="175"/>
      <c r="H15" s="185">
        <f>SUM(H17:H61)</f>
        <v>0</v>
      </c>
      <c r="I15" s="177"/>
      <c r="J15" s="178">
        <f>SUM(J17:J55)</f>
        <v>0</v>
      </c>
      <c r="O15" s="511"/>
      <c r="P15" s="511"/>
      <c r="T15" s="670"/>
    </row>
    <row r="16" spans="1:20" s="22" customFormat="1" ht="17.25" customHeight="1">
      <c r="A16" s="190"/>
      <c r="B16" s="191"/>
      <c r="C16" s="191"/>
      <c r="D16" s="191"/>
      <c r="E16" s="192"/>
      <c r="F16" s="193"/>
      <c r="G16" s="193"/>
      <c r="H16" s="193"/>
      <c r="I16" s="194"/>
      <c r="J16" s="195"/>
      <c r="T16" s="509"/>
    </row>
    <row r="17" spans="1:20" s="22" customFormat="1" ht="32.25" customHeight="1">
      <c r="A17" s="196" t="s">
        <v>1706</v>
      </c>
      <c r="B17" s="197" t="s">
        <v>355</v>
      </c>
      <c r="C17" s="199" t="s">
        <v>356</v>
      </c>
      <c r="D17" s="197"/>
      <c r="E17" s="198" t="s">
        <v>624</v>
      </c>
      <c r="F17" s="332">
        <v>102.5</v>
      </c>
      <c r="G17" s="332"/>
      <c r="H17" s="332">
        <f>F17*G17</f>
        <v>0</v>
      </c>
      <c r="I17" s="333"/>
      <c r="J17" s="334"/>
      <c r="T17" s="509"/>
    </row>
    <row r="18" spans="1:20" s="22" customFormat="1" ht="35.25" customHeight="1">
      <c r="A18" s="196" t="s">
        <v>1711</v>
      </c>
      <c r="B18" s="197" t="s">
        <v>357</v>
      </c>
      <c r="C18" s="199" t="s">
        <v>358</v>
      </c>
      <c r="D18" s="197"/>
      <c r="E18" s="198" t="s">
        <v>1826</v>
      </c>
      <c r="F18" s="332">
        <v>54</v>
      </c>
      <c r="G18" s="332"/>
      <c r="H18" s="332">
        <f>F18*G18</f>
        <v>0</v>
      </c>
      <c r="I18" s="333"/>
      <c r="J18" s="334"/>
      <c r="T18" s="509"/>
    </row>
    <row r="19" spans="1:20" s="22" customFormat="1" ht="21.75" customHeight="1">
      <c r="A19" s="196" t="s">
        <v>1715</v>
      </c>
      <c r="B19" s="197" t="s">
        <v>359</v>
      </c>
      <c r="C19" s="199" t="s">
        <v>360</v>
      </c>
      <c r="D19" s="197"/>
      <c r="E19" s="198" t="s">
        <v>2331</v>
      </c>
      <c r="F19" s="332">
        <v>19</v>
      </c>
      <c r="G19" s="332"/>
      <c r="H19" s="332">
        <f>F19*G19</f>
        <v>0</v>
      </c>
      <c r="I19" s="333"/>
      <c r="J19" s="334"/>
      <c r="T19" s="509"/>
    </row>
    <row r="20" spans="1:20" s="22" customFormat="1" ht="15.75" customHeight="1">
      <c r="A20" s="196" t="s">
        <v>1715</v>
      </c>
      <c r="B20" s="197"/>
      <c r="C20" s="199" t="s">
        <v>276</v>
      </c>
      <c r="D20" s="197"/>
      <c r="E20" s="198"/>
      <c r="F20" s="332"/>
      <c r="G20" s="332"/>
      <c r="H20" s="332"/>
      <c r="I20" s="333"/>
      <c r="J20" s="334"/>
      <c r="T20" s="509"/>
    </row>
    <row r="21" spans="1:20" s="22" customFormat="1" ht="24">
      <c r="A21" s="196" t="s">
        <v>1715</v>
      </c>
      <c r="B21" s="197"/>
      <c r="C21" s="199" t="s">
        <v>361</v>
      </c>
      <c r="D21" s="197"/>
      <c r="E21" s="198"/>
      <c r="F21" s="332"/>
      <c r="G21" s="332"/>
      <c r="H21" s="332"/>
      <c r="I21" s="333"/>
      <c r="J21" s="334"/>
      <c r="T21" s="509"/>
    </row>
    <row r="22" spans="1:20" s="22" customFormat="1" ht="24">
      <c r="A22" s="196" t="s">
        <v>1715</v>
      </c>
      <c r="B22" s="197"/>
      <c r="C22" s="199" t="s">
        <v>362</v>
      </c>
      <c r="D22" s="197"/>
      <c r="E22" s="198"/>
      <c r="F22" s="332"/>
      <c r="G22" s="332"/>
      <c r="H22" s="332"/>
      <c r="I22" s="333"/>
      <c r="J22" s="334"/>
      <c r="T22" s="509"/>
    </row>
    <row r="23" spans="1:20" s="22" customFormat="1" ht="15" customHeight="1">
      <c r="A23" s="196" t="s">
        <v>1715</v>
      </c>
      <c r="B23" s="197"/>
      <c r="C23" s="199" t="s">
        <v>363</v>
      </c>
      <c r="D23" s="197"/>
      <c r="E23" s="198"/>
      <c r="F23" s="332"/>
      <c r="G23" s="332"/>
      <c r="H23" s="332"/>
      <c r="I23" s="333"/>
      <c r="J23" s="334"/>
      <c r="T23" s="509"/>
    </row>
    <row r="24" spans="1:20" s="22" customFormat="1" ht="15" customHeight="1">
      <c r="A24" s="196" t="s">
        <v>1715</v>
      </c>
      <c r="B24" s="197"/>
      <c r="C24" s="199" t="s">
        <v>280</v>
      </c>
      <c r="D24" s="197"/>
      <c r="E24" s="198"/>
      <c r="F24" s="332"/>
      <c r="G24" s="332"/>
      <c r="H24" s="332"/>
      <c r="I24" s="333"/>
      <c r="J24" s="334"/>
      <c r="T24" s="509"/>
    </row>
    <row r="25" spans="1:20" s="22" customFormat="1" ht="15" customHeight="1">
      <c r="A25" s="196" t="s">
        <v>1715</v>
      </c>
      <c r="B25" s="197"/>
      <c r="C25" s="199" t="s">
        <v>281</v>
      </c>
      <c r="D25" s="197"/>
      <c r="E25" s="198"/>
      <c r="F25" s="332"/>
      <c r="G25" s="332"/>
      <c r="H25" s="332"/>
      <c r="I25" s="333"/>
      <c r="J25" s="334"/>
      <c r="T25" s="509"/>
    </row>
    <row r="26" spans="1:20" s="22" customFormat="1" ht="21.75" customHeight="1">
      <c r="A26" s="196" t="s">
        <v>1715</v>
      </c>
      <c r="B26" s="197" t="s">
        <v>364</v>
      </c>
      <c r="C26" s="199" t="s">
        <v>360</v>
      </c>
      <c r="D26" s="197"/>
      <c r="E26" s="198" t="s">
        <v>2331</v>
      </c>
      <c r="F26" s="332">
        <v>3</v>
      </c>
      <c r="G26" s="332"/>
      <c r="H26" s="332">
        <f>F26*G26</f>
        <v>0</v>
      </c>
      <c r="I26" s="333"/>
      <c r="J26" s="334"/>
      <c r="T26" s="509"/>
    </row>
    <row r="27" spans="1:20" s="22" customFormat="1" ht="15.75" customHeight="1">
      <c r="A27" s="196" t="s">
        <v>1715</v>
      </c>
      <c r="B27" s="197"/>
      <c r="C27" s="199" t="s">
        <v>276</v>
      </c>
      <c r="D27" s="197"/>
      <c r="E27" s="198"/>
      <c r="F27" s="332"/>
      <c r="G27" s="332"/>
      <c r="H27" s="332"/>
      <c r="I27" s="333"/>
      <c r="J27" s="334"/>
      <c r="T27" s="509"/>
    </row>
    <row r="28" spans="1:20" s="22" customFormat="1" ht="24">
      <c r="A28" s="196" t="s">
        <v>1715</v>
      </c>
      <c r="B28" s="197"/>
      <c r="C28" s="199" t="s">
        <v>365</v>
      </c>
      <c r="D28" s="197"/>
      <c r="E28" s="198"/>
      <c r="F28" s="332"/>
      <c r="G28" s="332"/>
      <c r="H28" s="332"/>
      <c r="I28" s="333"/>
      <c r="J28" s="334"/>
      <c r="T28" s="509"/>
    </row>
    <row r="29" spans="1:20" s="22" customFormat="1" ht="24">
      <c r="A29" s="196" t="s">
        <v>1715</v>
      </c>
      <c r="B29" s="197"/>
      <c r="C29" s="199" t="s">
        <v>362</v>
      </c>
      <c r="D29" s="197"/>
      <c r="E29" s="198"/>
      <c r="F29" s="332"/>
      <c r="G29" s="332"/>
      <c r="H29" s="332"/>
      <c r="I29" s="333"/>
      <c r="J29" s="334"/>
      <c r="T29" s="509"/>
    </row>
    <row r="30" spans="1:20" s="22" customFormat="1" ht="15" customHeight="1">
      <c r="A30" s="196" t="s">
        <v>1715</v>
      </c>
      <c r="B30" s="197"/>
      <c r="C30" s="199" t="s">
        <v>363</v>
      </c>
      <c r="D30" s="197"/>
      <c r="E30" s="198"/>
      <c r="F30" s="332"/>
      <c r="G30" s="332"/>
      <c r="H30" s="332"/>
      <c r="I30" s="333"/>
      <c r="J30" s="334"/>
      <c r="T30" s="509"/>
    </row>
    <row r="31" spans="1:20" s="22" customFormat="1" ht="15" customHeight="1">
      <c r="A31" s="196" t="s">
        <v>1715</v>
      </c>
      <c r="B31" s="197"/>
      <c r="C31" s="199" t="s">
        <v>280</v>
      </c>
      <c r="D31" s="197"/>
      <c r="E31" s="198"/>
      <c r="F31" s="332"/>
      <c r="G31" s="332"/>
      <c r="H31" s="332"/>
      <c r="I31" s="333"/>
      <c r="J31" s="334"/>
      <c r="T31" s="509"/>
    </row>
    <row r="32" spans="1:20" s="22" customFormat="1" ht="15" customHeight="1">
      <c r="A32" s="196" t="s">
        <v>1715</v>
      </c>
      <c r="B32" s="197"/>
      <c r="C32" s="199" t="s">
        <v>281</v>
      </c>
      <c r="D32" s="197"/>
      <c r="E32" s="198"/>
      <c r="F32" s="332"/>
      <c r="G32" s="332"/>
      <c r="H32" s="332"/>
      <c r="I32" s="333"/>
      <c r="J32" s="334"/>
      <c r="T32" s="509"/>
    </row>
    <row r="33" spans="1:20" s="22" customFormat="1" ht="21.75" customHeight="1">
      <c r="A33" s="196" t="s">
        <v>1715</v>
      </c>
      <c r="B33" s="197" t="s">
        <v>366</v>
      </c>
      <c r="C33" s="199" t="s">
        <v>367</v>
      </c>
      <c r="D33" s="197"/>
      <c r="E33" s="198" t="s">
        <v>2331</v>
      </c>
      <c r="F33" s="332">
        <v>7</v>
      </c>
      <c r="G33" s="332"/>
      <c r="H33" s="332">
        <f>F33*G33</f>
        <v>0</v>
      </c>
      <c r="I33" s="333"/>
      <c r="J33" s="334"/>
      <c r="T33" s="509"/>
    </row>
    <row r="34" spans="1:20" s="22" customFormat="1" ht="15.75" customHeight="1">
      <c r="A34" s="196" t="s">
        <v>1715</v>
      </c>
      <c r="B34" s="197"/>
      <c r="C34" s="199" t="s">
        <v>276</v>
      </c>
      <c r="D34" s="197"/>
      <c r="E34" s="198"/>
      <c r="F34" s="332"/>
      <c r="G34" s="332"/>
      <c r="H34" s="332"/>
      <c r="I34" s="333"/>
      <c r="J34" s="334"/>
      <c r="T34" s="509"/>
    </row>
    <row r="35" spans="1:20" s="22" customFormat="1" ht="21.75" customHeight="1">
      <c r="A35" s="196" t="s">
        <v>1715</v>
      </c>
      <c r="B35" s="197"/>
      <c r="C35" s="199" t="s">
        <v>368</v>
      </c>
      <c r="D35" s="197"/>
      <c r="E35" s="198"/>
      <c r="F35" s="332"/>
      <c r="G35" s="332"/>
      <c r="H35" s="332"/>
      <c r="I35" s="333"/>
      <c r="J35" s="334"/>
      <c r="T35" s="509"/>
    </row>
    <row r="36" spans="1:20" s="22" customFormat="1" ht="26.25" customHeight="1">
      <c r="A36" s="196" t="s">
        <v>1715</v>
      </c>
      <c r="B36" s="197"/>
      <c r="C36" s="199" t="s">
        <v>369</v>
      </c>
      <c r="D36" s="197"/>
      <c r="E36" s="198"/>
      <c r="F36" s="332"/>
      <c r="G36" s="332"/>
      <c r="H36" s="332"/>
      <c r="I36" s="333"/>
      <c r="J36" s="334"/>
      <c r="T36" s="509"/>
    </row>
    <row r="37" spans="1:20" s="22" customFormat="1" ht="26.25" customHeight="1">
      <c r="A37" s="196" t="s">
        <v>1715</v>
      </c>
      <c r="B37" s="197"/>
      <c r="C37" s="199" t="s">
        <v>370</v>
      </c>
      <c r="D37" s="197"/>
      <c r="E37" s="198"/>
      <c r="F37" s="332"/>
      <c r="G37" s="332"/>
      <c r="H37" s="332"/>
      <c r="I37" s="333"/>
      <c r="J37" s="334"/>
      <c r="T37" s="509"/>
    </row>
    <row r="38" spans="1:20" s="22" customFormat="1" ht="17.25" customHeight="1">
      <c r="A38" s="196" t="s">
        <v>1715</v>
      </c>
      <c r="B38" s="197"/>
      <c r="C38" s="199" t="s">
        <v>363</v>
      </c>
      <c r="D38" s="197"/>
      <c r="E38" s="198"/>
      <c r="F38" s="332"/>
      <c r="G38" s="332"/>
      <c r="H38" s="332"/>
      <c r="I38" s="333"/>
      <c r="J38" s="334"/>
      <c r="T38" s="509"/>
    </row>
    <row r="39" spans="1:20" s="22" customFormat="1" ht="17.25" customHeight="1">
      <c r="A39" s="196" t="s">
        <v>1715</v>
      </c>
      <c r="B39" s="197"/>
      <c r="C39" s="199" t="s">
        <v>281</v>
      </c>
      <c r="D39" s="197"/>
      <c r="E39" s="198"/>
      <c r="F39" s="332"/>
      <c r="G39" s="332"/>
      <c r="H39" s="332"/>
      <c r="I39" s="333"/>
      <c r="J39" s="334"/>
      <c r="T39" s="509"/>
    </row>
    <row r="40" spans="1:20" s="22" customFormat="1" ht="21.75" customHeight="1">
      <c r="A40" s="196" t="s">
        <v>1715</v>
      </c>
      <c r="B40" s="197" t="s">
        <v>371</v>
      </c>
      <c r="C40" s="199" t="s">
        <v>372</v>
      </c>
      <c r="D40" s="197"/>
      <c r="E40" s="198" t="s">
        <v>2331</v>
      </c>
      <c r="F40" s="332">
        <v>9</v>
      </c>
      <c r="G40" s="332"/>
      <c r="H40" s="332">
        <f>F40*G40</f>
        <v>0</v>
      </c>
      <c r="I40" s="333"/>
      <c r="J40" s="334"/>
      <c r="T40" s="509"/>
    </row>
    <row r="41" spans="1:20" s="22" customFormat="1" ht="16.5" customHeight="1">
      <c r="A41" s="196" t="s">
        <v>1715</v>
      </c>
      <c r="B41" s="197"/>
      <c r="C41" s="199" t="s">
        <v>276</v>
      </c>
      <c r="D41" s="197"/>
      <c r="E41" s="198"/>
      <c r="F41" s="332"/>
      <c r="G41" s="332"/>
      <c r="H41" s="332"/>
      <c r="I41" s="333"/>
      <c r="J41" s="334"/>
      <c r="T41" s="509"/>
    </row>
    <row r="42" spans="1:20" s="22" customFormat="1" ht="16.5" customHeight="1">
      <c r="A42" s="196" t="s">
        <v>1715</v>
      </c>
      <c r="B42" s="197"/>
      <c r="C42" s="199" t="s">
        <v>373</v>
      </c>
      <c r="D42" s="197"/>
      <c r="E42" s="198"/>
      <c r="F42" s="332"/>
      <c r="G42" s="332"/>
      <c r="H42" s="332"/>
      <c r="I42" s="333"/>
      <c r="J42" s="334"/>
      <c r="T42" s="509"/>
    </row>
    <row r="43" spans="1:20" s="22" customFormat="1" ht="24">
      <c r="A43" s="196" t="s">
        <v>1715</v>
      </c>
      <c r="B43" s="197"/>
      <c r="C43" s="199" t="s">
        <v>374</v>
      </c>
      <c r="D43" s="197"/>
      <c r="E43" s="198"/>
      <c r="F43" s="332"/>
      <c r="G43" s="332"/>
      <c r="H43" s="332"/>
      <c r="I43" s="333"/>
      <c r="J43" s="334"/>
      <c r="T43" s="509"/>
    </row>
    <row r="44" spans="1:20" s="22" customFormat="1" ht="24">
      <c r="A44" s="196" t="s">
        <v>1715</v>
      </c>
      <c r="B44" s="197"/>
      <c r="C44" s="199" t="s">
        <v>370</v>
      </c>
      <c r="D44" s="197"/>
      <c r="E44" s="198"/>
      <c r="F44" s="332"/>
      <c r="G44" s="332"/>
      <c r="H44" s="332"/>
      <c r="I44" s="333"/>
      <c r="J44" s="334"/>
      <c r="T44" s="509"/>
    </row>
    <row r="45" spans="1:20" s="22" customFormat="1" ht="16.5" customHeight="1">
      <c r="A45" s="196" t="s">
        <v>1715</v>
      </c>
      <c r="B45" s="197"/>
      <c r="C45" s="199" t="s">
        <v>363</v>
      </c>
      <c r="D45" s="197"/>
      <c r="E45" s="198"/>
      <c r="F45" s="332"/>
      <c r="G45" s="332"/>
      <c r="H45" s="332"/>
      <c r="I45" s="333"/>
      <c r="J45" s="334"/>
      <c r="T45" s="509"/>
    </row>
    <row r="46" spans="1:20" s="22" customFormat="1" ht="16.5" customHeight="1">
      <c r="A46" s="196" t="s">
        <v>1715</v>
      </c>
      <c r="B46" s="197"/>
      <c r="C46" s="199" t="s">
        <v>281</v>
      </c>
      <c r="D46" s="197"/>
      <c r="E46" s="198"/>
      <c r="F46" s="332"/>
      <c r="G46" s="332"/>
      <c r="H46" s="332"/>
      <c r="I46" s="333"/>
      <c r="J46" s="334"/>
      <c r="T46" s="509"/>
    </row>
    <row r="47" spans="1:20" s="22" customFormat="1" ht="27" customHeight="1">
      <c r="A47" s="196" t="s">
        <v>1715</v>
      </c>
      <c r="B47" s="197" t="s">
        <v>375</v>
      </c>
      <c r="C47" s="199" t="s">
        <v>376</v>
      </c>
      <c r="D47" s="197"/>
      <c r="E47" s="198" t="s">
        <v>2331</v>
      </c>
      <c r="F47" s="332">
        <v>6</v>
      </c>
      <c r="G47" s="332"/>
      <c r="H47" s="332">
        <f>F47*G47</f>
        <v>0</v>
      </c>
      <c r="I47" s="333"/>
      <c r="J47" s="334"/>
      <c r="T47" s="509"/>
    </row>
    <row r="48" spans="1:20" s="22" customFormat="1" ht="15.75" customHeight="1">
      <c r="A48" s="196" t="s">
        <v>1715</v>
      </c>
      <c r="B48" s="197"/>
      <c r="C48" s="199" t="s">
        <v>276</v>
      </c>
      <c r="D48" s="197"/>
      <c r="E48" s="198"/>
      <c r="F48" s="332"/>
      <c r="G48" s="332"/>
      <c r="H48" s="332"/>
      <c r="I48" s="333"/>
      <c r="J48" s="334"/>
      <c r="T48" s="509"/>
    </row>
    <row r="49" spans="1:20" s="22" customFormat="1" ht="15" customHeight="1">
      <c r="A49" s="196" t="s">
        <v>1715</v>
      </c>
      <c r="B49" s="197"/>
      <c r="C49" s="199" t="s">
        <v>373</v>
      </c>
      <c r="D49" s="197"/>
      <c r="E49" s="198"/>
      <c r="F49" s="332"/>
      <c r="G49" s="332"/>
      <c r="H49" s="332"/>
      <c r="I49" s="333"/>
      <c r="J49" s="334"/>
      <c r="T49" s="509"/>
    </row>
    <row r="50" spans="1:20" s="22" customFormat="1" ht="25.5" customHeight="1">
      <c r="A50" s="196" t="s">
        <v>1715</v>
      </c>
      <c r="B50" s="197"/>
      <c r="C50" s="199" t="s">
        <v>374</v>
      </c>
      <c r="D50" s="197"/>
      <c r="E50" s="198"/>
      <c r="F50" s="332"/>
      <c r="G50" s="332"/>
      <c r="H50" s="332"/>
      <c r="I50" s="333"/>
      <c r="J50" s="334"/>
      <c r="T50" s="509"/>
    </row>
    <row r="51" spans="1:20" s="22" customFormat="1" ht="26.25" customHeight="1">
      <c r="A51" s="196" t="s">
        <v>1715</v>
      </c>
      <c r="B51" s="197"/>
      <c r="C51" s="199" t="s">
        <v>370</v>
      </c>
      <c r="D51" s="197"/>
      <c r="E51" s="198"/>
      <c r="F51" s="332"/>
      <c r="G51" s="332"/>
      <c r="H51" s="332"/>
      <c r="I51" s="333"/>
      <c r="J51" s="334"/>
      <c r="T51" s="509"/>
    </row>
    <row r="52" spans="1:20" s="22" customFormat="1" ht="16.5" customHeight="1">
      <c r="A52" s="196" t="s">
        <v>1715</v>
      </c>
      <c r="B52" s="197"/>
      <c r="C52" s="199" t="s">
        <v>363</v>
      </c>
      <c r="D52" s="197"/>
      <c r="E52" s="198"/>
      <c r="F52" s="332"/>
      <c r="G52" s="332"/>
      <c r="H52" s="332"/>
      <c r="I52" s="333"/>
      <c r="J52" s="334"/>
      <c r="T52" s="509"/>
    </row>
    <row r="53" spans="1:20" s="22" customFormat="1" ht="16.5" customHeight="1">
      <c r="A53" s="196" t="s">
        <v>1715</v>
      </c>
      <c r="B53" s="197"/>
      <c r="C53" s="199" t="s">
        <v>281</v>
      </c>
      <c r="D53" s="197"/>
      <c r="E53" s="198"/>
      <c r="F53" s="332"/>
      <c r="G53" s="332"/>
      <c r="H53" s="332"/>
      <c r="I53" s="333"/>
      <c r="J53" s="334"/>
      <c r="T53" s="509"/>
    </row>
    <row r="54" spans="1:20" s="22" customFormat="1" ht="9" customHeight="1">
      <c r="A54" s="196"/>
      <c r="B54" s="197"/>
      <c r="C54" s="197"/>
      <c r="D54" s="197"/>
      <c r="E54" s="198"/>
      <c r="F54" s="332"/>
      <c r="G54" s="332"/>
      <c r="H54" s="332"/>
      <c r="I54" s="333"/>
      <c r="J54" s="334"/>
      <c r="T54" s="509"/>
    </row>
    <row r="55" spans="1:20" s="22" customFormat="1" ht="20.25" customHeight="1">
      <c r="A55" s="196" t="s">
        <v>1719</v>
      </c>
      <c r="B55" s="197" t="s">
        <v>377</v>
      </c>
      <c r="C55" s="199" t="s">
        <v>378</v>
      </c>
      <c r="D55" s="197"/>
      <c r="E55" s="198" t="s">
        <v>2331</v>
      </c>
      <c r="F55" s="332">
        <v>1</v>
      </c>
      <c r="G55" s="332"/>
      <c r="H55" s="332">
        <f aca="true" t="shared" si="0" ref="H55:H61">F55*G55</f>
        <v>0</v>
      </c>
      <c r="I55" s="333"/>
      <c r="J55" s="334"/>
      <c r="T55" s="509"/>
    </row>
    <row r="56" spans="1:20" s="22" customFormat="1" ht="20.25" customHeight="1">
      <c r="A56" s="526"/>
      <c r="B56" s="445" t="s">
        <v>379</v>
      </c>
      <c r="C56" s="446" t="s">
        <v>380</v>
      </c>
      <c r="D56" s="445"/>
      <c r="E56" s="447" t="s">
        <v>1718</v>
      </c>
      <c r="F56" s="448">
        <v>103</v>
      </c>
      <c r="G56" s="448"/>
      <c r="H56" s="332">
        <f t="shared" si="0"/>
        <v>0</v>
      </c>
      <c r="I56" s="449"/>
      <c r="J56" s="450"/>
      <c r="T56" s="509"/>
    </row>
    <row r="57" spans="1:20" s="22" customFormat="1" ht="20.25" customHeight="1">
      <c r="A57" s="526"/>
      <c r="B57" s="445" t="s">
        <v>381</v>
      </c>
      <c r="C57" s="446" t="s">
        <v>382</v>
      </c>
      <c r="D57" s="445"/>
      <c r="E57" s="447" t="s">
        <v>1718</v>
      </c>
      <c r="F57" s="448">
        <v>103</v>
      </c>
      <c r="G57" s="448"/>
      <c r="H57" s="332">
        <f t="shared" si="0"/>
        <v>0</v>
      </c>
      <c r="I57" s="449"/>
      <c r="J57" s="450"/>
      <c r="T57" s="509"/>
    </row>
    <row r="58" spans="1:20" s="22" customFormat="1" ht="20.25" customHeight="1">
      <c r="A58" s="526"/>
      <c r="B58" s="445" t="s">
        <v>383</v>
      </c>
      <c r="C58" s="446" t="s">
        <v>384</v>
      </c>
      <c r="D58" s="445"/>
      <c r="E58" s="447" t="s">
        <v>1718</v>
      </c>
      <c r="F58" s="448">
        <v>103</v>
      </c>
      <c r="G58" s="448"/>
      <c r="H58" s="332">
        <f t="shared" si="0"/>
        <v>0</v>
      </c>
      <c r="I58" s="449"/>
      <c r="J58" s="450"/>
      <c r="T58" s="509"/>
    </row>
    <row r="59" spans="1:20" s="22" customFormat="1" ht="20.25" customHeight="1">
      <c r="A59" s="526"/>
      <c r="B59" s="445" t="s">
        <v>385</v>
      </c>
      <c r="C59" s="446" t="s">
        <v>386</v>
      </c>
      <c r="D59" s="445"/>
      <c r="E59" s="447" t="s">
        <v>387</v>
      </c>
      <c r="F59" s="448">
        <v>0.103</v>
      </c>
      <c r="G59" s="448"/>
      <c r="H59" s="332">
        <f t="shared" si="0"/>
        <v>0</v>
      </c>
      <c r="I59" s="449"/>
      <c r="J59" s="450"/>
      <c r="T59" s="509"/>
    </row>
    <row r="60" spans="1:20" s="22" customFormat="1" ht="20.25" customHeight="1">
      <c r="A60" s="526"/>
      <c r="B60" s="445"/>
      <c r="C60" s="581" t="s">
        <v>388</v>
      </c>
      <c r="D60" s="445"/>
      <c r="E60" s="839" t="s">
        <v>389</v>
      </c>
      <c r="F60" s="448"/>
      <c r="G60" s="448"/>
      <c r="H60" s="448"/>
      <c r="I60" s="449"/>
      <c r="J60" s="450"/>
      <c r="T60" s="509"/>
    </row>
    <row r="61" spans="1:20" s="22" customFormat="1" ht="20.25" customHeight="1">
      <c r="A61" s="526"/>
      <c r="B61" s="445" t="s">
        <v>390</v>
      </c>
      <c r="C61" s="446" t="s">
        <v>391</v>
      </c>
      <c r="D61" s="445"/>
      <c r="E61" s="447" t="s">
        <v>1783</v>
      </c>
      <c r="F61" s="448">
        <v>0.38623</v>
      </c>
      <c r="G61" s="448"/>
      <c r="H61" s="332">
        <f t="shared" si="0"/>
        <v>0</v>
      </c>
      <c r="I61" s="449"/>
      <c r="J61" s="450"/>
      <c r="T61" s="509"/>
    </row>
    <row r="62" spans="1:20" s="240" customFormat="1" ht="21" customHeight="1" thickBot="1">
      <c r="A62" s="234"/>
      <c r="B62" s="235"/>
      <c r="C62" s="236"/>
      <c r="D62" s="237"/>
      <c r="E62" s="237"/>
      <c r="F62" s="680"/>
      <c r="G62" s="680"/>
      <c r="H62" s="358"/>
      <c r="I62" s="358"/>
      <c r="J62" s="359"/>
      <c r="K62" s="238"/>
      <c r="L62" s="238"/>
      <c r="M62" s="239"/>
      <c r="O62" s="514"/>
      <c r="P62" s="514"/>
      <c r="T62" s="239"/>
    </row>
    <row r="63" spans="1:20" ht="16.5" customHeight="1" thickBot="1">
      <c r="A63" s="266"/>
      <c r="B63" s="175"/>
      <c r="C63" s="176"/>
      <c r="D63" s="176"/>
      <c r="E63" s="175"/>
      <c r="F63" s="175"/>
      <c r="G63" s="175"/>
      <c r="H63" s="185"/>
      <c r="I63" s="177"/>
      <c r="J63" s="178"/>
      <c r="O63" s="511"/>
      <c r="P63" s="511"/>
      <c r="T63" s="670"/>
    </row>
    <row r="64" spans="1:20" ht="15">
      <c r="A64" s="24"/>
      <c r="B64" s="186"/>
      <c r="C64" s="186"/>
      <c r="D64" s="186"/>
      <c r="E64" s="187"/>
      <c r="F64" s="186"/>
      <c r="G64" s="186"/>
      <c r="H64" s="186"/>
      <c r="I64" s="188"/>
      <c r="J64" s="189"/>
      <c r="O64" s="511"/>
      <c r="P64" s="511"/>
      <c r="T64" s="670"/>
    </row>
    <row r="65" spans="1:17" s="451" customFormat="1" ht="22.5" customHeight="1" thickBot="1">
      <c r="A65" s="798"/>
      <c r="B65" s="799"/>
      <c r="C65" s="800" t="s">
        <v>716</v>
      </c>
      <c r="D65" s="799"/>
      <c r="E65" s="801"/>
      <c r="F65" s="802"/>
      <c r="G65" s="802"/>
      <c r="H65" s="803">
        <f>H15</f>
        <v>0</v>
      </c>
      <c r="I65" s="804"/>
      <c r="J65" s="805"/>
      <c r="K65" s="806"/>
      <c r="L65" s="806"/>
      <c r="M65" s="806"/>
      <c r="N65" s="806"/>
      <c r="O65" s="806"/>
      <c r="P65" s="806"/>
      <c r="Q65" s="807"/>
    </row>
  </sheetData>
  <mergeCells count="21">
    <mergeCell ref="C6:C7"/>
    <mergeCell ref="D6:E7"/>
    <mergeCell ref="F6:F7"/>
    <mergeCell ref="G6:G7"/>
    <mergeCell ref="D8:F9"/>
    <mergeCell ref="G2:G3"/>
    <mergeCell ref="H4:J5"/>
    <mergeCell ref="G4:G5"/>
    <mergeCell ref="C2:C3"/>
    <mergeCell ref="G11:H11"/>
    <mergeCell ref="I11:J11"/>
    <mergeCell ref="H8:J9"/>
    <mergeCell ref="H2:J3"/>
    <mergeCell ref="H6:J7"/>
    <mergeCell ref="G8:G9"/>
    <mergeCell ref="F4:F5"/>
    <mergeCell ref="D4:E5"/>
    <mergeCell ref="C8:C9"/>
    <mergeCell ref="C4:C5"/>
    <mergeCell ref="D2:E3"/>
    <mergeCell ref="F2:F3"/>
  </mergeCells>
  <printOptions/>
  <pageMargins left="0.4" right="0.36" top="0.59" bottom="0.66" header="0.24" footer="0.24"/>
  <pageSetup horizontalDpi="600" verticalDpi="600" orientation="portrait" paperSize="9" scale="70" r:id="rId1"/>
  <headerFooter alignWithMargins="0">
    <oddFooter>&amp;L&amp;F
&amp;A&amp;C&amp;P/&amp;N</oddFooter>
  </headerFooter>
  <colBreaks count="1" manualBreakCount="1">
    <brk id="10"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62"/>
  <sheetViews>
    <sheetView showGridLines="0" view="pageBreakPreview" zoomScaleSheetLayoutView="100" workbookViewId="0" topLeftCell="A1">
      <selection activeCell="I11" sqref="I11:J11"/>
    </sheetView>
  </sheetViews>
  <sheetFormatPr defaultColWidth="9.140625" defaultRowHeight="12.75"/>
  <cols>
    <col min="1" max="1" width="5.28125" style="28" customWidth="1"/>
    <col min="2" max="2" width="14.28125" style="0" customWidth="1"/>
    <col min="3" max="3" width="42.421875" style="0" customWidth="1"/>
    <col min="4" max="4" width="9.7109375" style="0" customWidth="1"/>
    <col min="5" max="5" width="10.28125" style="33" customWidth="1"/>
    <col min="6" max="6" width="10.57421875" style="0" customWidth="1"/>
    <col min="7" max="7" width="11.57421875" style="0" customWidth="1"/>
    <col min="8" max="8" width="13.7109375" style="0" customWidth="1"/>
    <col min="9" max="9" width="9.140625" style="12" customWidth="1"/>
    <col min="10" max="10" width="10.421875" style="12" customWidth="1"/>
    <col min="15" max="16" width="9.140625" style="513" customWidth="1"/>
    <col min="20" max="20" width="27.140625" style="507" customWidth="1"/>
  </cols>
  <sheetData>
    <row r="1" spans="1:20" ht="23.25">
      <c r="A1" s="23"/>
      <c r="B1" s="13"/>
      <c r="C1" s="14" t="s">
        <v>1683</v>
      </c>
      <c r="D1" s="14"/>
      <c r="E1" s="13"/>
      <c r="F1" s="13"/>
      <c r="G1" s="13"/>
      <c r="H1" s="13"/>
      <c r="I1" s="15"/>
      <c r="J1" s="16"/>
      <c r="O1" s="511"/>
      <c r="P1" s="511"/>
      <c r="T1" s="670"/>
    </row>
    <row r="2" spans="1:20" ht="12.75">
      <c r="A2" s="24"/>
      <c r="B2" s="653"/>
      <c r="C2" s="1310" t="s">
        <v>1684</v>
      </c>
      <c r="D2" s="1308" t="s">
        <v>1685</v>
      </c>
      <c r="E2" s="1308"/>
      <c r="F2" s="1308"/>
      <c r="G2" s="1320" t="s">
        <v>1686</v>
      </c>
      <c r="H2" s="1324" t="s">
        <v>1687</v>
      </c>
      <c r="I2" s="1325"/>
      <c r="J2" s="1326"/>
      <c r="O2" s="511"/>
      <c r="P2" s="511"/>
      <c r="T2" s="670"/>
    </row>
    <row r="3" spans="1:20" ht="12.75">
      <c r="A3" s="24"/>
      <c r="B3" s="652"/>
      <c r="C3" s="1311"/>
      <c r="D3" s="1309"/>
      <c r="E3" s="1309"/>
      <c r="F3" s="1309"/>
      <c r="G3" s="1321"/>
      <c r="H3" s="1316"/>
      <c r="I3" s="1316"/>
      <c r="J3" s="1317"/>
      <c r="O3" s="511"/>
      <c r="P3" s="511"/>
      <c r="T3" s="670"/>
    </row>
    <row r="4" spans="1:20" ht="12.75">
      <c r="A4" s="24"/>
      <c r="B4" s="652"/>
      <c r="C4" s="1309" t="s">
        <v>1688</v>
      </c>
      <c r="D4" s="1309" t="s">
        <v>1689</v>
      </c>
      <c r="E4" s="1309"/>
      <c r="F4" s="1327"/>
      <c r="G4" s="1321" t="s">
        <v>1690</v>
      </c>
      <c r="H4" s="1315" t="s">
        <v>1586</v>
      </c>
      <c r="I4" s="1315"/>
      <c r="J4" s="1328"/>
      <c r="O4" s="511"/>
      <c r="P4" s="511"/>
      <c r="T4" s="670"/>
    </row>
    <row r="5" spans="1:20" ht="12.75">
      <c r="A5" s="24"/>
      <c r="B5" s="652"/>
      <c r="C5" s="1312"/>
      <c r="D5" s="1309"/>
      <c r="E5" s="1309"/>
      <c r="F5" s="1327"/>
      <c r="G5" s="1321"/>
      <c r="H5" s="1315"/>
      <c r="I5" s="1315"/>
      <c r="J5" s="1328"/>
      <c r="O5" s="511"/>
      <c r="P5" s="511"/>
      <c r="T5" s="670"/>
    </row>
    <row r="6" spans="1:20" ht="12.75">
      <c r="A6" s="24"/>
      <c r="B6" s="652"/>
      <c r="C6" s="1309" t="s">
        <v>1580</v>
      </c>
      <c r="D6" s="1309" t="s">
        <v>1691</v>
      </c>
      <c r="E6" s="1309"/>
      <c r="F6" s="1327"/>
      <c r="G6" s="1321" t="s">
        <v>1692</v>
      </c>
      <c r="H6" s="1315"/>
      <c r="I6" s="1316"/>
      <c r="J6" s="1317"/>
      <c r="O6" s="511"/>
      <c r="P6" s="511"/>
      <c r="T6" s="670"/>
    </row>
    <row r="7" spans="1:20" ht="12.75">
      <c r="A7" s="24"/>
      <c r="B7" s="652"/>
      <c r="C7" s="1312"/>
      <c r="D7" s="1309"/>
      <c r="E7" s="1309"/>
      <c r="F7" s="1327"/>
      <c r="G7" s="1321"/>
      <c r="H7" s="1316"/>
      <c r="I7" s="1316"/>
      <c r="J7" s="1317"/>
      <c r="O7" s="511"/>
      <c r="P7" s="511"/>
      <c r="T7" s="670"/>
    </row>
    <row r="8" spans="1:20" ht="12.75">
      <c r="A8" s="24"/>
      <c r="B8" s="652"/>
      <c r="C8" s="1306" t="s">
        <v>392</v>
      </c>
      <c r="D8" s="1333" t="s">
        <v>2832</v>
      </c>
      <c r="E8" s="1334"/>
      <c r="F8" s="1334"/>
      <c r="G8" s="1321" t="s">
        <v>1693</v>
      </c>
      <c r="H8" s="1315" t="s">
        <v>1586</v>
      </c>
      <c r="I8" s="1316"/>
      <c r="J8" s="1317"/>
      <c r="O8" s="511"/>
      <c r="P8" s="511"/>
      <c r="T8" s="670"/>
    </row>
    <row r="9" spans="1:20" ht="41.25" customHeight="1">
      <c r="A9" s="24"/>
      <c r="B9" s="1"/>
      <c r="C9" s="1343"/>
      <c r="D9" s="1335"/>
      <c r="E9" s="1335"/>
      <c r="F9" s="1335"/>
      <c r="G9" s="1338"/>
      <c r="H9" s="1336"/>
      <c r="I9" s="1336"/>
      <c r="J9" s="1337"/>
      <c r="O9" s="511"/>
      <c r="P9" s="511"/>
      <c r="T9" s="670"/>
    </row>
    <row r="10" spans="1:20" ht="13.5" thickBot="1">
      <c r="A10" s="160"/>
      <c r="B10" s="161"/>
      <c r="C10" s="162"/>
      <c r="D10" s="162"/>
      <c r="E10" s="161"/>
      <c r="F10" s="161"/>
      <c r="G10" s="161"/>
      <c r="H10" s="161"/>
      <c r="I10" s="163"/>
      <c r="J10" s="164"/>
      <c r="O10" s="511"/>
      <c r="P10" s="511"/>
      <c r="T10" s="670"/>
    </row>
    <row r="11" spans="1:20" s="18" customFormat="1" ht="12.75">
      <c r="A11" s="25"/>
      <c r="B11" s="17" t="s">
        <v>1694</v>
      </c>
      <c r="C11" s="2" t="s">
        <v>1694</v>
      </c>
      <c r="D11" s="3"/>
      <c r="E11" s="30" t="s">
        <v>1694</v>
      </c>
      <c r="F11" s="2" t="s">
        <v>1694</v>
      </c>
      <c r="G11" s="1322" t="s">
        <v>1695</v>
      </c>
      <c r="H11" s="1323"/>
      <c r="I11" s="1318" t="s">
        <v>1696</v>
      </c>
      <c r="J11" s="1319"/>
      <c r="O11" s="512"/>
      <c r="P11" s="512"/>
      <c r="T11" s="671"/>
    </row>
    <row r="12" spans="1:20" s="18" customFormat="1" ht="13.5" thickBot="1">
      <c r="A12" s="165"/>
      <c r="B12" s="166" t="s">
        <v>1697</v>
      </c>
      <c r="C12" s="167" t="s">
        <v>1698</v>
      </c>
      <c r="D12" s="168"/>
      <c r="E12" s="169" t="s">
        <v>1699</v>
      </c>
      <c r="F12" s="169" t="s">
        <v>1700</v>
      </c>
      <c r="G12" s="170" t="s">
        <v>1701</v>
      </c>
      <c r="H12" s="171" t="s">
        <v>1702</v>
      </c>
      <c r="I12" s="172" t="s">
        <v>1701</v>
      </c>
      <c r="J12" s="173" t="s">
        <v>1702</v>
      </c>
      <c r="O12" s="512"/>
      <c r="P12" s="512"/>
      <c r="T12" s="671"/>
    </row>
    <row r="13" spans="1:20" ht="13.5" thickBot="1">
      <c r="A13" s="174"/>
      <c r="B13" s="175"/>
      <c r="C13" s="176"/>
      <c r="D13" s="176"/>
      <c r="E13" s="175"/>
      <c r="F13" s="175"/>
      <c r="G13" s="175"/>
      <c r="H13" s="175"/>
      <c r="I13" s="177"/>
      <c r="J13" s="178"/>
      <c r="O13" s="511"/>
      <c r="P13" s="511"/>
      <c r="T13" s="670"/>
    </row>
    <row r="14" spans="1:20" s="18" customFormat="1" ht="16.5" customHeight="1" thickBot="1">
      <c r="A14" s="25"/>
      <c r="B14" s="179"/>
      <c r="C14" s="179" t="s">
        <v>1703</v>
      </c>
      <c r="D14" s="179"/>
      <c r="E14" s="180"/>
      <c r="F14" s="180"/>
      <c r="G14" s="181"/>
      <c r="H14" s="182">
        <f>H15+H31+H55</f>
        <v>0</v>
      </c>
      <c r="I14" s="183"/>
      <c r="J14" s="184"/>
      <c r="O14" s="512"/>
      <c r="P14" s="512"/>
      <c r="T14" s="671"/>
    </row>
    <row r="15" spans="1:20" ht="16.5" customHeight="1" thickBot="1">
      <c r="A15" s="226" t="s">
        <v>1611</v>
      </c>
      <c r="B15" s="175" t="s">
        <v>708</v>
      </c>
      <c r="C15" s="176" t="s">
        <v>709</v>
      </c>
      <c r="D15" s="176"/>
      <c r="E15" s="175"/>
      <c r="F15" s="175"/>
      <c r="G15" s="175"/>
      <c r="H15" s="185">
        <f>SUM(H17:H29)</f>
        <v>0</v>
      </c>
      <c r="I15" s="177"/>
      <c r="J15" s="178">
        <f>SUM(J17:J29)</f>
        <v>0</v>
      </c>
      <c r="O15" s="511"/>
      <c r="P15" s="511"/>
      <c r="T15" s="670"/>
    </row>
    <row r="16" spans="1:20" s="22" customFormat="1" ht="14.25" customHeight="1">
      <c r="A16" s="190"/>
      <c r="B16" s="191"/>
      <c r="C16" s="191"/>
      <c r="D16" s="191"/>
      <c r="E16" s="192"/>
      <c r="F16" s="193"/>
      <c r="G16" s="193"/>
      <c r="H16" s="193"/>
      <c r="I16" s="194"/>
      <c r="J16" s="195"/>
      <c r="T16" s="509"/>
    </row>
    <row r="17" spans="1:20" s="534" customFormat="1" ht="16.5" customHeight="1">
      <c r="A17" s="527"/>
      <c r="B17" s="528"/>
      <c r="C17" s="529" t="s">
        <v>393</v>
      </c>
      <c r="D17" s="528"/>
      <c r="E17" s="530"/>
      <c r="F17" s="531"/>
      <c r="G17" s="531"/>
      <c r="H17" s="531"/>
      <c r="I17" s="532"/>
      <c r="J17" s="533"/>
      <c r="T17" s="535"/>
    </row>
    <row r="18" spans="1:20" s="22" customFormat="1" ht="30" customHeight="1">
      <c r="A18" s="196" t="s">
        <v>1706</v>
      </c>
      <c r="B18" s="197" t="s">
        <v>394</v>
      </c>
      <c r="C18" s="199" t="s">
        <v>395</v>
      </c>
      <c r="D18" s="197"/>
      <c r="E18" s="198" t="s">
        <v>1826</v>
      </c>
      <c r="F18" s="332">
        <v>816</v>
      </c>
      <c r="G18" s="332"/>
      <c r="H18" s="332">
        <f>F18*G18</f>
        <v>0</v>
      </c>
      <c r="I18" s="333"/>
      <c r="J18" s="334"/>
      <c r="T18" s="509"/>
    </row>
    <row r="19" spans="1:20" s="22" customFormat="1" ht="33" customHeight="1">
      <c r="A19" s="196" t="s">
        <v>1711</v>
      </c>
      <c r="B19" s="197" t="s">
        <v>396</v>
      </c>
      <c r="C19" s="199" t="s">
        <v>397</v>
      </c>
      <c r="D19" s="197"/>
      <c r="E19" s="198" t="s">
        <v>1826</v>
      </c>
      <c r="F19" s="332">
        <v>44</v>
      </c>
      <c r="G19" s="332"/>
      <c r="H19" s="332">
        <f>F19*G19</f>
        <v>0</v>
      </c>
      <c r="I19" s="333"/>
      <c r="J19" s="334"/>
      <c r="T19" s="509"/>
    </row>
    <row r="20" spans="1:20" s="534" customFormat="1" ht="17.25" customHeight="1">
      <c r="A20" s="527"/>
      <c r="B20" s="528"/>
      <c r="C20" s="529" t="s">
        <v>398</v>
      </c>
      <c r="D20" s="528"/>
      <c r="E20" s="530"/>
      <c r="F20" s="531"/>
      <c r="G20" s="531"/>
      <c r="H20" s="531"/>
      <c r="I20" s="532"/>
      <c r="J20" s="533"/>
      <c r="T20" s="535"/>
    </row>
    <row r="21" spans="1:20" s="22" customFormat="1" ht="30" customHeight="1">
      <c r="A21" s="196" t="s">
        <v>1715</v>
      </c>
      <c r="B21" s="197" t="s">
        <v>399</v>
      </c>
      <c r="C21" s="199" t="s">
        <v>400</v>
      </c>
      <c r="D21" s="197"/>
      <c r="E21" s="198" t="s">
        <v>1718</v>
      </c>
      <c r="F21" s="332">
        <v>22</v>
      </c>
      <c r="G21" s="332"/>
      <c r="H21" s="332">
        <f aca="true" t="shared" si="0" ref="H21:H27">F21*G21</f>
        <v>0</v>
      </c>
      <c r="I21" s="333"/>
      <c r="J21" s="334"/>
      <c r="T21" s="509"/>
    </row>
    <row r="22" spans="1:20" s="534" customFormat="1" ht="17.25" customHeight="1">
      <c r="A22" s="527"/>
      <c r="B22" s="528"/>
      <c r="C22" s="529" t="s">
        <v>401</v>
      </c>
      <c r="D22" s="528"/>
      <c r="E22" s="530"/>
      <c r="F22" s="531"/>
      <c r="G22" s="531"/>
      <c r="H22" s="531"/>
      <c r="I22" s="532"/>
      <c r="J22" s="533"/>
      <c r="T22" s="535"/>
    </row>
    <row r="23" spans="1:20" s="22" customFormat="1" ht="17.25" customHeight="1">
      <c r="A23" s="196" t="s">
        <v>1719</v>
      </c>
      <c r="B23" s="197" t="s">
        <v>402</v>
      </c>
      <c r="C23" s="199" t="s">
        <v>403</v>
      </c>
      <c r="D23" s="197"/>
      <c r="E23" s="198" t="s">
        <v>1826</v>
      </c>
      <c r="F23" s="332">
        <v>44</v>
      </c>
      <c r="G23" s="332"/>
      <c r="H23" s="332">
        <f t="shared" si="0"/>
        <v>0</v>
      </c>
      <c r="I23" s="333"/>
      <c r="J23" s="334"/>
      <c r="T23" s="509"/>
    </row>
    <row r="24" spans="1:20" s="534" customFormat="1" ht="17.25" customHeight="1">
      <c r="A24" s="527"/>
      <c r="B24" s="528"/>
      <c r="C24" s="529" t="s">
        <v>404</v>
      </c>
      <c r="D24" s="528"/>
      <c r="E24" s="530"/>
      <c r="F24" s="531"/>
      <c r="G24" s="531"/>
      <c r="H24" s="531"/>
      <c r="I24" s="532"/>
      <c r="J24" s="533"/>
      <c r="T24" s="535"/>
    </row>
    <row r="25" spans="1:20" s="22" customFormat="1" ht="15" customHeight="1">
      <c r="A25" s="196" t="s">
        <v>1722</v>
      </c>
      <c r="B25" s="197" t="s">
        <v>405</v>
      </c>
      <c r="C25" s="199" t="s">
        <v>406</v>
      </c>
      <c r="D25" s="197"/>
      <c r="E25" s="198" t="s">
        <v>1826</v>
      </c>
      <c r="F25" s="332">
        <v>316</v>
      </c>
      <c r="G25" s="332"/>
      <c r="H25" s="332">
        <f t="shared" si="0"/>
        <v>0</v>
      </c>
      <c r="I25" s="333"/>
      <c r="J25" s="334"/>
      <c r="T25" s="509"/>
    </row>
    <row r="26" spans="1:20" s="534" customFormat="1" ht="17.25" customHeight="1">
      <c r="A26" s="527"/>
      <c r="B26" s="528"/>
      <c r="C26" s="529" t="s">
        <v>407</v>
      </c>
      <c r="D26" s="528"/>
      <c r="E26" s="530"/>
      <c r="F26" s="531"/>
      <c r="G26" s="531"/>
      <c r="H26" s="531"/>
      <c r="I26" s="532"/>
      <c r="J26" s="533"/>
      <c r="T26" s="535"/>
    </row>
    <row r="27" spans="1:20" s="22" customFormat="1" ht="15" customHeight="1">
      <c r="A27" s="196" t="s">
        <v>1725</v>
      </c>
      <c r="B27" s="197"/>
      <c r="C27" s="199" t="s">
        <v>408</v>
      </c>
      <c r="D27" s="197"/>
      <c r="E27" s="198" t="s">
        <v>1826</v>
      </c>
      <c r="F27" s="332">
        <v>44</v>
      </c>
      <c r="G27" s="332"/>
      <c r="H27" s="332">
        <f t="shared" si="0"/>
        <v>0</v>
      </c>
      <c r="I27" s="333"/>
      <c r="J27" s="334"/>
      <c r="T27" s="509"/>
    </row>
    <row r="28" spans="1:20" s="534" customFormat="1" ht="17.25" customHeight="1">
      <c r="A28" s="527"/>
      <c r="B28" s="528"/>
      <c r="C28" s="529" t="s">
        <v>409</v>
      </c>
      <c r="D28" s="528"/>
      <c r="E28" s="530"/>
      <c r="F28" s="531"/>
      <c r="G28" s="531"/>
      <c r="H28" s="531"/>
      <c r="I28" s="532"/>
      <c r="J28" s="533"/>
      <c r="T28" s="535"/>
    </row>
    <row r="29" spans="1:20" s="22" customFormat="1" ht="15" customHeight="1">
      <c r="A29" s="196" t="s">
        <v>1728</v>
      </c>
      <c r="B29" s="197"/>
      <c r="C29" s="199" t="s">
        <v>410</v>
      </c>
      <c r="D29" s="197"/>
      <c r="E29" s="198" t="s">
        <v>1826</v>
      </c>
      <c r="F29" s="332">
        <v>615</v>
      </c>
      <c r="G29" s="332"/>
      <c r="H29" s="332">
        <f>F29*G29</f>
        <v>0</v>
      </c>
      <c r="I29" s="333"/>
      <c r="J29" s="334"/>
      <c r="T29" s="509"/>
    </row>
    <row r="30" spans="1:20" s="240" customFormat="1" ht="14.25" customHeight="1" thickBot="1">
      <c r="A30" s="234"/>
      <c r="B30" s="235"/>
      <c r="C30" s="236"/>
      <c r="D30" s="237"/>
      <c r="E30" s="237"/>
      <c r="F30" s="680"/>
      <c r="G30" s="680"/>
      <c r="H30" s="358"/>
      <c r="I30" s="358"/>
      <c r="J30" s="359"/>
      <c r="K30" s="238"/>
      <c r="L30" s="238"/>
      <c r="M30" s="239"/>
      <c r="O30" s="514"/>
      <c r="P30" s="514"/>
      <c r="T30" s="239"/>
    </row>
    <row r="31" spans="1:20" ht="16.5" customHeight="1" thickBot="1">
      <c r="A31" s="226" t="s">
        <v>1618</v>
      </c>
      <c r="B31" s="175" t="s">
        <v>708</v>
      </c>
      <c r="C31" s="176" t="s">
        <v>411</v>
      </c>
      <c r="D31" s="176"/>
      <c r="E31" s="175"/>
      <c r="F31" s="175"/>
      <c r="G31" s="175"/>
      <c r="H31" s="185">
        <f>SUM(H33:H54)</f>
        <v>0</v>
      </c>
      <c r="I31" s="177"/>
      <c r="J31" s="178">
        <f>SUM(J33:J53)</f>
        <v>0</v>
      </c>
      <c r="O31" s="511"/>
      <c r="P31" s="511"/>
      <c r="T31" s="670"/>
    </row>
    <row r="32" spans="1:20" s="22" customFormat="1" ht="17.25" customHeight="1">
      <c r="A32" s="190"/>
      <c r="B32" s="191"/>
      <c r="C32" s="191"/>
      <c r="D32" s="191"/>
      <c r="E32" s="192"/>
      <c r="F32" s="193"/>
      <c r="G32" s="193"/>
      <c r="H32" s="193"/>
      <c r="I32" s="194"/>
      <c r="J32" s="195"/>
      <c r="T32" s="509"/>
    </row>
    <row r="33" spans="1:20" s="22" customFormat="1" ht="96.75" customHeight="1">
      <c r="A33" s="196" t="s">
        <v>1734</v>
      </c>
      <c r="B33" s="197" t="s">
        <v>412</v>
      </c>
      <c r="C33" s="524" t="s">
        <v>413</v>
      </c>
      <c r="D33" s="197"/>
      <c r="E33" s="198" t="s">
        <v>1826</v>
      </c>
      <c r="F33" s="332">
        <f>SUM(E34)</f>
        <v>645.75</v>
      </c>
      <c r="G33" s="332"/>
      <c r="H33" s="332">
        <f>F33*G33</f>
        <v>0</v>
      </c>
      <c r="I33" s="333"/>
      <c r="J33" s="334"/>
      <c r="T33" s="509"/>
    </row>
    <row r="34" spans="1:20" s="536" customFormat="1" ht="21" customHeight="1">
      <c r="A34" s="204"/>
      <c r="B34" s="205"/>
      <c r="C34" s="837" t="s">
        <v>414</v>
      </c>
      <c r="D34" s="205"/>
      <c r="E34" s="207">
        <f>615*1.05</f>
        <v>645.75</v>
      </c>
      <c r="F34" s="335"/>
      <c r="G34" s="335"/>
      <c r="H34" s="335"/>
      <c r="I34" s="336"/>
      <c r="J34" s="337"/>
      <c r="K34" s="130"/>
      <c r="L34" s="130"/>
      <c r="M34" s="130"/>
      <c r="N34" s="130"/>
      <c r="O34" s="130"/>
      <c r="P34" s="130"/>
      <c r="Q34" s="130"/>
      <c r="R34" s="130"/>
      <c r="S34" s="130"/>
      <c r="T34" s="130"/>
    </row>
    <row r="35" spans="1:20" s="22" customFormat="1" ht="57" customHeight="1">
      <c r="A35" s="196" t="s">
        <v>1753</v>
      </c>
      <c r="B35" s="197" t="s">
        <v>415</v>
      </c>
      <c r="C35" s="199" t="s">
        <v>416</v>
      </c>
      <c r="D35" s="197"/>
      <c r="E35" s="198" t="s">
        <v>1826</v>
      </c>
      <c r="F35" s="332">
        <f>SUM(E36)</f>
        <v>331.8</v>
      </c>
      <c r="G35" s="332"/>
      <c r="H35" s="332">
        <f>F35*G35</f>
        <v>0</v>
      </c>
      <c r="I35" s="333"/>
      <c r="J35" s="334"/>
      <c r="T35" s="509"/>
    </row>
    <row r="36" spans="1:20" s="536" customFormat="1" ht="21" customHeight="1">
      <c r="A36" s="204"/>
      <c r="B36" s="205"/>
      <c r="C36" s="837" t="s">
        <v>417</v>
      </c>
      <c r="D36" s="205"/>
      <c r="E36" s="207">
        <f>316*1.05</f>
        <v>331.8</v>
      </c>
      <c r="F36" s="335"/>
      <c r="G36" s="335"/>
      <c r="H36" s="335"/>
      <c r="I36" s="336"/>
      <c r="J36" s="337"/>
      <c r="K36" s="130"/>
      <c r="L36" s="130"/>
      <c r="M36" s="130"/>
      <c r="N36" s="130"/>
      <c r="O36" s="130"/>
      <c r="P36" s="130"/>
      <c r="Q36" s="130"/>
      <c r="R36" s="130"/>
      <c r="S36" s="130"/>
      <c r="T36" s="130"/>
    </row>
    <row r="37" spans="1:20" s="22" customFormat="1" ht="60" customHeight="1">
      <c r="A37" s="196" t="s">
        <v>1758</v>
      </c>
      <c r="B37" s="197" t="s">
        <v>418</v>
      </c>
      <c r="C37" s="199" t="s">
        <v>419</v>
      </c>
      <c r="D37" s="197"/>
      <c r="E37" s="198" t="s">
        <v>1826</v>
      </c>
      <c r="F37" s="332">
        <f>SUM(E38)</f>
        <v>46.2</v>
      </c>
      <c r="G37" s="332"/>
      <c r="H37" s="332">
        <f>F37*G37</f>
        <v>0</v>
      </c>
      <c r="I37" s="333"/>
      <c r="J37" s="334"/>
      <c r="T37" s="509"/>
    </row>
    <row r="38" spans="1:20" s="536" customFormat="1" ht="21" customHeight="1">
      <c r="A38" s="204"/>
      <c r="B38" s="205"/>
      <c r="C38" s="837" t="s">
        <v>420</v>
      </c>
      <c r="D38" s="205"/>
      <c r="E38" s="207">
        <f>22*2*1.05</f>
        <v>46.2</v>
      </c>
      <c r="F38" s="335"/>
      <c r="G38" s="335"/>
      <c r="H38" s="335"/>
      <c r="I38" s="336"/>
      <c r="J38" s="337"/>
      <c r="K38" s="130"/>
      <c r="L38" s="130"/>
      <c r="M38" s="130"/>
      <c r="N38" s="130"/>
      <c r="O38" s="130"/>
      <c r="P38" s="130"/>
      <c r="Q38" s="130"/>
      <c r="R38" s="130"/>
      <c r="S38" s="130"/>
      <c r="T38" s="130"/>
    </row>
    <row r="39" spans="1:20" s="22" customFormat="1" ht="48">
      <c r="A39" s="196" t="s">
        <v>1764</v>
      </c>
      <c r="B39" s="197" t="s">
        <v>421</v>
      </c>
      <c r="C39" s="199" t="s">
        <v>422</v>
      </c>
      <c r="D39" s="197"/>
      <c r="E39" s="198" t="s">
        <v>1826</v>
      </c>
      <c r="F39" s="332">
        <f>SUM(E40)</f>
        <v>46.2</v>
      </c>
      <c r="G39" s="332"/>
      <c r="H39" s="332">
        <f>F39*G39</f>
        <v>0</v>
      </c>
      <c r="I39" s="333"/>
      <c r="J39" s="334"/>
      <c r="T39" s="509"/>
    </row>
    <row r="40" spans="1:20" s="536" customFormat="1" ht="21" customHeight="1">
      <c r="A40" s="204"/>
      <c r="B40" s="205"/>
      <c r="C40" s="837" t="s">
        <v>423</v>
      </c>
      <c r="D40" s="205"/>
      <c r="E40" s="207">
        <f>44*1.05</f>
        <v>46.2</v>
      </c>
      <c r="F40" s="335"/>
      <c r="G40" s="335"/>
      <c r="H40" s="335"/>
      <c r="I40" s="336"/>
      <c r="J40" s="337"/>
      <c r="K40" s="130"/>
      <c r="L40" s="130"/>
      <c r="M40" s="130"/>
      <c r="N40" s="130"/>
      <c r="O40" s="130"/>
      <c r="P40" s="130"/>
      <c r="Q40" s="130"/>
      <c r="R40" s="130"/>
      <c r="S40" s="130"/>
      <c r="T40" s="130"/>
    </row>
    <row r="41" spans="1:20" s="22" customFormat="1" ht="24">
      <c r="A41" s="196" t="s">
        <v>1737</v>
      </c>
      <c r="B41" s="197" t="s">
        <v>424</v>
      </c>
      <c r="C41" s="199" t="s">
        <v>425</v>
      </c>
      <c r="D41" s="197"/>
      <c r="E41" s="198" t="s">
        <v>1826</v>
      </c>
      <c r="F41" s="332">
        <f>SUM(E42)</f>
        <v>22</v>
      </c>
      <c r="G41" s="332"/>
      <c r="H41" s="332">
        <f aca="true" t="shared" si="1" ref="H41:H53">F41*G41</f>
        <v>0</v>
      </c>
      <c r="I41" s="333"/>
      <c r="J41" s="334"/>
      <c r="T41" s="509"/>
    </row>
    <row r="42" spans="1:20" s="536" customFormat="1" ht="21" customHeight="1">
      <c r="A42" s="204"/>
      <c r="B42" s="205"/>
      <c r="C42" s="837" t="s">
        <v>1659</v>
      </c>
      <c r="D42" s="205"/>
      <c r="E42" s="207">
        <v>22</v>
      </c>
      <c r="F42" s="335"/>
      <c r="G42" s="335"/>
      <c r="H42" s="335"/>
      <c r="I42" s="336"/>
      <c r="J42" s="337"/>
      <c r="K42" s="130"/>
      <c r="L42" s="130"/>
      <c r="M42" s="130"/>
      <c r="N42" s="130"/>
      <c r="O42" s="130"/>
      <c r="P42" s="130"/>
      <c r="Q42" s="130"/>
      <c r="R42" s="130"/>
      <c r="S42" s="130"/>
      <c r="T42" s="130"/>
    </row>
    <row r="43" spans="1:20" s="22" customFormat="1" ht="60">
      <c r="A43" s="196" t="s">
        <v>1740</v>
      </c>
      <c r="B43" s="197" t="s">
        <v>426</v>
      </c>
      <c r="C43" s="199" t="s">
        <v>427</v>
      </c>
      <c r="D43" s="197"/>
      <c r="E43" s="198" t="s">
        <v>1826</v>
      </c>
      <c r="F43" s="332">
        <f>SUM(E44)</f>
        <v>46.2</v>
      </c>
      <c r="G43" s="332"/>
      <c r="H43" s="332">
        <f t="shared" si="1"/>
        <v>0</v>
      </c>
      <c r="I43" s="333"/>
      <c r="J43" s="334"/>
      <c r="T43" s="509"/>
    </row>
    <row r="44" spans="1:20" s="536" customFormat="1" ht="21" customHeight="1">
      <c r="A44" s="204"/>
      <c r="B44" s="205"/>
      <c r="C44" s="837" t="s">
        <v>423</v>
      </c>
      <c r="D44" s="205"/>
      <c r="E44" s="207">
        <f>44*1.05</f>
        <v>46.2</v>
      </c>
      <c r="F44" s="335"/>
      <c r="G44" s="335"/>
      <c r="H44" s="335"/>
      <c r="I44" s="336"/>
      <c r="J44" s="337"/>
      <c r="K44" s="130"/>
      <c r="L44" s="130"/>
      <c r="M44" s="130"/>
      <c r="N44" s="130"/>
      <c r="O44" s="130"/>
      <c r="P44" s="130"/>
      <c r="Q44" s="130"/>
      <c r="R44" s="130"/>
      <c r="S44" s="130"/>
      <c r="T44" s="130"/>
    </row>
    <row r="45" spans="1:20" s="22" customFormat="1" ht="48">
      <c r="A45" s="196" t="s">
        <v>1776</v>
      </c>
      <c r="B45" s="197" t="s">
        <v>428</v>
      </c>
      <c r="C45" s="199" t="s">
        <v>429</v>
      </c>
      <c r="D45" s="197"/>
      <c r="E45" s="198" t="s">
        <v>1826</v>
      </c>
      <c r="F45" s="332">
        <f>SUM(E46)</f>
        <v>730.8</v>
      </c>
      <c r="G45" s="332"/>
      <c r="H45" s="332">
        <f t="shared" si="1"/>
        <v>0</v>
      </c>
      <c r="I45" s="333"/>
      <c r="J45" s="334"/>
      <c r="T45" s="509"/>
    </row>
    <row r="46" spans="1:20" s="536" customFormat="1" ht="21" customHeight="1">
      <c r="A46" s="204"/>
      <c r="B46" s="205"/>
      <c r="C46" s="837" t="s">
        <v>430</v>
      </c>
      <c r="D46" s="205"/>
      <c r="E46" s="207">
        <f>316*1.05+380*1.05</f>
        <v>730.8</v>
      </c>
      <c r="F46" s="335"/>
      <c r="G46" s="335"/>
      <c r="H46" s="335"/>
      <c r="I46" s="336"/>
      <c r="J46" s="337"/>
      <c r="K46" s="130"/>
      <c r="L46" s="130"/>
      <c r="M46" s="130"/>
      <c r="N46" s="130"/>
      <c r="O46" s="130"/>
      <c r="P46" s="130"/>
      <c r="Q46" s="130"/>
      <c r="R46" s="130"/>
      <c r="S46" s="130"/>
      <c r="T46" s="130"/>
    </row>
    <row r="47" spans="1:20" s="22" customFormat="1" ht="36">
      <c r="A47" s="196" t="s">
        <v>1780</v>
      </c>
      <c r="B47" s="197" t="s">
        <v>431</v>
      </c>
      <c r="C47" s="199" t="s">
        <v>432</v>
      </c>
      <c r="D47" s="197"/>
      <c r="E47" s="198" t="s">
        <v>1826</v>
      </c>
      <c r="F47" s="332">
        <f>SUM(E48)</f>
        <v>126</v>
      </c>
      <c r="G47" s="332"/>
      <c r="H47" s="332">
        <f t="shared" si="1"/>
        <v>0</v>
      </c>
      <c r="I47" s="333"/>
      <c r="J47" s="334"/>
      <c r="T47" s="509"/>
    </row>
    <row r="48" spans="1:20" s="536" customFormat="1" ht="21" customHeight="1">
      <c r="A48" s="204"/>
      <c r="B48" s="205"/>
      <c r="C48" s="837" t="s">
        <v>433</v>
      </c>
      <c r="D48" s="205"/>
      <c r="E48" s="207">
        <f>120*1.05</f>
        <v>126</v>
      </c>
      <c r="F48" s="335"/>
      <c r="G48" s="335"/>
      <c r="H48" s="335"/>
      <c r="I48" s="336"/>
      <c r="J48" s="337"/>
      <c r="K48" s="130"/>
      <c r="L48" s="130"/>
      <c r="M48" s="130"/>
      <c r="N48" s="130"/>
      <c r="O48" s="130"/>
      <c r="P48" s="130"/>
      <c r="Q48" s="130"/>
      <c r="R48" s="130"/>
      <c r="S48" s="130"/>
      <c r="T48" s="130"/>
    </row>
    <row r="49" spans="1:20" s="22" customFormat="1" ht="36">
      <c r="A49" s="196" t="s">
        <v>1785</v>
      </c>
      <c r="B49" s="197" t="s">
        <v>434</v>
      </c>
      <c r="C49" s="199" t="s">
        <v>435</v>
      </c>
      <c r="D49" s="197"/>
      <c r="E49" s="198" t="s">
        <v>1826</v>
      </c>
      <c r="F49" s="332">
        <f>SUM(E50)</f>
        <v>22</v>
      </c>
      <c r="G49" s="332"/>
      <c r="H49" s="332">
        <f t="shared" si="1"/>
        <v>0</v>
      </c>
      <c r="I49" s="333"/>
      <c r="J49" s="334"/>
      <c r="T49" s="509"/>
    </row>
    <row r="50" spans="1:20" s="536" customFormat="1" ht="21" customHeight="1">
      <c r="A50" s="204"/>
      <c r="B50" s="205"/>
      <c r="C50" s="837" t="s">
        <v>1659</v>
      </c>
      <c r="D50" s="205"/>
      <c r="E50" s="207">
        <v>22</v>
      </c>
      <c r="F50" s="335"/>
      <c r="G50" s="335"/>
      <c r="H50" s="335"/>
      <c r="I50" s="336"/>
      <c r="J50" s="337"/>
      <c r="K50" s="130"/>
      <c r="L50" s="130"/>
      <c r="M50" s="130"/>
      <c r="N50" s="130"/>
      <c r="O50" s="130"/>
      <c r="P50" s="130"/>
      <c r="Q50" s="130"/>
      <c r="R50" s="130"/>
      <c r="S50" s="130"/>
      <c r="T50" s="130"/>
    </row>
    <row r="51" spans="1:20" s="22" customFormat="1" ht="24">
      <c r="A51" s="196" t="s">
        <v>1790</v>
      </c>
      <c r="B51" s="197" t="s">
        <v>436</v>
      </c>
      <c r="C51" s="199" t="s">
        <v>437</v>
      </c>
      <c r="D51" s="197"/>
      <c r="E51" s="198" t="s">
        <v>1826</v>
      </c>
      <c r="F51" s="332">
        <f>SUM(E52)</f>
        <v>4</v>
      </c>
      <c r="G51" s="332"/>
      <c r="H51" s="332">
        <f t="shared" si="1"/>
        <v>0</v>
      </c>
      <c r="I51" s="333"/>
      <c r="J51" s="334"/>
      <c r="T51" s="509"/>
    </row>
    <row r="52" spans="1:20" s="536" customFormat="1" ht="21" customHeight="1">
      <c r="A52" s="204"/>
      <c r="B52" s="205"/>
      <c r="C52" s="837" t="s">
        <v>1626</v>
      </c>
      <c r="D52" s="205"/>
      <c r="E52" s="207">
        <v>4</v>
      </c>
      <c r="F52" s="335"/>
      <c r="G52" s="335"/>
      <c r="H52" s="335"/>
      <c r="I52" s="336"/>
      <c r="J52" s="337"/>
      <c r="K52" s="130"/>
      <c r="L52" s="130"/>
      <c r="M52" s="130"/>
      <c r="N52" s="130"/>
      <c r="O52" s="130"/>
      <c r="P52" s="130"/>
      <c r="Q52" s="130"/>
      <c r="R52" s="130"/>
      <c r="S52" s="130"/>
      <c r="T52" s="130"/>
    </row>
    <row r="53" spans="1:20" s="22" customFormat="1" ht="24">
      <c r="A53" s="196" t="s">
        <v>1793</v>
      </c>
      <c r="B53" s="197" t="s">
        <v>438</v>
      </c>
      <c r="C53" s="199" t="s">
        <v>439</v>
      </c>
      <c r="D53" s="197"/>
      <c r="E53" s="198" t="s">
        <v>2331</v>
      </c>
      <c r="F53" s="332">
        <v>1</v>
      </c>
      <c r="G53" s="332"/>
      <c r="H53" s="332">
        <f t="shared" si="1"/>
        <v>0</v>
      </c>
      <c r="I53" s="333"/>
      <c r="J53" s="334"/>
      <c r="T53" s="509"/>
    </row>
    <row r="54" spans="1:20" s="240" customFormat="1" ht="15" customHeight="1" thickBot="1">
      <c r="A54" s="234"/>
      <c r="B54" s="235"/>
      <c r="C54" s="236"/>
      <c r="D54" s="237"/>
      <c r="E54" s="237"/>
      <c r="F54" s="680"/>
      <c r="G54" s="680"/>
      <c r="H54" s="358"/>
      <c r="I54" s="358"/>
      <c r="J54" s="359"/>
      <c r="K54" s="238"/>
      <c r="L54" s="238"/>
      <c r="M54" s="239"/>
      <c r="O54" s="514"/>
      <c r="P54" s="514"/>
      <c r="T54" s="239"/>
    </row>
    <row r="55" spans="1:20" ht="16.5" customHeight="1" thickBot="1">
      <c r="A55" s="226" t="s">
        <v>1624</v>
      </c>
      <c r="B55" s="175" t="s">
        <v>708</v>
      </c>
      <c r="C55" s="176" t="s">
        <v>440</v>
      </c>
      <c r="D55" s="176"/>
      <c r="E55" s="175"/>
      <c r="F55" s="175"/>
      <c r="G55" s="175"/>
      <c r="H55" s="185">
        <f>SUM(H57:H58)</f>
        <v>0</v>
      </c>
      <c r="I55" s="177"/>
      <c r="J55" s="178">
        <f>SUM(J57:J58)</f>
        <v>0</v>
      </c>
      <c r="O55" s="511"/>
      <c r="P55" s="511"/>
      <c r="T55" s="670"/>
    </row>
    <row r="56" spans="1:20" s="22" customFormat="1" ht="17.25" customHeight="1">
      <c r="A56" s="190"/>
      <c r="B56" s="191"/>
      <c r="C56" s="191"/>
      <c r="D56" s="191"/>
      <c r="E56" s="192"/>
      <c r="F56" s="193"/>
      <c r="G56" s="193"/>
      <c r="H56" s="193"/>
      <c r="I56" s="194"/>
      <c r="J56" s="195"/>
      <c r="T56" s="509"/>
    </row>
    <row r="57" spans="1:20" s="22" customFormat="1" ht="45.75" customHeight="1">
      <c r="A57" s="196" t="s">
        <v>1804</v>
      </c>
      <c r="B57" s="197" t="s">
        <v>441</v>
      </c>
      <c r="C57" s="199" t="s">
        <v>442</v>
      </c>
      <c r="D57" s="197"/>
      <c r="E57" s="198" t="s">
        <v>443</v>
      </c>
      <c r="F57" s="332">
        <v>30</v>
      </c>
      <c r="G57" s="332"/>
      <c r="H57" s="332">
        <f>F57*G57</f>
        <v>0</v>
      </c>
      <c r="I57" s="333"/>
      <c r="J57" s="334"/>
      <c r="T57" s="509"/>
    </row>
    <row r="58" spans="1:20" s="22" customFormat="1" ht="59.25" customHeight="1">
      <c r="A58" s="196" t="s">
        <v>167</v>
      </c>
      <c r="B58" s="197" t="s">
        <v>444</v>
      </c>
      <c r="C58" s="199" t="s">
        <v>445</v>
      </c>
      <c r="D58" s="197"/>
      <c r="E58" s="198" t="s">
        <v>443</v>
      </c>
      <c r="F58" s="332">
        <v>24</v>
      </c>
      <c r="G58" s="332"/>
      <c r="H58" s="332">
        <f>F58*G58</f>
        <v>0</v>
      </c>
      <c r="I58" s="333"/>
      <c r="J58" s="334"/>
      <c r="T58" s="509"/>
    </row>
    <row r="59" spans="1:20" s="240" customFormat="1" ht="15.75" customHeight="1" thickBot="1">
      <c r="A59" s="234"/>
      <c r="B59" s="235"/>
      <c r="C59" s="236"/>
      <c r="D59" s="237"/>
      <c r="E59" s="237"/>
      <c r="F59" s="680"/>
      <c r="G59" s="680"/>
      <c r="H59" s="358"/>
      <c r="I59" s="358"/>
      <c r="J59" s="359"/>
      <c r="K59" s="238"/>
      <c r="L59" s="238"/>
      <c r="M59" s="239"/>
      <c r="O59" s="514"/>
      <c r="P59" s="514"/>
      <c r="T59" s="239"/>
    </row>
    <row r="60" spans="1:20" ht="16.5" customHeight="1" thickBot="1">
      <c r="A60" s="266"/>
      <c r="B60" s="175"/>
      <c r="C60" s="176"/>
      <c r="D60" s="176"/>
      <c r="E60" s="175"/>
      <c r="F60" s="175"/>
      <c r="G60" s="175"/>
      <c r="H60" s="185"/>
      <c r="I60" s="177"/>
      <c r="J60" s="178"/>
      <c r="O60" s="511"/>
      <c r="P60" s="511"/>
      <c r="T60" s="670"/>
    </row>
    <row r="61" spans="1:20" ht="15">
      <c r="A61" s="24"/>
      <c r="B61" s="186"/>
      <c r="C61" s="186"/>
      <c r="D61" s="186"/>
      <c r="E61" s="187"/>
      <c r="F61" s="186"/>
      <c r="G61" s="186"/>
      <c r="H61" s="186"/>
      <c r="I61" s="188"/>
      <c r="J61" s="189"/>
      <c r="O61" s="511"/>
      <c r="P61" s="511"/>
      <c r="T61" s="670"/>
    </row>
    <row r="62" spans="1:20" s="451" customFormat="1" ht="22.5" customHeight="1" thickBot="1">
      <c r="A62" s="798"/>
      <c r="B62" s="799"/>
      <c r="C62" s="800" t="s">
        <v>716</v>
      </c>
      <c r="D62" s="799"/>
      <c r="E62" s="801"/>
      <c r="F62" s="802"/>
      <c r="G62" s="802"/>
      <c r="H62" s="803">
        <f>H15+H31+H55</f>
        <v>0</v>
      </c>
      <c r="I62" s="804"/>
      <c r="J62" s="805"/>
      <c r="K62" s="806"/>
      <c r="L62" s="806"/>
      <c r="M62" s="806"/>
      <c r="N62" s="806"/>
      <c r="O62" s="806"/>
      <c r="P62" s="806"/>
      <c r="Q62" s="807"/>
      <c r="R62" s="824"/>
      <c r="S62" s="824"/>
      <c r="T62" s="824"/>
    </row>
  </sheetData>
  <mergeCells count="21">
    <mergeCell ref="C6:C7"/>
    <mergeCell ref="D6:E7"/>
    <mergeCell ref="F6:F7"/>
    <mergeCell ref="G6:G7"/>
    <mergeCell ref="D8:F9"/>
    <mergeCell ref="G2:G3"/>
    <mergeCell ref="H4:J5"/>
    <mergeCell ref="G4:G5"/>
    <mergeCell ref="C2:C3"/>
    <mergeCell ref="G11:H11"/>
    <mergeCell ref="I11:J11"/>
    <mergeCell ref="H8:J9"/>
    <mergeCell ref="H2:J3"/>
    <mergeCell ref="H6:J7"/>
    <mergeCell ref="G8:G9"/>
    <mergeCell ref="F4:F5"/>
    <mergeCell ref="D4:E5"/>
    <mergeCell ref="C8:C9"/>
    <mergeCell ref="C4:C5"/>
    <mergeCell ref="D2:E3"/>
    <mergeCell ref="F2:F3"/>
  </mergeCells>
  <printOptions/>
  <pageMargins left="0.4" right="0.36" top="0.59" bottom="0.66" header="0.24" footer="0.24"/>
  <pageSetup horizontalDpi="600" verticalDpi="600" orientation="portrait" paperSize="9" scale="70" r:id="rId1"/>
  <headerFooter alignWithMargins="0">
    <oddFooter>&amp;L&amp;F
&amp;A&amp;C&amp;P/&amp;N</oddFooter>
  </headerFooter>
  <colBreaks count="1" manualBreakCount="1">
    <brk id="10"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A29"/>
  <sheetViews>
    <sheetView showGridLines="0" view="pageBreakPreview" zoomScaleSheetLayoutView="100" workbookViewId="0" topLeftCell="A1">
      <selection activeCell="A12" sqref="A12"/>
    </sheetView>
  </sheetViews>
  <sheetFormatPr defaultColWidth="9.140625" defaultRowHeight="12.75"/>
  <cols>
    <col min="1" max="1" width="109.00390625" style="1346" customWidth="1"/>
    <col min="2" max="16384" width="9.140625" style="1346" customWidth="1"/>
  </cols>
  <sheetData>
    <row r="3" ht="15">
      <c r="A3" s="1345" t="s">
        <v>2995</v>
      </c>
    </row>
    <row r="5" s="1348" customFormat="1" ht="38.25">
      <c r="A5" s="1347" t="s">
        <v>2996</v>
      </c>
    </row>
    <row r="6" s="1348" customFormat="1" ht="12.75"/>
    <row r="7" s="1348" customFormat="1" ht="89.25">
      <c r="A7" s="1347" t="s">
        <v>2997</v>
      </c>
    </row>
    <row r="8" s="1348" customFormat="1" ht="12.75"/>
    <row r="9" s="1348" customFormat="1" ht="25.5">
      <c r="A9" s="1347" t="s">
        <v>2998</v>
      </c>
    </row>
    <row r="10" s="1348" customFormat="1" ht="12.75"/>
    <row r="11" s="1348" customFormat="1" ht="12.75">
      <c r="A11" s="1347" t="s">
        <v>2999</v>
      </c>
    </row>
    <row r="12" s="1348" customFormat="1" ht="12.75"/>
    <row r="13" s="1348" customFormat="1" ht="38.25">
      <c r="A13" s="1347" t="s">
        <v>3000</v>
      </c>
    </row>
    <row r="14" s="1348" customFormat="1" ht="12.75"/>
    <row r="15" s="1348" customFormat="1" ht="51">
      <c r="A15" s="1347" t="s">
        <v>3001</v>
      </c>
    </row>
    <row r="16" s="1348" customFormat="1" ht="12.75"/>
    <row r="17" s="1348" customFormat="1" ht="89.25">
      <c r="A17" s="1347" t="s">
        <v>3002</v>
      </c>
    </row>
    <row r="18" s="1348" customFormat="1" ht="12.75"/>
    <row r="19" s="1348" customFormat="1" ht="12.75">
      <c r="A19" s="1347" t="s">
        <v>3003</v>
      </c>
    </row>
    <row r="20" s="1348" customFormat="1" ht="12.75"/>
    <row r="21" s="1348" customFormat="1" ht="12.75">
      <c r="A21" s="1347" t="s">
        <v>3004</v>
      </c>
    </row>
    <row r="22" s="1348" customFormat="1" ht="12.75"/>
    <row r="23" s="1348" customFormat="1" ht="12.75">
      <c r="A23" s="1347" t="s">
        <v>3005</v>
      </c>
    </row>
    <row r="24" s="1348" customFormat="1" ht="12.75"/>
    <row r="25" s="1348" customFormat="1" ht="12.75">
      <c r="A25" s="1347" t="s">
        <v>3006</v>
      </c>
    </row>
    <row r="26" s="1348" customFormat="1" ht="12.75"/>
    <row r="27" s="1348" customFormat="1" ht="12.75">
      <c r="A27" s="1347" t="s">
        <v>3007</v>
      </c>
    </row>
    <row r="28" s="1348" customFormat="1" ht="12.75"/>
    <row r="29" s="1348" customFormat="1" ht="25.5">
      <c r="A29" s="1347" t="s">
        <v>3008</v>
      </c>
    </row>
    <row r="30" s="1348" customFormat="1" ht="12.75"/>
  </sheetData>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728"/>
  <sheetViews>
    <sheetView showGridLines="0" view="pageBreakPreview" zoomScaleSheetLayoutView="100" workbookViewId="0" topLeftCell="A1">
      <selection activeCell="I14" sqref="I14:J14"/>
    </sheetView>
  </sheetViews>
  <sheetFormatPr defaultColWidth="9.140625" defaultRowHeight="12.75"/>
  <cols>
    <col min="1" max="1" width="5.28125" style="28" customWidth="1"/>
    <col min="2" max="2" width="14.28125" style="0" customWidth="1"/>
    <col min="3" max="3" width="42.421875" style="0" customWidth="1"/>
    <col min="4" max="4" width="11.00390625" style="951" customWidth="1"/>
    <col min="5" max="5" width="10.28125" style="33" customWidth="1"/>
    <col min="6" max="6" width="10.8515625" style="0" customWidth="1"/>
    <col min="7" max="7" width="11.57421875" style="0" customWidth="1"/>
    <col min="8" max="8" width="13.7109375" style="0" customWidth="1"/>
    <col min="9" max="9" width="9.140625" style="12" customWidth="1"/>
    <col min="10" max="10" width="10.421875" style="12" customWidth="1"/>
    <col min="11" max="19" width="9.140625" style="579" customWidth="1"/>
    <col min="20" max="20" width="27.140625" style="579" customWidth="1"/>
  </cols>
  <sheetData>
    <row r="1" spans="1:20" ht="23.25">
      <c r="A1" s="23"/>
      <c r="B1" s="13"/>
      <c r="C1" s="14" t="s">
        <v>1683</v>
      </c>
      <c r="D1" s="13"/>
      <c r="E1" s="13"/>
      <c r="F1" s="13"/>
      <c r="G1" s="13"/>
      <c r="H1" s="13"/>
      <c r="I1" s="15"/>
      <c r="J1" s="16"/>
      <c r="K1" s="670"/>
      <c r="L1" s="670"/>
      <c r="M1" s="670"/>
      <c r="N1" s="670"/>
      <c r="O1" s="670"/>
      <c r="P1" s="670"/>
      <c r="Q1" s="670"/>
      <c r="R1" s="670"/>
      <c r="S1" s="670"/>
      <c r="T1" s="670"/>
    </row>
    <row r="2" spans="1:20" ht="12.75">
      <c r="A2" s="24"/>
      <c r="B2" s="653"/>
      <c r="C2" s="1310" t="s">
        <v>1684</v>
      </c>
      <c r="D2" s="1308" t="s">
        <v>1685</v>
      </c>
      <c r="E2" s="1308"/>
      <c r="F2" s="1308"/>
      <c r="G2" s="1320" t="s">
        <v>1686</v>
      </c>
      <c r="H2" s="1324" t="s">
        <v>1687</v>
      </c>
      <c r="I2" s="1325"/>
      <c r="J2" s="1326"/>
      <c r="K2" s="670"/>
      <c r="L2" s="670"/>
      <c r="M2" s="670"/>
      <c r="N2" s="670"/>
      <c r="O2" s="670"/>
      <c r="P2" s="670"/>
      <c r="Q2" s="670"/>
      <c r="R2" s="670"/>
      <c r="S2" s="670"/>
      <c r="T2" s="670"/>
    </row>
    <row r="3" spans="1:20" ht="12.75">
      <c r="A3" s="24"/>
      <c r="B3" s="652"/>
      <c r="C3" s="1311"/>
      <c r="D3" s="1309"/>
      <c r="E3" s="1309"/>
      <c r="F3" s="1309"/>
      <c r="G3" s="1321"/>
      <c r="H3" s="1316"/>
      <c r="I3" s="1316"/>
      <c r="J3" s="1317"/>
      <c r="K3" s="670"/>
      <c r="L3" s="670"/>
      <c r="M3" s="670"/>
      <c r="N3" s="670"/>
      <c r="O3" s="670"/>
      <c r="P3" s="670"/>
      <c r="Q3" s="670"/>
      <c r="R3" s="670"/>
      <c r="S3" s="670"/>
      <c r="T3" s="670"/>
    </row>
    <row r="4" spans="1:20" ht="12.75">
      <c r="A4" s="24"/>
      <c r="B4" s="652"/>
      <c r="C4" s="1309" t="s">
        <v>1688</v>
      </c>
      <c r="D4" s="1309" t="s">
        <v>1689</v>
      </c>
      <c r="E4" s="1309"/>
      <c r="F4" s="1327"/>
      <c r="G4" s="1321" t="s">
        <v>1690</v>
      </c>
      <c r="H4" s="1315" t="s">
        <v>1586</v>
      </c>
      <c r="I4" s="1315"/>
      <c r="J4" s="1328"/>
      <c r="K4" s="670"/>
      <c r="L4" s="670"/>
      <c r="M4" s="670"/>
      <c r="N4" s="670"/>
      <c r="O4" s="670"/>
      <c r="P4" s="670"/>
      <c r="Q4" s="670"/>
      <c r="R4" s="670"/>
      <c r="S4" s="670"/>
      <c r="T4" s="670"/>
    </row>
    <row r="5" spans="1:20" ht="12.75">
      <c r="A5" s="24"/>
      <c r="B5" s="652"/>
      <c r="C5" s="1312"/>
      <c r="D5" s="1309"/>
      <c r="E5" s="1309"/>
      <c r="F5" s="1327"/>
      <c r="G5" s="1321"/>
      <c r="H5" s="1315"/>
      <c r="I5" s="1315"/>
      <c r="J5" s="1328"/>
      <c r="K5" s="670"/>
      <c r="L5" s="670"/>
      <c r="M5" s="670"/>
      <c r="N5" s="670"/>
      <c r="O5" s="670"/>
      <c r="P5" s="670"/>
      <c r="Q5" s="670"/>
      <c r="R5" s="670"/>
      <c r="S5" s="670"/>
      <c r="T5" s="670"/>
    </row>
    <row r="6" spans="1:20" ht="12.75">
      <c r="A6" s="24"/>
      <c r="B6" s="652"/>
      <c r="C6" s="1309" t="s">
        <v>1580</v>
      </c>
      <c r="D6" s="1309" t="s">
        <v>1691</v>
      </c>
      <c r="E6" s="1309"/>
      <c r="F6" s="1327"/>
      <c r="G6" s="1321" t="s">
        <v>1692</v>
      </c>
      <c r="H6" s="1315"/>
      <c r="I6" s="1316"/>
      <c r="J6" s="1317"/>
      <c r="K6" s="670"/>
      <c r="L6" s="670"/>
      <c r="M6" s="670"/>
      <c r="N6" s="670"/>
      <c r="O6" s="670"/>
      <c r="P6" s="670"/>
      <c r="Q6" s="670"/>
      <c r="R6" s="670"/>
      <c r="S6" s="670"/>
      <c r="T6" s="670"/>
    </row>
    <row r="7" spans="1:20" ht="12.75">
      <c r="A7" s="24"/>
      <c r="B7" s="652"/>
      <c r="C7" s="1312"/>
      <c r="D7" s="1309"/>
      <c r="E7" s="1309"/>
      <c r="F7" s="1327"/>
      <c r="G7" s="1321"/>
      <c r="H7" s="1316"/>
      <c r="I7" s="1316"/>
      <c r="J7" s="1317"/>
      <c r="K7" s="670"/>
      <c r="L7" s="670"/>
      <c r="M7" s="670"/>
      <c r="N7" s="670"/>
      <c r="O7" s="670"/>
      <c r="P7" s="670"/>
      <c r="Q7" s="670"/>
      <c r="R7" s="670"/>
      <c r="S7" s="670"/>
      <c r="T7" s="670"/>
    </row>
    <row r="8" spans="1:20" ht="12.75">
      <c r="A8" s="24"/>
      <c r="B8" s="652"/>
      <c r="C8" s="1306" t="s">
        <v>1613</v>
      </c>
      <c r="D8" s="1313" t="s">
        <v>2833</v>
      </c>
      <c r="E8" s="1314"/>
      <c r="F8" s="1314"/>
      <c r="G8" s="1321" t="s">
        <v>1693</v>
      </c>
      <c r="H8" s="1315" t="s">
        <v>1586</v>
      </c>
      <c r="I8" s="1316"/>
      <c r="J8" s="1317"/>
      <c r="K8" s="670"/>
      <c r="L8" s="670"/>
      <c r="M8" s="670"/>
      <c r="N8" s="670"/>
      <c r="O8" s="670"/>
      <c r="P8" s="670"/>
      <c r="Q8" s="670"/>
      <c r="R8" s="670"/>
      <c r="S8" s="670"/>
      <c r="T8" s="670"/>
    </row>
    <row r="9" spans="1:20" ht="30" customHeight="1">
      <c r="A9" s="24"/>
      <c r="B9" s="652"/>
      <c r="C9" s="1307"/>
      <c r="D9" s="1314"/>
      <c r="E9" s="1314"/>
      <c r="F9" s="1314"/>
      <c r="G9" s="1321"/>
      <c r="H9" s="1316"/>
      <c r="I9" s="1316"/>
      <c r="J9" s="1317"/>
      <c r="K9" s="670"/>
      <c r="L9" s="670"/>
      <c r="M9" s="670"/>
      <c r="N9" s="670"/>
      <c r="O9" s="670"/>
      <c r="P9" s="670"/>
      <c r="Q9" s="670"/>
      <c r="R9" s="670"/>
      <c r="S9" s="670"/>
      <c r="T9" s="670"/>
    </row>
    <row r="10" spans="1:20" s="18" customFormat="1" ht="15" customHeight="1">
      <c r="A10" s="25"/>
      <c r="B10" s="652"/>
      <c r="C10" s="1015"/>
      <c r="D10" s="1021" t="s">
        <v>2748</v>
      </c>
      <c r="E10" s="1020"/>
      <c r="F10" s="1020"/>
      <c r="G10" s="1000"/>
      <c r="H10" s="1001"/>
      <c r="I10" s="1001"/>
      <c r="J10" s="1002"/>
      <c r="K10" s="671"/>
      <c r="L10" s="671"/>
      <c r="M10" s="671"/>
      <c r="N10" s="671"/>
      <c r="O10" s="671"/>
      <c r="P10" s="671"/>
      <c r="Q10" s="671"/>
      <c r="R10" s="671"/>
      <c r="S10" s="671"/>
      <c r="T10" s="671"/>
    </row>
    <row r="11" spans="1:20" s="18" customFormat="1" ht="16.5" customHeight="1">
      <c r="A11" s="25"/>
      <c r="B11" s="652"/>
      <c r="C11" s="1015"/>
      <c r="D11" s="1035" t="s">
        <v>2828</v>
      </c>
      <c r="E11" s="1035"/>
      <c r="F11" s="1035"/>
      <c r="G11" s="1000"/>
      <c r="H11" s="1001"/>
      <c r="I11" s="1001"/>
      <c r="J11" s="1002"/>
      <c r="O11" s="512"/>
      <c r="P11" s="512"/>
      <c r="T11" s="671"/>
    </row>
    <row r="12" spans="1:20" s="18" customFormat="1" ht="16.5" customHeight="1" thickBot="1">
      <c r="A12" s="889"/>
      <c r="B12" s="890"/>
      <c r="C12" s="891"/>
      <c r="D12" s="1036" t="s">
        <v>2834</v>
      </c>
      <c r="E12" s="1036"/>
      <c r="F12" s="1036"/>
      <c r="G12" s="892"/>
      <c r="H12" s="893"/>
      <c r="I12" s="893"/>
      <c r="J12" s="894"/>
      <c r="O12" s="512"/>
      <c r="P12" s="512"/>
      <c r="T12" s="671"/>
    </row>
    <row r="13" spans="1:20" ht="13.5" thickBot="1">
      <c r="A13" s="884"/>
      <c r="B13" s="885"/>
      <c r="C13" s="886"/>
      <c r="D13" s="1104"/>
      <c r="E13" s="885"/>
      <c r="F13" s="885"/>
      <c r="G13" s="885"/>
      <c r="H13" s="885"/>
      <c r="I13" s="887"/>
      <c r="J13" s="888"/>
      <c r="K13" s="670"/>
      <c r="L13" s="670"/>
      <c r="M13" s="670"/>
      <c r="N13" s="670"/>
      <c r="O13" s="670"/>
      <c r="P13" s="670"/>
      <c r="Q13" s="670"/>
      <c r="R13" s="670"/>
      <c r="S13" s="670"/>
      <c r="T13" s="670"/>
    </row>
    <row r="14" spans="1:20" s="18" customFormat="1" ht="12.75">
      <c r="A14" s="25"/>
      <c r="B14" s="17" t="s">
        <v>1694</v>
      </c>
      <c r="C14" s="2" t="s">
        <v>1694</v>
      </c>
      <c r="D14" s="923"/>
      <c r="E14" s="30" t="s">
        <v>1694</v>
      </c>
      <c r="F14" s="2" t="s">
        <v>1694</v>
      </c>
      <c r="G14" s="1322" t="s">
        <v>1695</v>
      </c>
      <c r="H14" s="1323"/>
      <c r="I14" s="1318" t="s">
        <v>1696</v>
      </c>
      <c r="J14" s="1319"/>
      <c r="K14" s="671"/>
      <c r="L14" s="671"/>
      <c r="M14" s="671"/>
      <c r="N14" s="671"/>
      <c r="O14" s="671"/>
      <c r="P14" s="671"/>
      <c r="Q14" s="671"/>
      <c r="R14" s="671"/>
      <c r="S14" s="671"/>
      <c r="T14" s="671"/>
    </row>
    <row r="15" spans="1:20" s="18" customFormat="1" ht="13.5" thickBot="1">
      <c r="A15" s="165"/>
      <c r="B15" s="166" t="s">
        <v>1697</v>
      </c>
      <c r="C15" s="167" t="s">
        <v>1698</v>
      </c>
      <c r="D15" s="924" t="s">
        <v>2751</v>
      </c>
      <c r="E15" s="169" t="s">
        <v>1699</v>
      </c>
      <c r="F15" s="169" t="s">
        <v>1700</v>
      </c>
      <c r="G15" s="170" t="s">
        <v>1701</v>
      </c>
      <c r="H15" s="171" t="s">
        <v>1702</v>
      </c>
      <c r="I15" s="172" t="s">
        <v>1701</v>
      </c>
      <c r="J15" s="173" t="s">
        <v>1702</v>
      </c>
      <c r="K15" s="671"/>
      <c r="L15" s="671"/>
      <c r="M15" s="671"/>
      <c r="N15" s="671"/>
      <c r="O15" s="671"/>
      <c r="P15" s="671"/>
      <c r="Q15" s="671"/>
      <c r="R15" s="671"/>
      <c r="S15" s="671"/>
      <c r="T15" s="671"/>
    </row>
    <row r="16" spans="1:20" ht="13.5" thickBot="1">
      <c r="A16" s="174"/>
      <c r="B16" s="175"/>
      <c r="C16" s="1102"/>
      <c r="D16" s="1103"/>
      <c r="E16" s="175"/>
      <c r="F16" s="175"/>
      <c r="G16" s="175"/>
      <c r="H16" s="175"/>
      <c r="I16" s="177"/>
      <c r="J16" s="178"/>
      <c r="K16" s="670"/>
      <c r="L16" s="670"/>
      <c r="M16" s="670"/>
      <c r="N16" s="670"/>
      <c r="O16" s="670"/>
      <c r="P16" s="670"/>
      <c r="Q16" s="670"/>
      <c r="R16" s="670"/>
      <c r="S16" s="670"/>
      <c r="T16" s="670"/>
    </row>
    <row r="17" spans="1:20" s="18" customFormat="1" ht="16.5" customHeight="1" thickBot="1">
      <c r="A17" s="25"/>
      <c r="B17" s="179"/>
      <c r="C17" s="179" t="s">
        <v>1703</v>
      </c>
      <c r="D17" s="922"/>
      <c r="E17" s="180"/>
      <c r="F17" s="180"/>
      <c r="G17" s="181"/>
      <c r="H17" s="182">
        <f>H18+H39+H72+H77+H96+H117+H128+H199+H213+H336+H342+H352+H439+H472+H511+H553+H555+H560+H585+H614+H642+H662+H705+H717+H721</f>
        <v>0</v>
      </c>
      <c r="I17" s="183"/>
      <c r="J17" s="184"/>
      <c r="K17" s="671"/>
      <c r="L17" s="671"/>
      <c r="M17" s="671"/>
      <c r="N17" s="671"/>
      <c r="O17" s="671"/>
      <c r="P17" s="671"/>
      <c r="Q17" s="671"/>
      <c r="R17" s="671"/>
      <c r="S17" s="671"/>
      <c r="T17" s="671"/>
    </row>
    <row r="18" spans="1:20" ht="16.5" customHeight="1" thickBot="1">
      <c r="A18" s="226" t="s">
        <v>1704</v>
      </c>
      <c r="B18" s="175" t="s">
        <v>1616</v>
      </c>
      <c r="C18" s="176" t="s">
        <v>1705</v>
      </c>
      <c r="D18" s="1103"/>
      <c r="E18" s="175"/>
      <c r="F18" s="175"/>
      <c r="G18" s="175"/>
      <c r="H18" s="185">
        <f>SUM(H19:H38)</f>
        <v>0</v>
      </c>
      <c r="I18" s="177"/>
      <c r="J18" s="1009">
        <f>SUM(J20:J38)</f>
        <v>216.717806</v>
      </c>
      <c r="K18" s="670"/>
      <c r="L18" s="670"/>
      <c r="M18" s="670"/>
      <c r="N18" s="670"/>
      <c r="O18" s="670"/>
      <c r="P18" s="670"/>
      <c r="Q18" s="670"/>
      <c r="R18" s="670"/>
      <c r="S18" s="670"/>
      <c r="T18" s="670"/>
    </row>
    <row r="19" spans="1:20" s="22" customFormat="1" ht="17.25" customHeight="1">
      <c r="A19" s="190"/>
      <c r="B19" s="191"/>
      <c r="C19" s="191"/>
      <c r="D19" s="920"/>
      <c r="E19" s="192"/>
      <c r="F19" s="193"/>
      <c r="G19" s="193"/>
      <c r="H19" s="193"/>
      <c r="I19" s="194"/>
      <c r="J19" s="195"/>
      <c r="K19" s="509"/>
      <c r="L19" s="509"/>
      <c r="M19" s="509"/>
      <c r="N19" s="509"/>
      <c r="O19" s="509"/>
      <c r="P19" s="509"/>
      <c r="Q19" s="509"/>
      <c r="R19" s="509"/>
      <c r="S19" s="509"/>
      <c r="T19" s="509"/>
    </row>
    <row r="20" spans="1:20" s="22" customFormat="1" ht="17.25" customHeight="1">
      <c r="A20" s="196" t="s">
        <v>1706</v>
      </c>
      <c r="B20" s="197" t="s">
        <v>1707</v>
      </c>
      <c r="C20" s="197" t="s">
        <v>1708</v>
      </c>
      <c r="D20" s="919" t="s">
        <v>2750</v>
      </c>
      <c r="E20" s="198" t="s">
        <v>1709</v>
      </c>
      <c r="F20" s="1028">
        <f>SUM(E21:E22)</f>
        <v>180.65999999999997</v>
      </c>
      <c r="G20" s="332"/>
      <c r="H20" s="332">
        <f>F20*G20</f>
        <v>0</v>
      </c>
      <c r="I20" s="333">
        <v>0</v>
      </c>
      <c r="J20" s="334">
        <f>F20*I20</f>
        <v>0</v>
      </c>
      <c r="K20" s="509"/>
      <c r="L20" s="509"/>
      <c r="M20" s="509"/>
      <c r="N20" s="509"/>
      <c r="O20" s="509"/>
      <c r="P20" s="509"/>
      <c r="Q20" s="509"/>
      <c r="R20" s="509"/>
      <c r="S20" s="509"/>
      <c r="T20" s="509"/>
    </row>
    <row r="21" spans="1:20" s="130" customFormat="1" ht="30" customHeight="1">
      <c r="A21" s="204"/>
      <c r="B21" s="205"/>
      <c r="C21" s="206" t="s">
        <v>1710</v>
      </c>
      <c r="D21" s="925"/>
      <c r="E21" s="207">
        <f>(28.1+10.2+12.5+45.3+12.5+10.2+23.1+5.7+4.3+4.6+9.4+31+9.5+4.7+4.2)*1*0.6</f>
        <v>129.17999999999998</v>
      </c>
      <c r="F21" s="335"/>
      <c r="G21" s="335"/>
      <c r="H21" s="335"/>
      <c r="I21" s="336"/>
      <c r="J21" s="337"/>
      <c r="K21" s="672"/>
      <c r="L21" s="672"/>
      <c r="M21" s="672"/>
      <c r="N21" s="672"/>
      <c r="O21" s="672"/>
      <c r="P21" s="672"/>
      <c r="Q21" s="673"/>
      <c r="R21" s="508"/>
      <c r="S21" s="672"/>
      <c r="T21" s="508"/>
    </row>
    <row r="22" spans="1:20" s="1059" customFormat="1" ht="19.5" customHeight="1">
      <c r="A22" s="204"/>
      <c r="B22" s="205"/>
      <c r="C22" s="206" t="s">
        <v>2881</v>
      </c>
      <c r="D22" s="925"/>
      <c r="E22" s="1051">
        <f>65*0.6*1.2*1.1</f>
        <v>51.480000000000004</v>
      </c>
      <c r="F22" s="335"/>
      <c r="G22" s="335"/>
      <c r="H22" s="335"/>
      <c r="I22" s="336"/>
      <c r="J22" s="337"/>
      <c r="K22" s="1082"/>
      <c r="L22" s="1082"/>
      <c r="M22" s="1082"/>
      <c r="N22" s="1082"/>
      <c r="O22" s="1082"/>
      <c r="P22" s="1082"/>
      <c r="Q22" s="1083"/>
      <c r="R22" s="1058"/>
      <c r="S22" s="1082"/>
      <c r="T22" s="1058"/>
    </row>
    <row r="23" spans="1:20" s="22" customFormat="1" ht="17.25" customHeight="1">
      <c r="A23" s="196" t="s">
        <v>1711</v>
      </c>
      <c r="B23" s="197" t="s">
        <v>1712</v>
      </c>
      <c r="C23" s="197" t="s">
        <v>1713</v>
      </c>
      <c r="D23" s="919" t="s">
        <v>2749</v>
      </c>
      <c r="E23" s="198" t="s">
        <v>1709</v>
      </c>
      <c r="F23" s="332">
        <f>E24</f>
        <v>43.06</v>
      </c>
      <c r="G23" s="332"/>
      <c r="H23" s="332">
        <f>F23*G23</f>
        <v>0</v>
      </c>
      <c r="I23" s="333">
        <v>0</v>
      </c>
      <c r="J23" s="334">
        <f>F23*I23</f>
        <v>0</v>
      </c>
      <c r="K23" s="509"/>
      <c r="L23" s="509"/>
      <c r="M23" s="509"/>
      <c r="N23" s="509"/>
      <c r="O23" s="509"/>
      <c r="P23" s="509"/>
      <c r="Q23" s="509"/>
      <c r="R23" s="509"/>
      <c r="S23" s="509"/>
      <c r="T23" s="509"/>
    </row>
    <row r="24" spans="1:20" s="130" customFormat="1" ht="28.5" customHeight="1">
      <c r="A24" s="204"/>
      <c r="B24" s="205"/>
      <c r="C24" s="206" t="s">
        <v>1714</v>
      </c>
      <c r="D24" s="925"/>
      <c r="E24" s="207">
        <f>(28.1+10.2+12.5+45.3+12.5+10.2+23.1+5.7+4.3+4.6+9.4+31+9.5+4.7+4.2)*1*0.2</f>
        <v>43.06</v>
      </c>
      <c r="F24" s="335"/>
      <c r="G24" s="335"/>
      <c r="H24" s="335"/>
      <c r="I24" s="336"/>
      <c r="J24" s="337"/>
      <c r="K24" s="672"/>
      <c r="L24" s="672"/>
      <c r="M24" s="672"/>
      <c r="N24" s="672"/>
      <c r="O24" s="672"/>
      <c r="P24" s="672"/>
      <c r="Q24" s="673"/>
      <c r="R24" s="508"/>
      <c r="S24" s="672"/>
      <c r="T24" s="508"/>
    </row>
    <row r="25" spans="1:10" s="1119" customFormat="1" ht="25.5" customHeight="1">
      <c r="A25" s="1110" t="s">
        <v>1715</v>
      </c>
      <c r="B25" s="1111" t="s">
        <v>1716</v>
      </c>
      <c r="C25" s="1112" t="s">
        <v>1717</v>
      </c>
      <c r="D25" s="1140" t="s">
        <v>2749</v>
      </c>
      <c r="E25" s="1113" t="s">
        <v>1718</v>
      </c>
      <c r="F25" s="1114">
        <v>2</v>
      </c>
      <c r="G25" s="1114"/>
      <c r="H25" s="1114"/>
      <c r="I25" s="1115">
        <v>0</v>
      </c>
      <c r="J25" s="1116">
        <f>F25*I25</f>
        <v>0</v>
      </c>
    </row>
    <row r="26" spans="1:10" s="1119" customFormat="1" ht="17.25" customHeight="1">
      <c r="A26" s="1110" t="s">
        <v>1719</v>
      </c>
      <c r="B26" s="1111" t="s">
        <v>1720</v>
      </c>
      <c r="C26" s="1111" t="s">
        <v>1721</v>
      </c>
      <c r="D26" s="1140" t="s">
        <v>2749</v>
      </c>
      <c r="E26" s="1113" t="s">
        <v>1718</v>
      </c>
      <c r="F26" s="1114">
        <v>2</v>
      </c>
      <c r="G26" s="1114"/>
      <c r="H26" s="1114"/>
      <c r="I26" s="1115">
        <v>0</v>
      </c>
      <c r="J26" s="1116">
        <f>F26*I26</f>
        <v>0</v>
      </c>
    </row>
    <row r="27" spans="1:20" s="130" customFormat="1" ht="15" customHeight="1">
      <c r="A27" s="204"/>
      <c r="B27" s="205"/>
      <c r="C27" s="206"/>
      <c r="D27" s="1105"/>
      <c r="E27" s="332"/>
      <c r="F27" s="335"/>
      <c r="G27" s="335"/>
      <c r="H27" s="335"/>
      <c r="I27" s="336"/>
      <c r="J27" s="337"/>
      <c r="K27" s="672"/>
      <c r="L27" s="672"/>
      <c r="M27" s="672"/>
      <c r="N27" s="672"/>
      <c r="O27" s="672"/>
      <c r="P27" s="672"/>
      <c r="Q27" s="673"/>
      <c r="R27" s="508"/>
      <c r="S27" s="672"/>
      <c r="T27" s="508"/>
    </row>
    <row r="28" spans="1:20" s="22" customFormat="1" ht="17.25" customHeight="1">
      <c r="A28" s="196" t="s">
        <v>1722</v>
      </c>
      <c r="B28" s="197" t="s">
        <v>1723</v>
      </c>
      <c r="C28" s="197" t="s">
        <v>1724</v>
      </c>
      <c r="D28" s="919" t="s">
        <v>2749</v>
      </c>
      <c r="E28" s="198" t="s">
        <v>1709</v>
      </c>
      <c r="F28" s="332">
        <f>E29</f>
        <v>63.711999999999996</v>
      </c>
      <c r="G28" s="332"/>
      <c r="H28" s="332">
        <f>F28*G28</f>
        <v>0</v>
      </c>
      <c r="I28" s="333">
        <v>0</v>
      </c>
      <c r="J28" s="334">
        <f>F28*I28</f>
        <v>0</v>
      </c>
      <c r="K28" s="509"/>
      <c r="L28" s="509"/>
      <c r="M28" s="509"/>
      <c r="N28" s="509"/>
      <c r="O28" s="509"/>
      <c r="P28" s="509"/>
      <c r="Q28" s="509"/>
      <c r="R28" s="509"/>
      <c r="S28" s="509"/>
      <c r="T28" s="509"/>
    </row>
    <row r="29" spans="1:20" s="130" customFormat="1" ht="37.5" customHeight="1">
      <c r="A29" s="204"/>
      <c r="B29" s="205"/>
      <c r="C29" s="206" t="s">
        <v>2882</v>
      </c>
      <c r="D29" s="925"/>
      <c r="E29" s="207">
        <f>180.66+43.06-201.8*0.14-30.4*0.18-80.6*0.14-91.6-23.4</f>
        <v>63.711999999999996</v>
      </c>
      <c r="F29" s="335"/>
      <c r="G29" s="335"/>
      <c r="H29" s="335"/>
      <c r="I29" s="336"/>
      <c r="J29" s="337"/>
      <c r="K29" s="672"/>
      <c r="L29" s="672"/>
      <c r="M29" s="672"/>
      <c r="N29" s="672"/>
      <c r="O29" s="672"/>
      <c r="P29" s="672"/>
      <c r="Q29" s="673"/>
      <c r="R29" s="508"/>
      <c r="S29" s="672"/>
      <c r="T29" s="508"/>
    </row>
    <row r="30" spans="1:20" s="22" customFormat="1" ht="17.25" customHeight="1">
      <c r="A30" s="196" t="s">
        <v>1725</v>
      </c>
      <c r="B30" s="197" t="s">
        <v>1726</v>
      </c>
      <c r="C30" s="199" t="s">
        <v>1727</v>
      </c>
      <c r="D30" s="925" t="s">
        <v>2749</v>
      </c>
      <c r="E30" s="198" t="s">
        <v>1709</v>
      </c>
      <c r="F30" s="1028">
        <f>E31</f>
        <v>136.60999999999999</v>
      </c>
      <c r="G30" s="332"/>
      <c r="H30" s="332">
        <f>F30*G30</f>
        <v>0</v>
      </c>
      <c r="I30" s="333">
        <v>0</v>
      </c>
      <c r="J30" s="334">
        <f>F30*I30</f>
        <v>0</v>
      </c>
      <c r="K30" s="509"/>
      <c r="L30" s="509"/>
      <c r="M30" s="509"/>
      <c r="N30" s="509"/>
      <c r="O30" s="509"/>
      <c r="P30" s="509"/>
      <c r="Q30" s="509"/>
      <c r="R30" s="509"/>
      <c r="S30" s="509"/>
      <c r="T30" s="509"/>
    </row>
    <row r="31" spans="1:20" s="130" customFormat="1" ht="18" customHeight="1">
      <c r="A31" s="204"/>
      <c r="B31" s="205"/>
      <c r="C31" s="206" t="s">
        <v>2883</v>
      </c>
      <c r="D31" s="925"/>
      <c r="E31" s="1051">
        <f>180.66+43.06-63.71-23.4</f>
        <v>136.60999999999999</v>
      </c>
      <c r="F31" s="335"/>
      <c r="G31" s="335"/>
      <c r="H31" s="335"/>
      <c r="I31" s="336"/>
      <c r="J31" s="337"/>
      <c r="K31" s="672"/>
      <c r="L31" s="672"/>
      <c r="M31" s="672"/>
      <c r="N31" s="672"/>
      <c r="O31" s="672"/>
      <c r="P31" s="672"/>
      <c r="Q31" s="673"/>
      <c r="R31" s="508"/>
      <c r="S31" s="672"/>
      <c r="T31" s="508"/>
    </row>
    <row r="32" spans="1:20" s="22" customFormat="1" ht="17.25" customHeight="1">
      <c r="A32" s="196" t="s">
        <v>1728</v>
      </c>
      <c r="B32" s="197" t="s">
        <v>1729</v>
      </c>
      <c r="C32" s="199" t="s">
        <v>1730</v>
      </c>
      <c r="D32" s="925"/>
      <c r="E32" s="198" t="s">
        <v>1709</v>
      </c>
      <c r="F32" s="332">
        <f>F30</f>
        <v>136.60999999999999</v>
      </c>
      <c r="G32" s="332"/>
      <c r="H32" s="332">
        <f>F32*G32</f>
        <v>0</v>
      </c>
      <c r="I32" s="333">
        <v>0</v>
      </c>
      <c r="J32" s="334">
        <f>F32*I32</f>
        <v>0</v>
      </c>
      <c r="K32" s="509"/>
      <c r="L32" s="509"/>
      <c r="M32" s="509"/>
      <c r="N32" s="509"/>
      <c r="O32" s="509"/>
      <c r="P32" s="509"/>
      <c r="Q32" s="509"/>
      <c r="R32" s="509"/>
      <c r="S32" s="509"/>
      <c r="T32" s="509"/>
    </row>
    <row r="33" spans="1:20" s="22" customFormat="1" ht="17.25" customHeight="1">
      <c r="A33" s="196" t="s">
        <v>1731</v>
      </c>
      <c r="B33" s="197" t="s">
        <v>1732</v>
      </c>
      <c r="C33" s="199" t="s">
        <v>1733</v>
      </c>
      <c r="D33" s="919" t="s">
        <v>2749</v>
      </c>
      <c r="E33" s="198" t="s">
        <v>1709</v>
      </c>
      <c r="F33" s="332">
        <v>91.6</v>
      </c>
      <c r="G33" s="332"/>
      <c r="H33" s="332">
        <f>F33*G33</f>
        <v>0</v>
      </c>
      <c r="I33" s="333">
        <v>1.9205</v>
      </c>
      <c r="J33" s="334">
        <f>F33*I33</f>
        <v>175.9178</v>
      </c>
      <c r="K33" s="509"/>
      <c r="L33" s="509"/>
      <c r="M33" s="509"/>
      <c r="N33" s="509"/>
      <c r="O33" s="509"/>
      <c r="P33" s="509"/>
      <c r="Q33" s="509"/>
      <c r="R33" s="509"/>
      <c r="S33" s="509"/>
      <c r="T33" s="509"/>
    </row>
    <row r="34" spans="1:20" s="22" customFormat="1" ht="17.25" customHeight="1">
      <c r="A34" s="196"/>
      <c r="B34" s="197"/>
      <c r="C34" s="199"/>
      <c r="D34" s="925"/>
      <c r="E34" s="198"/>
      <c r="F34" s="332"/>
      <c r="G34" s="332"/>
      <c r="H34" s="332"/>
      <c r="I34" s="333"/>
      <c r="J34" s="334"/>
      <c r="K34" s="509"/>
      <c r="L34" s="509"/>
      <c r="M34" s="509"/>
      <c r="N34" s="509"/>
      <c r="O34" s="509"/>
      <c r="P34" s="509"/>
      <c r="Q34" s="509"/>
      <c r="R34" s="509"/>
      <c r="S34" s="509"/>
      <c r="T34" s="509"/>
    </row>
    <row r="35" spans="1:59" s="1034" customFormat="1" ht="17.25" customHeight="1">
      <c r="A35" s="196" t="s">
        <v>1541</v>
      </c>
      <c r="B35" s="197" t="s">
        <v>1735</v>
      </c>
      <c r="C35" s="199" t="s">
        <v>1736</v>
      </c>
      <c r="D35" s="925" t="s">
        <v>2749</v>
      </c>
      <c r="E35" s="198" t="s">
        <v>1709</v>
      </c>
      <c r="F35" s="1101">
        <f>65*0.6*0.2</f>
        <v>7.800000000000001</v>
      </c>
      <c r="G35" s="332"/>
      <c r="H35" s="332">
        <f>F35*G35</f>
        <v>0</v>
      </c>
      <c r="I35" s="333">
        <v>1.89077</v>
      </c>
      <c r="J35" s="333">
        <f>F35*I35</f>
        <v>14.748006000000002</v>
      </c>
      <c r="K35" s="1033"/>
      <c r="L35" s="1033"/>
      <c r="M35" s="1033"/>
      <c r="N35" s="1033"/>
      <c r="O35" s="1033"/>
      <c r="P35" s="1033"/>
      <c r="Q35" s="1033">
        <v>2</v>
      </c>
      <c r="R35" s="1033"/>
      <c r="S35" s="1033"/>
      <c r="T35" s="1033"/>
      <c r="AA35" s="1034">
        <v>12</v>
      </c>
      <c r="AB35" s="1034">
        <v>0</v>
      </c>
      <c r="AC35" s="1034">
        <v>12</v>
      </c>
      <c r="BB35" s="1034">
        <v>1</v>
      </c>
      <c r="BC35" s="1034">
        <f>IF(BB35=1,H35,0)</f>
        <v>0</v>
      </c>
      <c r="BD35" s="1034">
        <f>IF(BB35=2,H35,0)</f>
        <v>0</v>
      </c>
      <c r="BE35" s="1034">
        <f>IF(BB35=3,H35,0)</f>
        <v>0</v>
      </c>
      <c r="BF35" s="1034">
        <f>IF(BB35=4,H35,0)</f>
        <v>0</v>
      </c>
      <c r="BG35" s="1034">
        <f>IF(BB35=5,H35,0)</f>
        <v>0</v>
      </c>
    </row>
    <row r="36" spans="1:59" s="1034" customFormat="1" ht="17.25" customHeight="1">
      <c r="A36" s="196" t="s">
        <v>1560</v>
      </c>
      <c r="B36" s="197" t="s">
        <v>1738</v>
      </c>
      <c r="C36" s="199" t="s">
        <v>1739</v>
      </c>
      <c r="D36" s="925"/>
      <c r="E36" s="198" t="s">
        <v>1709</v>
      </c>
      <c r="F36" s="1101">
        <f>65*0.6*0.4</f>
        <v>15.600000000000001</v>
      </c>
      <c r="G36" s="332"/>
      <c r="H36" s="332">
        <f>F36*G36</f>
        <v>0</v>
      </c>
      <c r="I36" s="333">
        <v>1.67</v>
      </c>
      <c r="J36" s="333">
        <f>F36*I36</f>
        <v>26.052</v>
      </c>
      <c r="K36" s="1033"/>
      <c r="L36" s="1033"/>
      <c r="M36" s="1033"/>
      <c r="N36" s="1033"/>
      <c r="O36" s="1033"/>
      <c r="P36" s="1033"/>
      <c r="Q36" s="1033">
        <v>2</v>
      </c>
      <c r="R36" s="1033"/>
      <c r="S36" s="1033"/>
      <c r="T36" s="1033"/>
      <c r="AA36" s="1034">
        <v>12</v>
      </c>
      <c r="AB36" s="1034">
        <v>0</v>
      </c>
      <c r="AC36" s="1034">
        <v>5</v>
      </c>
      <c r="BB36" s="1034">
        <v>1</v>
      </c>
      <c r="BC36" s="1034">
        <f>IF(BB36=1,H36,0)</f>
        <v>0</v>
      </c>
      <c r="BD36" s="1034">
        <f>IF(BB36=2,H36,0)</f>
        <v>0</v>
      </c>
      <c r="BE36" s="1034">
        <f>IF(BB36=3,H36,0)</f>
        <v>0</v>
      </c>
      <c r="BF36" s="1034">
        <f>IF(BB36=4,H36,0)</f>
        <v>0</v>
      </c>
      <c r="BG36" s="1034">
        <f>IF(BB36=5,H36,0)</f>
        <v>0</v>
      </c>
    </row>
    <row r="37" spans="1:20" s="1034" customFormat="1" ht="17.25" customHeight="1">
      <c r="A37" s="196" t="s">
        <v>1566</v>
      </c>
      <c r="B37" s="197" t="s">
        <v>1741</v>
      </c>
      <c r="C37" s="199" t="s">
        <v>1742</v>
      </c>
      <c r="D37" s="925"/>
      <c r="E37" s="198" t="s">
        <v>1709</v>
      </c>
      <c r="F37" s="1101">
        <f>65*0.6*0.6</f>
        <v>23.4</v>
      </c>
      <c r="G37" s="332"/>
      <c r="H37" s="332">
        <f>F37*G37</f>
        <v>0</v>
      </c>
      <c r="I37" s="333">
        <v>0</v>
      </c>
      <c r="J37" s="333">
        <f>F37*I37</f>
        <v>0</v>
      </c>
      <c r="K37" s="1033"/>
      <c r="L37" s="1033"/>
      <c r="M37" s="1033"/>
      <c r="N37" s="1033"/>
      <c r="O37" s="1033"/>
      <c r="P37" s="1033"/>
      <c r="Q37" s="1033"/>
      <c r="R37" s="1033"/>
      <c r="S37" s="1033"/>
      <c r="T37" s="1033"/>
    </row>
    <row r="38" spans="1:20" s="22" customFormat="1" ht="17.25" customHeight="1" thickBot="1">
      <c r="A38" s="200"/>
      <c r="B38" s="201"/>
      <c r="C38" s="202"/>
      <c r="D38" s="927"/>
      <c r="E38" s="203"/>
      <c r="F38" s="338"/>
      <c r="G38" s="338"/>
      <c r="H38" s="338"/>
      <c r="I38" s="339"/>
      <c r="J38" s="340"/>
      <c r="K38" s="509"/>
      <c r="L38" s="509"/>
      <c r="M38" s="509"/>
      <c r="N38" s="509"/>
      <c r="O38" s="509"/>
      <c r="P38" s="509"/>
      <c r="Q38" s="509"/>
      <c r="R38" s="509"/>
      <c r="S38" s="509"/>
      <c r="T38" s="509"/>
    </row>
    <row r="39" spans="1:20" ht="16.5" customHeight="1" thickBot="1">
      <c r="A39" s="226" t="s">
        <v>1743</v>
      </c>
      <c r="B39" s="175" t="s">
        <v>1744</v>
      </c>
      <c r="C39" s="176" t="s">
        <v>1745</v>
      </c>
      <c r="D39" s="1103"/>
      <c r="E39" s="175"/>
      <c r="F39" s="341"/>
      <c r="G39" s="341"/>
      <c r="H39" s="342">
        <f>SUM(H40:H71)</f>
        <v>0</v>
      </c>
      <c r="I39" s="343"/>
      <c r="J39" s="344">
        <f>SUM(J40:J71)</f>
        <v>251.33782694855813</v>
      </c>
      <c r="K39" s="670"/>
      <c r="L39" s="670"/>
      <c r="M39" s="670"/>
      <c r="N39" s="670"/>
      <c r="O39" s="670"/>
      <c r="P39" s="670"/>
      <c r="Q39" s="670"/>
      <c r="R39" s="670"/>
      <c r="S39" s="670"/>
      <c r="T39" s="670"/>
    </row>
    <row r="40" spans="1:20" s="22" customFormat="1" ht="17.25" customHeight="1">
      <c r="A40" s="190"/>
      <c r="B40" s="191"/>
      <c r="C40" s="191"/>
      <c r="D40" s="920"/>
      <c r="E40" s="192"/>
      <c r="F40" s="345"/>
      <c r="G40" s="345"/>
      <c r="H40" s="345"/>
      <c r="I40" s="346"/>
      <c r="J40" s="347"/>
      <c r="K40" s="509"/>
      <c r="L40" s="509"/>
      <c r="M40" s="509"/>
      <c r="N40" s="509"/>
      <c r="O40" s="509"/>
      <c r="P40" s="509"/>
      <c r="Q40" s="509"/>
      <c r="R40" s="509"/>
      <c r="S40" s="509"/>
      <c r="T40" s="509"/>
    </row>
    <row r="41" spans="1:20" s="22" customFormat="1" ht="23.25" customHeight="1">
      <c r="A41" s="196" t="s">
        <v>1734</v>
      </c>
      <c r="B41" s="197" t="s">
        <v>1746</v>
      </c>
      <c r="C41" s="199" t="s">
        <v>1747</v>
      </c>
      <c r="D41" s="926" t="s">
        <v>2752</v>
      </c>
      <c r="E41" s="198" t="s">
        <v>1748</v>
      </c>
      <c r="F41" s="332">
        <f>SUM(E42:E43)</f>
        <v>291.84</v>
      </c>
      <c r="G41" s="332"/>
      <c r="H41" s="332">
        <f>F41*G41</f>
        <v>0</v>
      </c>
      <c r="I41" s="333">
        <v>0.03279</v>
      </c>
      <c r="J41" s="334">
        <f>F41*I41</f>
        <v>9.569433599999998</v>
      </c>
      <c r="K41" s="509"/>
      <c r="L41" s="509"/>
      <c r="M41" s="509"/>
      <c r="N41" s="509"/>
      <c r="O41" s="509"/>
      <c r="P41" s="509"/>
      <c r="Q41" s="509"/>
      <c r="R41" s="509"/>
      <c r="S41" s="509"/>
      <c r="T41" s="509"/>
    </row>
    <row r="42" spans="1:20" s="130" customFormat="1" ht="18" customHeight="1">
      <c r="A42" s="204"/>
      <c r="B42" s="205" t="s">
        <v>1749</v>
      </c>
      <c r="C42" s="206" t="s">
        <v>1750</v>
      </c>
      <c r="D42" s="925"/>
      <c r="E42" s="207">
        <f>(250.1-11.9-6)*0.8</f>
        <v>185.76</v>
      </c>
      <c r="F42" s="335"/>
      <c r="G42" s="335"/>
      <c r="H42" s="335"/>
      <c r="I42" s="336"/>
      <c r="J42" s="337"/>
      <c r="K42" s="672"/>
      <c r="L42" s="672"/>
      <c r="M42" s="672"/>
      <c r="N42" s="672"/>
      <c r="O42" s="672"/>
      <c r="P42" s="672"/>
      <c r="Q42" s="673"/>
      <c r="R42" s="508"/>
      <c r="S42" s="672"/>
      <c r="T42" s="508"/>
    </row>
    <row r="43" spans="1:20" s="130" customFormat="1" ht="18" customHeight="1">
      <c r="A43" s="204"/>
      <c r="B43" s="205" t="s">
        <v>1751</v>
      </c>
      <c r="C43" s="206" t="s">
        <v>1752</v>
      </c>
      <c r="D43" s="925"/>
      <c r="E43" s="207">
        <f>44.2*1.2*2</f>
        <v>106.08</v>
      </c>
      <c r="F43" s="335"/>
      <c r="G43" s="335"/>
      <c r="H43" s="335"/>
      <c r="I43" s="336"/>
      <c r="J43" s="337"/>
      <c r="K43" s="672"/>
      <c r="L43" s="672"/>
      <c r="M43" s="672"/>
      <c r="N43" s="672"/>
      <c r="O43" s="672"/>
      <c r="P43" s="672"/>
      <c r="Q43" s="673"/>
      <c r="R43" s="508"/>
      <c r="S43" s="672"/>
      <c r="T43" s="508"/>
    </row>
    <row r="44" spans="1:20" s="22" customFormat="1" ht="27.75" customHeight="1">
      <c r="A44" s="196" t="s">
        <v>1753</v>
      </c>
      <c r="B44" s="197" t="s">
        <v>1754</v>
      </c>
      <c r="C44" s="199" t="s">
        <v>1755</v>
      </c>
      <c r="D44" s="926" t="s">
        <v>2752</v>
      </c>
      <c r="E44" s="198" t="s">
        <v>1748</v>
      </c>
      <c r="F44" s="332">
        <f>SUM(E45:E46)</f>
        <v>72.96</v>
      </c>
      <c r="G44" s="332"/>
      <c r="H44" s="332">
        <f>F44*G44</f>
        <v>0</v>
      </c>
      <c r="I44" s="333">
        <v>0.05306</v>
      </c>
      <c r="J44" s="334">
        <f>F44*I44</f>
        <v>3.8712576</v>
      </c>
      <c r="K44" s="509"/>
      <c r="L44" s="509"/>
      <c r="M44" s="509"/>
      <c r="N44" s="509"/>
      <c r="O44" s="509"/>
      <c r="P44" s="509"/>
      <c r="Q44" s="509"/>
      <c r="R44" s="509"/>
      <c r="S44" s="509"/>
      <c r="T44" s="509"/>
    </row>
    <row r="45" spans="1:24" s="211" customFormat="1" ht="20.25" customHeight="1">
      <c r="A45" s="223"/>
      <c r="B45" s="224" t="s">
        <v>1749</v>
      </c>
      <c r="C45" s="224" t="s">
        <v>1756</v>
      </c>
      <c r="D45" s="928"/>
      <c r="E45" s="220">
        <f>(250.1-11.9-6)*0.8*0.25</f>
        <v>46.44</v>
      </c>
      <c r="F45" s="225"/>
      <c r="G45" s="674"/>
      <c r="H45" s="225"/>
      <c r="I45" s="348"/>
      <c r="J45" s="349"/>
      <c r="K45" s="675"/>
      <c r="L45" s="675"/>
      <c r="M45" s="675"/>
      <c r="N45" s="675"/>
      <c r="O45" s="676"/>
      <c r="P45" s="676"/>
      <c r="Q45" s="676"/>
      <c r="R45" s="676"/>
      <c r="S45" s="515"/>
      <c r="T45" s="515"/>
      <c r="U45" s="210"/>
      <c r="V45" s="210"/>
      <c r="W45" s="210"/>
      <c r="X45" s="210"/>
    </row>
    <row r="46" spans="1:20" s="142" customFormat="1" ht="24.75" customHeight="1">
      <c r="A46" s="204"/>
      <c r="B46" s="212" t="s">
        <v>1751</v>
      </c>
      <c r="C46" s="212" t="s">
        <v>1757</v>
      </c>
      <c r="D46" s="929"/>
      <c r="E46" s="213">
        <f>44.2*1.2*2*0.25</f>
        <v>26.52</v>
      </c>
      <c r="F46" s="141"/>
      <c r="G46" s="141"/>
      <c r="H46" s="141"/>
      <c r="I46" s="350"/>
      <c r="J46" s="351"/>
      <c r="K46" s="215"/>
      <c r="L46" s="215"/>
      <c r="M46" s="214"/>
      <c r="N46" s="215"/>
      <c r="O46" s="215"/>
      <c r="P46" s="215"/>
      <c r="Q46" s="215"/>
      <c r="R46" s="215"/>
      <c r="S46" s="215"/>
      <c r="T46" s="215"/>
    </row>
    <row r="47" spans="1:20" s="22" customFormat="1" ht="17.25" customHeight="1">
      <c r="A47" s="196" t="s">
        <v>1758</v>
      </c>
      <c r="B47" s="197" t="s">
        <v>1759</v>
      </c>
      <c r="C47" s="197" t="s">
        <v>1760</v>
      </c>
      <c r="D47" s="919" t="s">
        <v>2753</v>
      </c>
      <c r="E47" s="198" t="s">
        <v>1748</v>
      </c>
      <c r="F47" s="332">
        <f>E48</f>
        <v>716.292</v>
      </c>
      <c r="G47" s="332"/>
      <c r="H47" s="332">
        <f>F47*G47</f>
        <v>0</v>
      </c>
      <c r="I47" s="333">
        <v>0.29836</v>
      </c>
      <c r="J47" s="334">
        <f>F47*I47</f>
        <v>213.71288112000002</v>
      </c>
      <c r="K47" s="509"/>
      <c r="L47" s="509"/>
      <c r="M47" s="509"/>
      <c r="N47" s="509"/>
      <c r="O47" s="509"/>
      <c r="P47" s="509"/>
      <c r="Q47" s="509"/>
      <c r="R47" s="509"/>
      <c r="S47" s="509"/>
      <c r="T47" s="509"/>
    </row>
    <row r="48" spans="1:24" s="211" customFormat="1" ht="18.75" customHeight="1">
      <c r="A48" s="223"/>
      <c r="B48" s="216"/>
      <c r="C48" s="224" t="s">
        <v>1761</v>
      </c>
      <c r="D48" s="928"/>
      <c r="E48" s="220">
        <f>1570.95*0.45+20.81*0.45</f>
        <v>716.292</v>
      </c>
      <c r="F48" s="225"/>
      <c r="G48" s="674"/>
      <c r="H48" s="225"/>
      <c r="I48" s="348"/>
      <c r="J48" s="349"/>
      <c r="K48" s="675"/>
      <c r="L48" s="675"/>
      <c r="M48" s="675"/>
      <c r="N48" s="675"/>
      <c r="O48" s="676"/>
      <c r="P48" s="676"/>
      <c r="Q48" s="676"/>
      <c r="R48" s="676"/>
      <c r="S48" s="515"/>
      <c r="T48" s="515"/>
      <c r="U48" s="210"/>
      <c r="V48" s="210"/>
      <c r="W48" s="210"/>
      <c r="X48" s="210"/>
    </row>
    <row r="49" spans="1:20" s="22" customFormat="1" ht="17.25" customHeight="1">
      <c r="A49" s="196"/>
      <c r="B49" s="197" t="s">
        <v>1762</v>
      </c>
      <c r="C49" s="197" t="s">
        <v>1763</v>
      </c>
      <c r="D49" s="919" t="s">
        <v>2754</v>
      </c>
      <c r="E49" s="198" t="s">
        <v>1748</v>
      </c>
      <c r="F49" s="332">
        <f>0.7*1.8+0.6</f>
        <v>1.8599999999999999</v>
      </c>
      <c r="G49" s="332"/>
      <c r="H49" s="332">
        <f>F49*G49</f>
        <v>0</v>
      </c>
      <c r="I49" s="333">
        <v>0.58567</v>
      </c>
      <c r="J49" s="334">
        <f>F49*I49</f>
        <v>1.0893462</v>
      </c>
      <c r="K49" s="509"/>
      <c r="L49" s="509"/>
      <c r="M49" s="509"/>
      <c r="N49" s="509"/>
      <c r="O49" s="509"/>
      <c r="P49" s="509"/>
      <c r="Q49" s="509"/>
      <c r="R49" s="509"/>
      <c r="S49" s="509"/>
      <c r="T49" s="509"/>
    </row>
    <row r="50" spans="1:20" s="22" customFormat="1" ht="17.25" customHeight="1">
      <c r="A50" s="196" t="s">
        <v>1764</v>
      </c>
      <c r="B50" s="197" t="s">
        <v>1765</v>
      </c>
      <c r="C50" s="197" t="s">
        <v>1766</v>
      </c>
      <c r="D50" s="919" t="s">
        <v>2755</v>
      </c>
      <c r="E50" s="198" t="s">
        <v>1709</v>
      </c>
      <c r="F50" s="332">
        <f>SUM(E51:E52)</f>
        <v>3.73383</v>
      </c>
      <c r="G50" s="332"/>
      <c r="H50" s="332">
        <f>F50*G50</f>
        <v>0</v>
      </c>
      <c r="I50" s="333">
        <v>1.95352</v>
      </c>
      <c r="J50" s="334">
        <f>F50*I50</f>
        <v>7.2941115816</v>
      </c>
      <c r="K50" s="509"/>
      <c r="L50" s="509"/>
      <c r="M50" s="509"/>
      <c r="N50" s="509"/>
      <c r="O50" s="509"/>
      <c r="P50" s="509"/>
      <c r="Q50" s="509"/>
      <c r="R50" s="509"/>
      <c r="S50" s="509"/>
      <c r="T50" s="509"/>
    </row>
    <row r="51" spans="1:20" s="130" customFormat="1" ht="16.5" customHeight="1">
      <c r="A51" s="204"/>
      <c r="B51" s="205" t="s">
        <v>1767</v>
      </c>
      <c r="C51" s="206" t="s">
        <v>1768</v>
      </c>
      <c r="D51" s="925"/>
      <c r="E51" s="207">
        <f>0.6*0.3*(0.287+1.113+0.29+0.29+2.061+0.29)</f>
        <v>0.77958</v>
      </c>
      <c r="F51" s="335"/>
      <c r="G51" s="335"/>
      <c r="H51" s="335"/>
      <c r="I51" s="336"/>
      <c r="J51" s="337"/>
      <c r="K51" s="672"/>
      <c r="L51" s="672"/>
      <c r="M51" s="672"/>
      <c r="N51" s="672"/>
      <c r="O51" s="672"/>
      <c r="P51" s="672"/>
      <c r="Q51" s="673"/>
      <c r="R51" s="508"/>
      <c r="S51" s="672"/>
      <c r="T51" s="508"/>
    </row>
    <row r="52" spans="1:20" s="142" customFormat="1" ht="21" customHeight="1">
      <c r="A52" s="204"/>
      <c r="B52" s="222" t="s">
        <v>1769</v>
      </c>
      <c r="C52" s="218" t="s">
        <v>1770</v>
      </c>
      <c r="D52" s="930"/>
      <c r="E52" s="220">
        <f>131.3*0.15*0.15</f>
        <v>2.95425</v>
      </c>
      <c r="F52" s="141"/>
      <c r="G52" s="141"/>
      <c r="H52" s="352"/>
      <c r="I52" s="352"/>
      <c r="J52" s="353"/>
      <c r="K52" s="677"/>
      <c r="L52" s="677"/>
      <c r="M52" s="215"/>
      <c r="N52" s="215"/>
      <c r="O52" s="215"/>
      <c r="P52" s="215"/>
      <c r="Q52" s="215"/>
      <c r="R52" s="215"/>
      <c r="S52" s="215"/>
      <c r="T52" s="215"/>
    </row>
    <row r="53" spans="1:20" s="22" customFormat="1" ht="17.25" customHeight="1">
      <c r="A53" s="196" t="s">
        <v>1737</v>
      </c>
      <c r="B53" s="197" t="s">
        <v>1771</v>
      </c>
      <c r="C53" s="197" t="s">
        <v>1772</v>
      </c>
      <c r="D53" s="919" t="s">
        <v>2755</v>
      </c>
      <c r="E53" s="198" t="s">
        <v>1748</v>
      </c>
      <c r="F53" s="332">
        <f>E54</f>
        <v>0.6496500000000001</v>
      </c>
      <c r="G53" s="332"/>
      <c r="H53" s="332">
        <f>F53*G53</f>
        <v>0</v>
      </c>
      <c r="I53" s="333">
        <v>0.00782</v>
      </c>
      <c r="J53" s="334">
        <f>F53*I53</f>
        <v>0.005080263000000001</v>
      </c>
      <c r="K53" s="509"/>
      <c r="L53" s="509"/>
      <c r="M53" s="509"/>
      <c r="N53" s="509"/>
      <c r="O53" s="509"/>
      <c r="P53" s="509"/>
      <c r="Q53" s="509"/>
      <c r="R53" s="509"/>
      <c r="S53" s="509"/>
      <c r="T53" s="509"/>
    </row>
    <row r="54" spans="1:20" s="130" customFormat="1" ht="16.5" customHeight="1">
      <c r="A54" s="204"/>
      <c r="B54" s="205" t="s">
        <v>1767</v>
      </c>
      <c r="C54" s="206" t="s">
        <v>1773</v>
      </c>
      <c r="D54" s="925"/>
      <c r="E54" s="207">
        <f>0.075*2*(0.287+1.113+0.29+0.29+2.061+0.29)</f>
        <v>0.6496500000000001</v>
      </c>
      <c r="F54" s="335"/>
      <c r="G54" s="335"/>
      <c r="H54" s="335"/>
      <c r="I54" s="336"/>
      <c r="J54" s="337"/>
      <c r="K54" s="672"/>
      <c r="L54" s="672"/>
      <c r="M54" s="672"/>
      <c r="N54" s="672"/>
      <c r="O54" s="672"/>
      <c r="P54" s="672"/>
      <c r="Q54" s="673"/>
      <c r="R54" s="508"/>
      <c r="S54" s="672"/>
      <c r="T54" s="508"/>
    </row>
    <row r="55" spans="1:20" s="22" customFormat="1" ht="17.25" customHeight="1">
      <c r="A55" s="196" t="s">
        <v>1740</v>
      </c>
      <c r="B55" s="197" t="s">
        <v>1774</v>
      </c>
      <c r="C55" s="197" t="s">
        <v>1775</v>
      </c>
      <c r="D55" s="919" t="s">
        <v>2755</v>
      </c>
      <c r="E55" s="198" t="s">
        <v>1748</v>
      </c>
      <c r="F55" s="332">
        <f>E56</f>
        <v>0.6496500000000001</v>
      </c>
      <c r="G55" s="332"/>
      <c r="H55" s="332">
        <f>F55*G55</f>
        <v>0</v>
      </c>
      <c r="I55" s="333">
        <v>0</v>
      </c>
      <c r="J55" s="334">
        <f>F55*I55</f>
        <v>0</v>
      </c>
      <c r="K55" s="509"/>
      <c r="L55" s="509"/>
      <c r="M55" s="509"/>
      <c r="N55" s="509"/>
      <c r="O55" s="509"/>
      <c r="P55" s="509"/>
      <c r="Q55" s="509"/>
      <c r="R55" s="509"/>
      <c r="S55" s="509"/>
      <c r="T55" s="509"/>
    </row>
    <row r="56" spans="1:20" s="130" customFormat="1" ht="16.5" customHeight="1">
      <c r="A56" s="204"/>
      <c r="B56" s="205" t="s">
        <v>1767</v>
      </c>
      <c r="C56" s="206" t="s">
        <v>1773</v>
      </c>
      <c r="D56" s="925"/>
      <c r="E56" s="207">
        <f>0.075*2*(0.287+1.113+0.29+0.29+2.061+0.29)</f>
        <v>0.6496500000000001</v>
      </c>
      <c r="F56" s="335"/>
      <c r="G56" s="335"/>
      <c r="H56" s="335"/>
      <c r="I56" s="336"/>
      <c r="J56" s="337"/>
      <c r="K56" s="672"/>
      <c r="L56" s="672"/>
      <c r="M56" s="672"/>
      <c r="N56" s="672"/>
      <c r="O56" s="672"/>
      <c r="P56" s="672"/>
      <c r="Q56" s="673"/>
      <c r="R56" s="508"/>
      <c r="S56" s="672"/>
      <c r="T56" s="508"/>
    </row>
    <row r="57" spans="1:20" s="22" customFormat="1" ht="17.25" customHeight="1">
      <c r="A57" s="196" t="s">
        <v>1776</v>
      </c>
      <c r="B57" s="197" t="s">
        <v>1777</v>
      </c>
      <c r="C57" s="197" t="s">
        <v>1778</v>
      </c>
      <c r="D57" s="919" t="s">
        <v>2755</v>
      </c>
      <c r="E57" s="198" t="s">
        <v>1709</v>
      </c>
      <c r="F57" s="332">
        <f>E58</f>
        <v>0.0974475</v>
      </c>
      <c r="G57" s="332"/>
      <c r="H57" s="332">
        <f>F57*G57</f>
        <v>0</v>
      </c>
      <c r="I57" s="333">
        <v>2.52517</v>
      </c>
      <c r="J57" s="334">
        <f>F57*I57</f>
        <v>0.24607150357500002</v>
      </c>
      <c r="K57" s="509"/>
      <c r="L57" s="509"/>
      <c r="M57" s="509"/>
      <c r="N57" s="509"/>
      <c r="O57" s="509"/>
      <c r="P57" s="509"/>
      <c r="Q57" s="509"/>
      <c r="R57" s="509"/>
      <c r="S57" s="509"/>
      <c r="T57" s="509"/>
    </row>
    <row r="58" spans="1:20" s="130" customFormat="1" ht="16.5" customHeight="1">
      <c r="A58" s="204"/>
      <c r="B58" s="205" t="s">
        <v>1767</v>
      </c>
      <c r="C58" s="206" t="s">
        <v>1779</v>
      </c>
      <c r="D58" s="925"/>
      <c r="E58" s="207">
        <f>0.075*0.3*(0.287+1.113+0.29+0.29+2.061+0.29)</f>
        <v>0.0974475</v>
      </c>
      <c r="F58" s="335"/>
      <c r="G58" s="335"/>
      <c r="H58" s="335"/>
      <c r="I58" s="336"/>
      <c r="J58" s="337"/>
      <c r="K58" s="672"/>
      <c r="L58" s="672"/>
      <c r="M58" s="672"/>
      <c r="N58" s="672"/>
      <c r="O58" s="672"/>
      <c r="P58" s="672"/>
      <c r="Q58" s="673"/>
      <c r="R58" s="508"/>
      <c r="S58" s="672"/>
      <c r="T58" s="508"/>
    </row>
    <row r="59" spans="1:20" s="22" customFormat="1" ht="17.25" customHeight="1">
      <c r="A59" s="196" t="s">
        <v>1780</v>
      </c>
      <c r="B59" s="197" t="s">
        <v>1781</v>
      </c>
      <c r="C59" s="197" t="s">
        <v>1782</v>
      </c>
      <c r="D59" s="919" t="s">
        <v>2755</v>
      </c>
      <c r="E59" s="198" t="s">
        <v>1783</v>
      </c>
      <c r="F59" s="332">
        <f>E60</f>
        <v>0.0092575125</v>
      </c>
      <c r="G59" s="332"/>
      <c r="H59" s="332">
        <f>F59*G59</f>
        <v>0</v>
      </c>
      <c r="I59" s="333">
        <v>1.01665</v>
      </c>
      <c r="J59" s="334">
        <f>F59*I59</f>
        <v>0.009411650083125</v>
      </c>
      <c r="K59" s="509"/>
      <c r="L59" s="509"/>
      <c r="M59" s="509"/>
      <c r="N59" s="509"/>
      <c r="O59" s="509"/>
      <c r="P59" s="509"/>
      <c r="Q59" s="509"/>
      <c r="R59" s="509"/>
      <c r="S59" s="509"/>
      <c r="T59" s="509"/>
    </row>
    <row r="60" spans="1:20" s="130" customFormat="1" ht="16.5" customHeight="1">
      <c r="A60" s="204"/>
      <c r="B60" s="205" t="s">
        <v>1767</v>
      </c>
      <c r="C60" s="206" t="s">
        <v>1784</v>
      </c>
      <c r="D60" s="925"/>
      <c r="E60" s="207">
        <f>0.075*0.3*(0.287+1.113+0.29+0.29+2.061+0.29)*0.095</f>
        <v>0.0092575125</v>
      </c>
      <c r="F60" s="335"/>
      <c r="G60" s="335"/>
      <c r="H60" s="335"/>
      <c r="I60" s="336"/>
      <c r="J60" s="337"/>
      <c r="K60" s="672"/>
      <c r="L60" s="672"/>
      <c r="M60" s="672"/>
      <c r="N60" s="672"/>
      <c r="O60" s="672"/>
      <c r="P60" s="672"/>
      <c r="Q60" s="673"/>
      <c r="R60" s="508"/>
      <c r="S60" s="672"/>
      <c r="T60" s="508"/>
    </row>
    <row r="61" spans="1:20" s="22" customFormat="1" ht="17.25" customHeight="1">
      <c r="A61" s="196"/>
      <c r="B61" s="197"/>
      <c r="C61" s="197"/>
      <c r="D61" s="919"/>
      <c r="E61" s="198"/>
      <c r="F61" s="332"/>
      <c r="G61" s="332"/>
      <c r="H61" s="332"/>
      <c r="I61" s="333"/>
      <c r="J61" s="334"/>
      <c r="K61" s="509"/>
      <c r="L61" s="509"/>
      <c r="M61" s="509"/>
      <c r="N61" s="509"/>
      <c r="O61" s="509"/>
      <c r="P61" s="509"/>
      <c r="Q61" s="509"/>
      <c r="R61" s="509"/>
      <c r="S61" s="509"/>
      <c r="T61" s="509"/>
    </row>
    <row r="62" spans="1:20" s="22" customFormat="1" ht="17.25" customHeight="1">
      <c r="A62" s="196" t="s">
        <v>1785</v>
      </c>
      <c r="B62" s="197" t="s">
        <v>1786</v>
      </c>
      <c r="C62" s="197" t="s">
        <v>1787</v>
      </c>
      <c r="D62" s="919" t="s">
        <v>2756</v>
      </c>
      <c r="E62" s="198" t="s">
        <v>1709</v>
      </c>
      <c r="F62" s="332">
        <f>E63</f>
        <v>6.6979</v>
      </c>
      <c r="G62" s="332"/>
      <c r="H62" s="332">
        <f>F62*G62</f>
        <v>0</v>
      </c>
      <c r="I62" s="333">
        <v>2.16728</v>
      </c>
      <c r="J62" s="334">
        <f>F62*I62</f>
        <v>14.516224711999998</v>
      </c>
      <c r="K62" s="509"/>
      <c r="L62" s="509"/>
      <c r="M62" s="509"/>
      <c r="N62" s="509"/>
      <c r="O62" s="509"/>
      <c r="P62" s="509"/>
      <c r="Q62" s="509"/>
      <c r="R62" s="509"/>
      <c r="S62" s="509"/>
      <c r="T62" s="509"/>
    </row>
    <row r="63" spans="1:20" s="130" customFormat="1" ht="28.5" customHeight="1">
      <c r="A63" s="204"/>
      <c r="B63" s="205" t="s">
        <v>1788</v>
      </c>
      <c r="C63" s="206" t="s">
        <v>1789</v>
      </c>
      <c r="D63" s="925"/>
      <c r="E63" s="207">
        <f>1.385*0.45*1.2+1*0.45*1.2+1.5*0.45*1.2*2+1.5*0.45*2.8*2+0.01</f>
        <v>6.6979</v>
      </c>
      <c r="F63" s="335"/>
      <c r="G63" s="335"/>
      <c r="H63" s="335"/>
      <c r="I63" s="336"/>
      <c r="J63" s="337"/>
      <c r="K63" s="672"/>
      <c r="L63" s="672"/>
      <c r="M63" s="672"/>
      <c r="N63" s="672"/>
      <c r="O63" s="672"/>
      <c r="P63" s="672"/>
      <c r="Q63" s="673"/>
      <c r="R63" s="508"/>
      <c r="S63" s="672"/>
      <c r="T63" s="508"/>
    </row>
    <row r="64" spans="1:20" s="22" customFormat="1" ht="21" customHeight="1">
      <c r="A64" s="196" t="s">
        <v>1790</v>
      </c>
      <c r="B64" s="197" t="s">
        <v>1777</v>
      </c>
      <c r="C64" s="199" t="s">
        <v>1791</v>
      </c>
      <c r="D64" s="919" t="s">
        <v>2756</v>
      </c>
      <c r="E64" s="198" t="s">
        <v>1709</v>
      </c>
      <c r="F64" s="332">
        <f>E65</f>
        <v>0.38259</v>
      </c>
      <c r="G64" s="332"/>
      <c r="H64" s="332">
        <f>F64*G64</f>
        <v>0</v>
      </c>
      <c r="I64" s="333">
        <v>2.52517</v>
      </c>
      <c r="J64" s="334">
        <f>F64*I64</f>
        <v>0.9661047903000001</v>
      </c>
      <c r="K64" s="509"/>
      <c r="L64" s="509"/>
      <c r="M64" s="509"/>
      <c r="N64" s="509"/>
      <c r="O64" s="509"/>
      <c r="P64" s="509"/>
      <c r="Q64" s="509"/>
      <c r="R64" s="509"/>
      <c r="S64" s="509"/>
      <c r="T64" s="509"/>
    </row>
    <row r="65" spans="1:20" s="130" customFormat="1" ht="28.5" customHeight="1">
      <c r="A65" s="204"/>
      <c r="B65" s="205" t="s">
        <v>1788</v>
      </c>
      <c r="C65" s="206" t="s">
        <v>1792</v>
      </c>
      <c r="D65" s="925"/>
      <c r="E65" s="207">
        <f>(1.385*0.45+1*0.45+1.5*0.45*4-0.15*0.15*5*4-0.15*0.15*6)*0.12</f>
        <v>0.38259</v>
      </c>
      <c r="F65" s="335"/>
      <c r="G65" s="335"/>
      <c r="H65" s="335"/>
      <c r="I65" s="336"/>
      <c r="J65" s="337"/>
      <c r="K65" s="672"/>
      <c r="L65" s="672"/>
      <c r="M65" s="672"/>
      <c r="N65" s="672"/>
      <c r="O65" s="672"/>
      <c r="P65" s="672"/>
      <c r="Q65" s="673"/>
      <c r="R65" s="508"/>
      <c r="S65" s="672"/>
      <c r="T65" s="508"/>
    </row>
    <row r="66" spans="1:20" s="22" customFormat="1" ht="17.25" customHeight="1">
      <c r="A66" s="196" t="s">
        <v>1793</v>
      </c>
      <c r="B66" s="197" t="s">
        <v>1781</v>
      </c>
      <c r="C66" s="197" t="s">
        <v>1794</v>
      </c>
      <c r="D66" s="919" t="s">
        <v>2756</v>
      </c>
      <c r="E66" s="198" t="s">
        <v>1783</v>
      </c>
      <c r="F66" s="332">
        <f>E67</f>
        <v>0.0304</v>
      </c>
      <c r="G66" s="332"/>
      <c r="H66" s="332">
        <f>F66*G66</f>
        <v>0</v>
      </c>
      <c r="I66" s="333">
        <v>1.01665</v>
      </c>
      <c r="J66" s="334">
        <f>F66*I66</f>
        <v>0.030906160000000002</v>
      </c>
      <c r="K66" s="509"/>
      <c r="L66" s="509"/>
      <c r="M66" s="509"/>
      <c r="N66" s="509"/>
      <c r="O66" s="509"/>
      <c r="P66" s="509"/>
      <c r="Q66" s="509"/>
      <c r="R66" s="509"/>
      <c r="S66" s="509"/>
      <c r="T66" s="509"/>
    </row>
    <row r="67" spans="1:20" s="130" customFormat="1" ht="16.5" customHeight="1">
      <c r="A67" s="204"/>
      <c r="B67" s="205" t="s">
        <v>1788</v>
      </c>
      <c r="C67" s="206" t="s">
        <v>1795</v>
      </c>
      <c r="D67" s="925"/>
      <c r="E67" s="207">
        <f>0.38*0.08</f>
        <v>0.0304</v>
      </c>
      <c r="F67" s="335"/>
      <c r="G67" s="335"/>
      <c r="H67" s="335"/>
      <c r="I67" s="336"/>
      <c r="J67" s="337"/>
      <c r="K67" s="672"/>
      <c r="L67" s="672"/>
      <c r="M67" s="672"/>
      <c r="N67" s="672"/>
      <c r="O67" s="672"/>
      <c r="P67" s="672"/>
      <c r="Q67" s="673"/>
      <c r="R67" s="508"/>
      <c r="S67" s="672"/>
      <c r="T67" s="508"/>
    </row>
    <row r="68" spans="1:20" s="22" customFormat="1" ht="17.25" customHeight="1">
      <c r="A68" s="196" t="s">
        <v>1796</v>
      </c>
      <c r="B68" s="197" t="s">
        <v>1771</v>
      </c>
      <c r="C68" s="197" t="s">
        <v>1797</v>
      </c>
      <c r="D68" s="919" t="s">
        <v>2756</v>
      </c>
      <c r="E68" s="198" t="s">
        <v>1748</v>
      </c>
      <c r="F68" s="332">
        <f>E69</f>
        <v>3.4524000000000004</v>
      </c>
      <c r="G68" s="332"/>
      <c r="H68" s="332">
        <f>F68*G68</f>
        <v>0</v>
      </c>
      <c r="I68" s="333">
        <v>0.00782</v>
      </c>
      <c r="J68" s="334">
        <f>F68*I68</f>
        <v>0.026997768000000005</v>
      </c>
      <c r="K68" s="509"/>
      <c r="L68" s="509"/>
      <c r="M68" s="509"/>
      <c r="N68" s="509"/>
      <c r="O68" s="509"/>
      <c r="P68" s="509"/>
      <c r="Q68" s="509"/>
      <c r="R68" s="509"/>
      <c r="S68" s="509"/>
      <c r="T68" s="509"/>
    </row>
    <row r="69" spans="1:20" s="130" customFormat="1" ht="28.5" customHeight="1">
      <c r="A69" s="204"/>
      <c r="B69" s="205" t="s">
        <v>1788</v>
      </c>
      <c r="C69" s="206" t="s">
        <v>1798</v>
      </c>
      <c r="D69" s="925"/>
      <c r="E69" s="207">
        <f>(1.385+0.45+1+0.45+1.5+0.45*4+(0.15+0.15)*5*4+(0.15+0.15)*6)*0.12*2</f>
        <v>3.4524000000000004</v>
      </c>
      <c r="F69" s="335"/>
      <c r="G69" s="335"/>
      <c r="H69" s="335"/>
      <c r="I69" s="336"/>
      <c r="J69" s="337"/>
      <c r="K69" s="672"/>
      <c r="L69" s="672"/>
      <c r="M69" s="672"/>
      <c r="N69" s="672"/>
      <c r="O69" s="672"/>
      <c r="P69" s="672"/>
      <c r="Q69" s="673"/>
      <c r="R69" s="508"/>
      <c r="S69" s="672"/>
      <c r="T69" s="508"/>
    </row>
    <row r="70" spans="1:20" s="22" customFormat="1" ht="17.25" customHeight="1">
      <c r="A70" s="196" t="s">
        <v>1799</v>
      </c>
      <c r="B70" s="197" t="s">
        <v>1774</v>
      </c>
      <c r="C70" s="197" t="s">
        <v>1800</v>
      </c>
      <c r="D70" s="919" t="s">
        <v>2756</v>
      </c>
      <c r="E70" s="198" t="s">
        <v>1748</v>
      </c>
      <c r="F70" s="332">
        <f>F68</f>
        <v>3.4524000000000004</v>
      </c>
      <c r="G70" s="332"/>
      <c r="H70" s="332">
        <f>F70*G70</f>
        <v>0</v>
      </c>
      <c r="I70" s="333">
        <v>0</v>
      </c>
      <c r="J70" s="334">
        <f>F70*I70</f>
        <v>0</v>
      </c>
      <c r="K70" s="509"/>
      <c r="L70" s="509"/>
      <c r="M70" s="509"/>
      <c r="N70" s="509"/>
      <c r="O70" s="509"/>
      <c r="P70" s="509"/>
      <c r="Q70" s="509"/>
      <c r="R70" s="509"/>
      <c r="S70" s="509"/>
      <c r="T70" s="509"/>
    </row>
    <row r="71" spans="1:20" s="22" customFormat="1" ht="17.25" customHeight="1" thickBot="1">
      <c r="A71" s="200"/>
      <c r="B71" s="201"/>
      <c r="C71" s="201"/>
      <c r="D71" s="931"/>
      <c r="E71" s="203"/>
      <c r="F71" s="338"/>
      <c r="G71" s="338"/>
      <c r="H71" s="338"/>
      <c r="I71" s="339"/>
      <c r="J71" s="340"/>
      <c r="K71" s="509"/>
      <c r="L71" s="509"/>
      <c r="M71" s="509"/>
      <c r="N71" s="509"/>
      <c r="O71" s="509"/>
      <c r="P71" s="509"/>
      <c r="Q71" s="509"/>
      <c r="R71" s="509"/>
      <c r="S71" s="509"/>
      <c r="T71" s="509"/>
    </row>
    <row r="72" spans="1:20" ht="16.5" customHeight="1" thickBot="1">
      <c r="A72" s="226" t="s">
        <v>1801</v>
      </c>
      <c r="B72" s="175" t="s">
        <v>1802</v>
      </c>
      <c r="C72" s="176" t="s">
        <v>1803</v>
      </c>
      <c r="D72" s="1103"/>
      <c r="E72" s="175"/>
      <c r="F72" s="341"/>
      <c r="G72" s="341"/>
      <c r="H72" s="342">
        <f>SUM(H73:H76)</f>
        <v>0</v>
      </c>
      <c r="I72" s="343"/>
      <c r="J72" s="344">
        <f>SUM(J73:J76)</f>
        <v>1.7809607500000002</v>
      </c>
      <c r="K72" s="670"/>
      <c r="L72" s="670"/>
      <c r="M72" s="670"/>
      <c r="N72" s="670"/>
      <c r="O72" s="670"/>
      <c r="P72" s="670"/>
      <c r="Q72" s="670"/>
      <c r="R72" s="670"/>
      <c r="S72" s="670"/>
      <c r="T72" s="670"/>
    </row>
    <row r="73" spans="1:20" s="240" customFormat="1" ht="13.5" customHeight="1">
      <c r="A73" s="227"/>
      <c r="B73" s="228"/>
      <c r="C73" s="229"/>
      <c r="D73" s="932"/>
      <c r="E73" s="230"/>
      <c r="F73" s="678"/>
      <c r="G73" s="678"/>
      <c r="H73" s="354"/>
      <c r="I73" s="354"/>
      <c r="J73" s="355"/>
      <c r="K73" s="679"/>
      <c r="L73" s="679"/>
      <c r="M73" s="239"/>
      <c r="N73" s="239"/>
      <c r="O73" s="239"/>
      <c r="P73" s="239"/>
      <c r="Q73" s="239"/>
      <c r="R73" s="239"/>
      <c r="S73" s="239"/>
      <c r="T73" s="239"/>
    </row>
    <row r="74" spans="1:20" s="22" customFormat="1" ht="18.75" customHeight="1">
      <c r="A74" s="196" t="s">
        <v>1804</v>
      </c>
      <c r="B74" s="197" t="s">
        <v>1805</v>
      </c>
      <c r="C74" s="197" t="s">
        <v>1806</v>
      </c>
      <c r="D74" s="919" t="s">
        <v>2757</v>
      </c>
      <c r="E74" s="198" t="s">
        <v>1748</v>
      </c>
      <c r="F74" s="332">
        <f>E75</f>
        <v>105.69500000000001</v>
      </c>
      <c r="G74" s="332"/>
      <c r="H74" s="332">
        <f>F74*G74</f>
        <v>0</v>
      </c>
      <c r="I74" s="333">
        <v>0.01685</v>
      </c>
      <c r="J74" s="334">
        <f>F74*I74</f>
        <v>1.7809607500000002</v>
      </c>
      <c r="K74" s="509"/>
      <c r="L74" s="509"/>
      <c r="M74" s="509"/>
      <c r="N74" s="509"/>
      <c r="O74" s="509"/>
      <c r="P74" s="509"/>
      <c r="Q74" s="509"/>
      <c r="R74" s="509"/>
      <c r="S74" s="509"/>
      <c r="T74" s="509"/>
    </row>
    <row r="75" spans="1:20" s="240" customFormat="1" ht="21" customHeight="1">
      <c r="A75" s="231"/>
      <c r="B75" s="232" t="s">
        <v>1807</v>
      </c>
      <c r="C75" s="233" t="s">
        <v>1808</v>
      </c>
      <c r="D75" s="933"/>
      <c r="E75" s="213">
        <f>91.9*1.15+0.01</f>
        <v>105.69500000000001</v>
      </c>
      <c r="F75" s="387"/>
      <c r="G75" s="387"/>
      <c r="H75" s="356"/>
      <c r="I75" s="356"/>
      <c r="J75" s="357"/>
      <c r="K75" s="679"/>
      <c r="L75" s="679"/>
      <c r="M75" s="239"/>
      <c r="N75" s="239"/>
      <c r="O75" s="239"/>
      <c r="P75" s="239"/>
      <c r="Q75" s="239"/>
      <c r="R75" s="239"/>
      <c r="S75" s="239"/>
      <c r="T75" s="239"/>
    </row>
    <row r="76" spans="1:20" s="240" customFormat="1" ht="12.75" customHeight="1" thickBot="1">
      <c r="A76" s="234"/>
      <c r="B76" s="235"/>
      <c r="C76" s="236"/>
      <c r="D76" s="934"/>
      <c r="E76" s="237"/>
      <c r="F76" s="680"/>
      <c r="G76" s="680"/>
      <c r="H76" s="358"/>
      <c r="I76" s="358"/>
      <c r="J76" s="359"/>
      <c r="K76" s="679"/>
      <c r="L76" s="679"/>
      <c r="M76" s="239"/>
      <c r="N76" s="239"/>
      <c r="O76" s="239"/>
      <c r="P76" s="239"/>
      <c r="Q76" s="239"/>
      <c r="R76" s="239"/>
      <c r="S76" s="239"/>
      <c r="T76" s="239"/>
    </row>
    <row r="77" spans="1:20" ht="16.5" customHeight="1" thickBot="1">
      <c r="A77" s="226" t="s">
        <v>1809</v>
      </c>
      <c r="B77" s="175" t="s">
        <v>1810</v>
      </c>
      <c r="C77" s="176" t="s">
        <v>1811</v>
      </c>
      <c r="D77" s="1103"/>
      <c r="E77" s="175"/>
      <c r="F77" s="341"/>
      <c r="G77" s="341"/>
      <c r="H77" s="342">
        <f>SUM(H78:H95)</f>
        <v>0</v>
      </c>
      <c r="I77" s="343"/>
      <c r="J77" s="344">
        <f>SUM(J78:J95)</f>
        <v>4.64032575</v>
      </c>
      <c r="K77" s="670"/>
      <c r="L77" s="670"/>
      <c r="M77" s="670"/>
      <c r="N77" s="670"/>
      <c r="O77" s="670"/>
      <c r="P77" s="670"/>
      <c r="Q77" s="670"/>
      <c r="R77" s="670"/>
      <c r="S77" s="670"/>
      <c r="T77" s="670"/>
    </row>
    <row r="78" spans="1:20" s="22" customFormat="1" ht="15" customHeight="1">
      <c r="A78" s="190"/>
      <c r="B78" s="191"/>
      <c r="C78" s="191"/>
      <c r="D78" s="920"/>
      <c r="E78" s="192"/>
      <c r="F78" s="345"/>
      <c r="G78" s="345"/>
      <c r="H78" s="345"/>
      <c r="I78" s="346"/>
      <c r="J78" s="347"/>
      <c r="K78" s="509"/>
      <c r="L78" s="509"/>
      <c r="M78" s="509"/>
      <c r="N78" s="509"/>
      <c r="O78" s="509"/>
      <c r="P78" s="509"/>
      <c r="Q78" s="509"/>
      <c r="R78" s="509"/>
      <c r="S78" s="509"/>
      <c r="T78" s="509"/>
    </row>
    <row r="79" spans="1:20" s="22" customFormat="1" ht="16.5" customHeight="1">
      <c r="A79" s="196" t="s">
        <v>1812</v>
      </c>
      <c r="B79" s="197" t="s">
        <v>1813</v>
      </c>
      <c r="C79" s="197" t="s">
        <v>1814</v>
      </c>
      <c r="D79" s="919" t="s">
        <v>2758</v>
      </c>
      <c r="E79" s="198" t="s">
        <v>1748</v>
      </c>
      <c r="F79" s="332">
        <f>E80</f>
        <v>3.995</v>
      </c>
      <c r="G79" s="332"/>
      <c r="H79" s="332">
        <f>F79*G79</f>
        <v>0</v>
      </c>
      <c r="I79" s="333">
        <v>0.25094</v>
      </c>
      <c r="J79" s="334">
        <f>F79*I79</f>
        <v>1.0025053</v>
      </c>
      <c r="K79" s="509"/>
      <c r="L79" s="509"/>
      <c r="M79" s="509"/>
      <c r="N79" s="509"/>
      <c r="O79" s="509"/>
      <c r="P79" s="509"/>
      <c r="Q79" s="509"/>
      <c r="R79" s="509"/>
      <c r="S79" s="509"/>
      <c r="T79" s="509"/>
    </row>
    <row r="80" spans="1:20" s="130" customFormat="1" ht="16.5" customHeight="1">
      <c r="A80" s="204"/>
      <c r="B80" s="205" t="s">
        <v>1767</v>
      </c>
      <c r="C80" s="206" t="s">
        <v>1815</v>
      </c>
      <c r="D80" s="925"/>
      <c r="E80" s="207">
        <f>2.35*1.7</f>
        <v>3.995</v>
      </c>
      <c r="F80" s="335"/>
      <c r="G80" s="335"/>
      <c r="H80" s="335"/>
      <c r="I80" s="336"/>
      <c r="J80" s="337"/>
      <c r="K80" s="672"/>
      <c r="L80" s="672"/>
      <c r="M80" s="672"/>
      <c r="N80" s="672"/>
      <c r="O80" s="672"/>
      <c r="P80" s="672"/>
      <c r="Q80" s="673"/>
      <c r="R80" s="508"/>
      <c r="S80" s="672"/>
      <c r="T80" s="508"/>
    </row>
    <row r="81" spans="1:20" s="22" customFormat="1" ht="15" customHeight="1">
      <c r="A81" s="196" t="s">
        <v>1816</v>
      </c>
      <c r="B81" s="197" t="s">
        <v>1817</v>
      </c>
      <c r="C81" s="197" t="s">
        <v>1818</v>
      </c>
      <c r="D81" s="919" t="s">
        <v>2758</v>
      </c>
      <c r="E81" s="198" t="s">
        <v>1709</v>
      </c>
      <c r="F81" s="332">
        <f>E82</f>
        <v>0.59925</v>
      </c>
      <c r="G81" s="332"/>
      <c r="H81" s="332">
        <f>F81*G81</f>
        <v>0</v>
      </c>
      <c r="I81" s="333">
        <v>2.52512</v>
      </c>
      <c r="J81" s="334">
        <f>F81*I81</f>
        <v>1.5131781599999998</v>
      </c>
      <c r="K81" s="509"/>
      <c r="L81" s="509"/>
      <c r="M81" s="509"/>
      <c r="N81" s="509"/>
      <c r="O81" s="509"/>
      <c r="P81" s="509"/>
      <c r="Q81" s="509"/>
      <c r="R81" s="509"/>
      <c r="S81" s="509"/>
      <c r="T81" s="509"/>
    </row>
    <row r="82" spans="1:20" s="130" customFormat="1" ht="16.5" customHeight="1">
      <c r="A82" s="204"/>
      <c r="B82" s="205" t="s">
        <v>1767</v>
      </c>
      <c r="C82" s="206" t="s">
        <v>1819</v>
      </c>
      <c r="D82" s="925"/>
      <c r="E82" s="207">
        <f>2.35*1.7*0.15</f>
        <v>0.59925</v>
      </c>
      <c r="F82" s="335"/>
      <c r="G82" s="335"/>
      <c r="H82" s="335"/>
      <c r="I82" s="336"/>
      <c r="J82" s="337"/>
      <c r="K82" s="672"/>
      <c r="L82" s="672"/>
      <c r="M82" s="672"/>
      <c r="N82" s="672"/>
      <c r="O82" s="672"/>
      <c r="P82" s="672"/>
      <c r="Q82" s="673"/>
      <c r="R82" s="508"/>
      <c r="S82" s="672"/>
      <c r="T82" s="508"/>
    </row>
    <row r="83" spans="1:20" s="22" customFormat="1" ht="15" customHeight="1">
      <c r="A83" s="196" t="s">
        <v>1820</v>
      </c>
      <c r="B83" s="197" t="s">
        <v>1821</v>
      </c>
      <c r="C83" s="197" t="s">
        <v>1822</v>
      </c>
      <c r="D83" s="919" t="s">
        <v>2758</v>
      </c>
      <c r="E83" s="198" t="s">
        <v>1783</v>
      </c>
      <c r="F83" s="332">
        <v>0.432</v>
      </c>
      <c r="G83" s="332"/>
      <c r="H83" s="332">
        <f aca="true" t="shared" si="0" ref="H83:H91">F83*G83</f>
        <v>0</v>
      </c>
      <c r="I83" s="333">
        <v>1.02092</v>
      </c>
      <c r="J83" s="334">
        <f aca="true" t="shared" si="1" ref="J83:J91">F83*I83</f>
        <v>0.44103744</v>
      </c>
      <c r="K83" s="509"/>
      <c r="L83" s="509"/>
      <c r="M83" s="509"/>
      <c r="N83" s="509"/>
      <c r="O83" s="509"/>
      <c r="P83" s="509"/>
      <c r="Q83" s="509"/>
      <c r="R83" s="509"/>
      <c r="S83" s="509"/>
      <c r="T83" s="509"/>
    </row>
    <row r="84" spans="1:20" s="22" customFormat="1" ht="15" customHeight="1">
      <c r="A84" s="196" t="s">
        <v>1823</v>
      </c>
      <c r="B84" s="197" t="s">
        <v>1824</v>
      </c>
      <c r="C84" s="197" t="s">
        <v>1825</v>
      </c>
      <c r="D84" s="919" t="s">
        <v>2758</v>
      </c>
      <c r="E84" s="198" t="s">
        <v>1826</v>
      </c>
      <c r="F84" s="332">
        <f>E85</f>
        <v>14.100000000000001</v>
      </c>
      <c r="G84" s="332"/>
      <c r="H84" s="332">
        <f t="shared" si="0"/>
        <v>0</v>
      </c>
      <c r="I84" s="333">
        <v>0.03462</v>
      </c>
      <c r="J84" s="334">
        <f t="shared" si="1"/>
        <v>0.488142</v>
      </c>
      <c r="K84" s="509"/>
      <c r="L84" s="509"/>
      <c r="M84" s="509"/>
      <c r="N84" s="509"/>
      <c r="O84" s="509"/>
      <c r="P84" s="509"/>
      <c r="Q84" s="509"/>
      <c r="R84" s="509"/>
      <c r="S84" s="509"/>
      <c r="T84" s="509"/>
    </row>
    <row r="85" spans="1:20" s="130" customFormat="1" ht="16.5" customHeight="1">
      <c r="A85" s="204"/>
      <c r="B85" s="205" t="s">
        <v>1767</v>
      </c>
      <c r="C85" s="206" t="s">
        <v>1827</v>
      </c>
      <c r="D85" s="925"/>
      <c r="E85" s="207">
        <f>2.35*6</f>
        <v>14.100000000000001</v>
      </c>
      <c r="F85" s="335"/>
      <c r="G85" s="335"/>
      <c r="H85" s="335"/>
      <c r="I85" s="336"/>
      <c r="J85" s="337"/>
      <c r="K85" s="672"/>
      <c r="L85" s="672"/>
      <c r="M85" s="672"/>
      <c r="N85" s="672"/>
      <c r="O85" s="672"/>
      <c r="P85" s="672"/>
      <c r="Q85" s="673"/>
      <c r="R85" s="508"/>
      <c r="S85" s="672"/>
      <c r="T85" s="508"/>
    </row>
    <row r="86" spans="1:20" s="22" customFormat="1" ht="15" customHeight="1">
      <c r="A86" s="196" t="s">
        <v>1828</v>
      </c>
      <c r="B86" s="197" t="s">
        <v>1829</v>
      </c>
      <c r="C86" s="197" t="s">
        <v>1830</v>
      </c>
      <c r="D86" s="919" t="s">
        <v>2758</v>
      </c>
      <c r="E86" s="198" t="s">
        <v>1831</v>
      </c>
      <c r="F86" s="332">
        <v>6</v>
      </c>
      <c r="G86" s="332"/>
      <c r="H86" s="332">
        <f t="shared" si="0"/>
        <v>0</v>
      </c>
      <c r="I86" s="333">
        <v>0.036</v>
      </c>
      <c r="J86" s="334">
        <f t="shared" si="1"/>
        <v>0.21599999999999997</v>
      </c>
      <c r="K86" s="509"/>
      <c r="L86" s="509"/>
      <c r="M86" s="509"/>
      <c r="N86" s="509"/>
      <c r="O86" s="509"/>
      <c r="P86" s="509"/>
      <c r="Q86" s="509"/>
      <c r="R86" s="509"/>
      <c r="S86" s="509"/>
      <c r="T86" s="509"/>
    </row>
    <row r="87" spans="1:20" s="22" customFormat="1" ht="15" customHeight="1">
      <c r="A87" s="196" t="s">
        <v>1832</v>
      </c>
      <c r="B87" s="197" t="s">
        <v>1833</v>
      </c>
      <c r="C87" s="197" t="s">
        <v>1834</v>
      </c>
      <c r="D87" s="919" t="s">
        <v>2758</v>
      </c>
      <c r="E87" s="198" t="s">
        <v>1826</v>
      </c>
      <c r="F87" s="332">
        <f>E88</f>
        <v>4.331</v>
      </c>
      <c r="G87" s="332"/>
      <c r="H87" s="332">
        <f t="shared" si="0"/>
        <v>0</v>
      </c>
      <c r="I87" s="333">
        <v>0.06727</v>
      </c>
      <c r="J87" s="334">
        <f t="shared" si="1"/>
        <v>0.29134637</v>
      </c>
      <c r="K87" s="509"/>
      <c r="L87" s="509"/>
      <c r="M87" s="509"/>
      <c r="N87" s="509"/>
      <c r="O87" s="509"/>
      <c r="P87" s="509"/>
      <c r="Q87" s="509"/>
      <c r="R87" s="509"/>
      <c r="S87" s="509"/>
      <c r="T87" s="509"/>
    </row>
    <row r="88" spans="1:20" s="130" customFormat="1" ht="16.5" customHeight="1">
      <c r="A88" s="204"/>
      <c r="B88" s="205" t="s">
        <v>1767</v>
      </c>
      <c r="C88" s="206" t="s">
        <v>1835</v>
      </c>
      <c r="D88" s="925"/>
      <c r="E88" s="207">
        <f>(0.287+1.113+0.29+0.29+2.061+0.29)</f>
        <v>4.331</v>
      </c>
      <c r="F88" s="335"/>
      <c r="G88" s="335"/>
      <c r="H88" s="335"/>
      <c r="I88" s="336"/>
      <c r="J88" s="337"/>
      <c r="K88" s="672"/>
      <c r="L88" s="672"/>
      <c r="M88" s="672"/>
      <c r="N88" s="672"/>
      <c r="O88" s="672"/>
      <c r="P88" s="672"/>
      <c r="Q88" s="673"/>
      <c r="R88" s="508"/>
      <c r="S88" s="672"/>
      <c r="T88" s="508"/>
    </row>
    <row r="89" spans="1:20" s="22" customFormat="1" ht="15" customHeight="1">
      <c r="A89" s="196" t="s">
        <v>1836</v>
      </c>
      <c r="B89" s="197" t="s">
        <v>1837</v>
      </c>
      <c r="C89" s="197" t="s">
        <v>1838</v>
      </c>
      <c r="D89" s="919" t="s">
        <v>2758</v>
      </c>
      <c r="E89" s="198" t="s">
        <v>1748</v>
      </c>
      <c r="F89" s="332">
        <f>E90</f>
        <v>6.096</v>
      </c>
      <c r="G89" s="332"/>
      <c r="H89" s="332">
        <f t="shared" si="0"/>
        <v>0</v>
      </c>
      <c r="I89" s="333">
        <v>0.0042</v>
      </c>
      <c r="J89" s="334">
        <f t="shared" si="1"/>
        <v>0.0256032</v>
      </c>
      <c r="K89" s="509"/>
      <c r="L89" s="509"/>
      <c r="M89" s="509"/>
      <c r="N89" s="509"/>
      <c r="O89" s="509"/>
      <c r="P89" s="509"/>
      <c r="Q89" s="509"/>
      <c r="R89" s="509"/>
      <c r="S89" s="509"/>
      <c r="T89" s="509"/>
    </row>
    <row r="90" spans="1:20" s="130" customFormat="1" ht="16.5" customHeight="1">
      <c r="A90" s="204"/>
      <c r="B90" s="205" t="s">
        <v>1767</v>
      </c>
      <c r="C90" s="206" t="s">
        <v>1839</v>
      </c>
      <c r="D90" s="925"/>
      <c r="E90" s="207">
        <f>5.75+2.4*0.14+0.01</f>
        <v>6.096</v>
      </c>
      <c r="F90" s="335"/>
      <c r="G90" s="335"/>
      <c r="H90" s="335"/>
      <c r="I90" s="336"/>
      <c r="J90" s="337"/>
      <c r="K90" s="672"/>
      <c r="L90" s="672"/>
      <c r="M90" s="672"/>
      <c r="N90" s="672"/>
      <c r="O90" s="672"/>
      <c r="P90" s="672"/>
      <c r="Q90" s="673"/>
      <c r="R90" s="508"/>
      <c r="S90" s="672"/>
      <c r="T90" s="508"/>
    </row>
    <row r="91" spans="1:20" s="22" customFormat="1" ht="15" customHeight="1">
      <c r="A91" s="196" t="s">
        <v>1840</v>
      </c>
      <c r="B91" s="197" t="s">
        <v>1841</v>
      </c>
      <c r="C91" s="197" t="s">
        <v>1842</v>
      </c>
      <c r="D91" s="919" t="s">
        <v>2758</v>
      </c>
      <c r="E91" s="198" t="s">
        <v>1748</v>
      </c>
      <c r="F91" s="332">
        <f>E92</f>
        <v>6.096</v>
      </c>
      <c r="G91" s="332"/>
      <c r="H91" s="332">
        <f t="shared" si="0"/>
        <v>0</v>
      </c>
      <c r="I91" s="333">
        <v>0.05434</v>
      </c>
      <c r="J91" s="334">
        <f t="shared" si="1"/>
        <v>0.33125664</v>
      </c>
      <c r="K91" s="509"/>
      <c r="L91" s="509"/>
      <c r="M91" s="509"/>
      <c r="N91" s="509"/>
      <c r="O91" s="509"/>
      <c r="P91" s="509"/>
      <c r="Q91" s="509"/>
      <c r="R91" s="509"/>
      <c r="S91" s="509"/>
      <c r="T91" s="509"/>
    </row>
    <row r="92" spans="1:20" s="130" customFormat="1" ht="16.5" customHeight="1">
      <c r="A92" s="204"/>
      <c r="B92" s="205" t="s">
        <v>1767</v>
      </c>
      <c r="C92" s="206" t="s">
        <v>1839</v>
      </c>
      <c r="D92" s="925"/>
      <c r="E92" s="207">
        <f>5.75+2.4*0.14+0.01</f>
        <v>6.096</v>
      </c>
      <c r="F92" s="335"/>
      <c r="G92" s="335"/>
      <c r="H92" s="335"/>
      <c r="I92" s="336"/>
      <c r="J92" s="337"/>
      <c r="K92" s="672"/>
      <c r="L92" s="672"/>
      <c r="M92" s="672"/>
      <c r="N92" s="672"/>
      <c r="O92" s="672"/>
      <c r="P92" s="672"/>
      <c r="Q92" s="673"/>
      <c r="R92" s="508"/>
      <c r="S92" s="672"/>
      <c r="T92" s="508"/>
    </row>
    <row r="93" spans="1:20" s="22" customFormat="1" ht="15" customHeight="1">
      <c r="A93" s="196" t="s">
        <v>1843</v>
      </c>
      <c r="B93" s="197" t="s">
        <v>1844</v>
      </c>
      <c r="C93" s="197" t="s">
        <v>1845</v>
      </c>
      <c r="D93" s="919" t="s">
        <v>2759</v>
      </c>
      <c r="E93" s="198" t="s">
        <v>1748</v>
      </c>
      <c r="F93" s="332">
        <f>E94</f>
        <v>6.096</v>
      </c>
      <c r="G93" s="332"/>
      <c r="H93" s="332">
        <f>F93*G93</f>
        <v>0</v>
      </c>
      <c r="I93" s="333">
        <v>0.05434</v>
      </c>
      <c r="J93" s="334">
        <f>F93*I93</f>
        <v>0.33125664</v>
      </c>
      <c r="K93" s="509"/>
      <c r="L93" s="509"/>
      <c r="M93" s="509"/>
      <c r="N93" s="509"/>
      <c r="O93" s="509"/>
      <c r="P93" s="509"/>
      <c r="Q93" s="509"/>
      <c r="R93" s="509"/>
      <c r="S93" s="509"/>
      <c r="T93" s="509"/>
    </row>
    <row r="94" spans="1:20" s="130" customFormat="1" ht="16.5" customHeight="1">
      <c r="A94" s="204"/>
      <c r="B94" s="205" t="s">
        <v>1767</v>
      </c>
      <c r="C94" s="206" t="s">
        <v>1839</v>
      </c>
      <c r="D94" s="925"/>
      <c r="E94" s="207">
        <f>5.75+2.4*0.14+0.01</f>
        <v>6.096</v>
      </c>
      <c r="F94" s="335"/>
      <c r="G94" s="335"/>
      <c r="H94" s="335"/>
      <c r="I94" s="336"/>
      <c r="J94" s="337"/>
      <c r="K94" s="672"/>
      <c r="L94" s="672"/>
      <c r="M94" s="672"/>
      <c r="N94" s="672"/>
      <c r="O94" s="672"/>
      <c r="P94" s="672"/>
      <c r="Q94" s="673"/>
      <c r="R94" s="508"/>
      <c r="S94" s="672"/>
      <c r="T94" s="508"/>
    </row>
    <row r="95" spans="1:20" s="130" customFormat="1" ht="16.5" customHeight="1" thickBot="1">
      <c r="A95" s="241"/>
      <c r="B95" s="242"/>
      <c r="C95" s="243"/>
      <c r="D95" s="935"/>
      <c r="E95" s="244"/>
      <c r="F95" s="360"/>
      <c r="G95" s="360"/>
      <c r="H95" s="360"/>
      <c r="I95" s="361"/>
      <c r="J95" s="362"/>
      <c r="K95" s="672"/>
      <c r="L95" s="672"/>
      <c r="M95" s="672"/>
      <c r="N95" s="672"/>
      <c r="O95" s="672"/>
      <c r="P95" s="672"/>
      <c r="Q95" s="673"/>
      <c r="R95" s="508"/>
      <c r="S95" s="672"/>
      <c r="T95" s="508"/>
    </row>
    <row r="96" spans="1:20" ht="16.5" customHeight="1" thickBot="1">
      <c r="A96" s="226" t="s">
        <v>1846</v>
      </c>
      <c r="B96" s="175" t="s">
        <v>1628</v>
      </c>
      <c r="C96" s="176" t="s">
        <v>1847</v>
      </c>
      <c r="D96" s="1103"/>
      <c r="E96" s="175"/>
      <c r="F96" s="341"/>
      <c r="G96" s="341"/>
      <c r="H96" s="342">
        <f>SUM(H98:H115)</f>
        <v>0</v>
      </c>
      <c r="I96" s="343"/>
      <c r="J96" s="344">
        <f>SUM(J98:J115)</f>
        <v>445.79031004000007</v>
      </c>
      <c r="K96" s="670"/>
      <c r="L96" s="670"/>
      <c r="M96" s="670"/>
      <c r="N96" s="670"/>
      <c r="O96" s="670"/>
      <c r="P96" s="670"/>
      <c r="Q96" s="670"/>
      <c r="R96" s="670"/>
      <c r="S96" s="670"/>
      <c r="T96" s="670"/>
    </row>
    <row r="97" spans="1:20" s="22" customFormat="1" ht="16.5" customHeight="1">
      <c r="A97" s="190"/>
      <c r="B97" s="191"/>
      <c r="C97" s="191"/>
      <c r="D97" s="920"/>
      <c r="E97" s="192"/>
      <c r="F97" s="345"/>
      <c r="G97" s="345"/>
      <c r="H97" s="345"/>
      <c r="I97" s="346"/>
      <c r="J97" s="347"/>
      <c r="K97" s="509"/>
      <c r="L97" s="509"/>
      <c r="M97" s="509"/>
      <c r="N97" s="509"/>
      <c r="O97" s="509"/>
      <c r="P97" s="509"/>
      <c r="Q97" s="509"/>
      <c r="R97" s="509"/>
      <c r="S97" s="509"/>
      <c r="T97" s="509"/>
    </row>
    <row r="98" spans="1:20" s="22" customFormat="1" ht="16.5" customHeight="1">
      <c r="A98" s="196" t="s">
        <v>1848</v>
      </c>
      <c r="B98" s="197" t="s">
        <v>1849</v>
      </c>
      <c r="C98" s="197" t="s">
        <v>1850</v>
      </c>
      <c r="D98" s="919" t="s">
        <v>2757</v>
      </c>
      <c r="E98" s="198" t="s">
        <v>1748</v>
      </c>
      <c r="F98" s="332">
        <f>80.6*1.1</f>
        <v>88.66</v>
      </c>
      <c r="G98" s="332"/>
      <c r="H98" s="332">
        <f>F98*G98</f>
        <v>0</v>
      </c>
      <c r="I98" s="333">
        <v>0.0005</v>
      </c>
      <c r="J98" s="334">
        <f>F98*I98</f>
        <v>0.04433</v>
      </c>
      <c r="K98" s="509"/>
      <c r="L98" s="509"/>
      <c r="M98" s="509"/>
      <c r="N98" s="509"/>
      <c r="O98" s="509"/>
      <c r="P98" s="509"/>
      <c r="Q98" s="509"/>
      <c r="R98" s="509"/>
      <c r="S98" s="509"/>
      <c r="T98" s="509"/>
    </row>
    <row r="99" spans="1:20" s="22" customFormat="1" ht="16.5" customHeight="1">
      <c r="A99" s="196" t="s">
        <v>1851</v>
      </c>
      <c r="B99" s="197" t="s">
        <v>1813</v>
      </c>
      <c r="C99" s="197" t="s">
        <v>1814</v>
      </c>
      <c r="D99" s="919" t="s">
        <v>2757</v>
      </c>
      <c r="E99" s="198" t="s">
        <v>1748</v>
      </c>
      <c r="F99" s="332">
        <v>80.6</v>
      </c>
      <c r="G99" s="332"/>
      <c r="H99" s="332">
        <f>F99*G99</f>
        <v>0</v>
      </c>
      <c r="I99" s="333">
        <v>0.25094</v>
      </c>
      <c r="J99" s="334">
        <f>F99*I99</f>
        <v>20.225763999999998</v>
      </c>
      <c r="K99" s="509"/>
      <c r="L99" s="509"/>
      <c r="M99" s="509"/>
      <c r="N99" s="509"/>
      <c r="O99" s="509"/>
      <c r="P99" s="509"/>
      <c r="Q99" s="509"/>
      <c r="R99" s="509"/>
      <c r="S99" s="509"/>
      <c r="T99" s="509"/>
    </row>
    <row r="100" spans="1:20" s="22" customFormat="1" ht="31.5" customHeight="1">
      <c r="A100" s="196" t="s">
        <v>1852</v>
      </c>
      <c r="B100" s="245" t="s">
        <v>1853</v>
      </c>
      <c r="C100" s="246" t="s">
        <v>1854</v>
      </c>
      <c r="D100" s="919" t="s">
        <v>2759</v>
      </c>
      <c r="E100" s="247" t="s">
        <v>1748</v>
      </c>
      <c r="F100" s="363">
        <f>E101</f>
        <v>80.60000000000002</v>
      </c>
      <c r="G100" s="363"/>
      <c r="H100" s="363">
        <f>F100*G100</f>
        <v>0</v>
      </c>
      <c r="I100" s="364">
        <v>0.19825</v>
      </c>
      <c r="J100" s="365">
        <f>F100*I100</f>
        <v>15.978950000000005</v>
      </c>
      <c r="K100" s="509"/>
      <c r="L100" s="509"/>
      <c r="M100" s="509"/>
      <c r="N100" s="509"/>
      <c r="O100" s="509"/>
      <c r="P100" s="509"/>
      <c r="Q100" s="509"/>
      <c r="R100" s="509"/>
      <c r="S100" s="509"/>
      <c r="T100" s="509"/>
    </row>
    <row r="101" spans="1:20" s="240" customFormat="1" ht="36" customHeight="1">
      <c r="A101" s="231"/>
      <c r="B101" s="232" t="s">
        <v>1855</v>
      </c>
      <c r="C101" s="233" t="s">
        <v>1856</v>
      </c>
      <c r="D101" s="933"/>
      <c r="E101" s="213">
        <f>(3.85+4.03+3.3+6.2+23.7+2+1.6+9.2+1.5+1.5+9.2+1.6+28.6+3.5+4.9+9.6+3.2+12.6+10.8+11.74+8.5)*0.5+0.04</f>
        <v>80.60000000000002</v>
      </c>
      <c r="F101" s="387"/>
      <c r="G101" s="387"/>
      <c r="H101" s="356"/>
      <c r="I101" s="356"/>
      <c r="J101" s="357"/>
      <c r="K101" s="679"/>
      <c r="L101" s="679"/>
      <c r="M101" s="239"/>
      <c r="N101" s="239"/>
      <c r="O101" s="239"/>
      <c r="P101" s="239"/>
      <c r="Q101" s="239"/>
      <c r="R101" s="239"/>
      <c r="S101" s="239"/>
      <c r="T101" s="239"/>
    </row>
    <row r="102" spans="1:21" s="1034" customFormat="1" ht="18.75" customHeight="1">
      <c r="A102" s="1023" t="s">
        <v>2884</v>
      </c>
      <c r="B102" s="1024" t="s">
        <v>2879</v>
      </c>
      <c r="C102" s="1024" t="s">
        <v>2880</v>
      </c>
      <c r="D102" s="933"/>
      <c r="E102" s="1027" t="s">
        <v>1748</v>
      </c>
      <c r="F102" s="1028">
        <f>F105+F99</f>
        <v>598.32</v>
      </c>
      <c r="G102" s="1028"/>
      <c r="H102" s="1028">
        <f>F102*G102</f>
        <v>0</v>
      </c>
      <c r="I102" s="1029">
        <v>0</v>
      </c>
      <c r="J102" s="1030">
        <f>F102*I102</f>
        <v>0</v>
      </c>
      <c r="K102" s="1031"/>
      <c r="L102" s="1031"/>
      <c r="M102" s="1031"/>
      <c r="N102" s="1031"/>
      <c r="O102" s="1031"/>
      <c r="P102" s="1031"/>
      <c r="Q102" s="1032"/>
      <c r="R102" s="1033"/>
      <c r="S102" s="1033"/>
      <c r="T102" s="1033"/>
      <c r="U102" s="1033"/>
    </row>
    <row r="103" spans="1:20" s="22" customFormat="1" ht="16.5" customHeight="1">
      <c r="A103" s="196" t="s">
        <v>1857</v>
      </c>
      <c r="B103" s="197" t="s">
        <v>1858</v>
      </c>
      <c r="C103" s="197" t="s">
        <v>1859</v>
      </c>
      <c r="D103" s="919" t="s">
        <v>2757</v>
      </c>
      <c r="E103" s="198" t="s">
        <v>1748</v>
      </c>
      <c r="F103" s="332">
        <f>SUM(E104:E104)</f>
        <v>481.6</v>
      </c>
      <c r="G103" s="332"/>
      <c r="H103" s="332">
        <f>F103*G103</f>
        <v>0</v>
      </c>
      <c r="I103" s="333">
        <v>0.27994</v>
      </c>
      <c r="J103" s="334">
        <f>F103*I103</f>
        <v>134.819104</v>
      </c>
      <c r="K103" s="509"/>
      <c r="L103" s="509"/>
      <c r="M103" s="509"/>
      <c r="N103" s="509"/>
      <c r="O103" s="509"/>
      <c r="P103" s="509"/>
      <c r="Q103" s="509"/>
      <c r="R103" s="509"/>
      <c r="S103" s="509"/>
      <c r="T103" s="509"/>
    </row>
    <row r="104" spans="1:20" s="251" customFormat="1" ht="14.25" customHeight="1">
      <c r="A104" s="248"/>
      <c r="B104" s="249"/>
      <c r="C104" s="250">
        <v>481.6</v>
      </c>
      <c r="D104" s="933"/>
      <c r="E104" s="213">
        <v>481.6</v>
      </c>
      <c r="F104" s="387"/>
      <c r="G104" s="387"/>
      <c r="H104" s="356"/>
      <c r="I104" s="356"/>
      <c r="J104" s="357"/>
      <c r="K104" s="681"/>
      <c r="L104" s="681"/>
      <c r="M104" s="682"/>
      <c r="N104" s="682"/>
      <c r="O104" s="682"/>
      <c r="P104" s="682"/>
      <c r="Q104" s="682"/>
      <c r="R104" s="682"/>
      <c r="S104" s="682"/>
      <c r="T104" s="682"/>
    </row>
    <row r="105" spans="1:20" s="22" customFormat="1" ht="16.5" customHeight="1">
      <c r="A105" s="196" t="s">
        <v>2885</v>
      </c>
      <c r="B105" s="197" t="s">
        <v>1860</v>
      </c>
      <c r="C105" s="197" t="s">
        <v>1861</v>
      </c>
      <c r="D105" s="919" t="s">
        <v>2755</v>
      </c>
      <c r="E105" s="198" t="s">
        <v>1748</v>
      </c>
      <c r="F105" s="332">
        <f>SUM(E106:E107)</f>
        <v>517.72</v>
      </c>
      <c r="G105" s="332"/>
      <c r="H105" s="332">
        <f>F105*G105</f>
        <v>0</v>
      </c>
      <c r="I105" s="333">
        <v>0.27994</v>
      </c>
      <c r="J105" s="334">
        <f>F105*I105</f>
        <v>144.93053680000003</v>
      </c>
      <c r="K105" s="509"/>
      <c r="L105" s="509"/>
      <c r="M105" s="509"/>
      <c r="N105" s="509"/>
      <c r="O105" s="509"/>
      <c r="P105" s="509"/>
      <c r="Q105" s="509"/>
      <c r="R105" s="509"/>
      <c r="S105" s="509"/>
      <c r="T105" s="509"/>
    </row>
    <row r="106" spans="1:20" s="251" customFormat="1" ht="14.25" customHeight="1">
      <c r="A106" s="248"/>
      <c r="B106" s="249"/>
      <c r="C106" s="250" t="s">
        <v>1862</v>
      </c>
      <c r="D106" s="933"/>
      <c r="E106" s="213">
        <f>6*5.5+481.6</f>
        <v>514.6</v>
      </c>
      <c r="F106" s="387"/>
      <c r="G106" s="387"/>
      <c r="H106" s="356"/>
      <c r="I106" s="356"/>
      <c r="J106" s="357"/>
      <c r="K106" s="681"/>
      <c r="L106" s="681"/>
      <c r="M106" s="682"/>
      <c r="N106" s="682"/>
      <c r="O106" s="682"/>
      <c r="P106" s="682"/>
      <c r="Q106" s="682"/>
      <c r="R106" s="682"/>
      <c r="S106" s="682"/>
      <c r="T106" s="682"/>
    </row>
    <row r="107" spans="1:20" s="130" customFormat="1" ht="16.5" customHeight="1">
      <c r="A107" s="204"/>
      <c r="B107" s="205" t="s">
        <v>1767</v>
      </c>
      <c r="C107" s="206" t="s">
        <v>1863</v>
      </c>
      <c r="D107" s="925"/>
      <c r="E107" s="207">
        <f>2.4*1.3</f>
        <v>3.12</v>
      </c>
      <c r="F107" s="335"/>
      <c r="G107" s="335"/>
      <c r="H107" s="335"/>
      <c r="I107" s="336"/>
      <c r="J107" s="337"/>
      <c r="K107" s="672"/>
      <c r="L107" s="672"/>
      <c r="M107" s="672"/>
      <c r="N107" s="672"/>
      <c r="O107" s="672"/>
      <c r="P107" s="672"/>
      <c r="Q107" s="673"/>
      <c r="R107" s="508"/>
      <c r="S107" s="672"/>
      <c r="T107" s="508"/>
    </row>
    <row r="108" spans="1:20" s="22" customFormat="1" ht="16.5" customHeight="1">
      <c r="A108" s="196" t="s">
        <v>1864</v>
      </c>
      <c r="B108" s="1106" t="s">
        <v>2886</v>
      </c>
      <c r="C108" s="1106" t="s">
        <v>2887</v>
      </c>
      <c r="D108" s="919" t="s">
        <v>2755</v>
      </c>
      <c r="E108" s="247" t="s">
        <v>1748</v>
      </c>
      <c r="F108" s="332">
        <f>SUM(E109:E110)</f>
        <v>517.72</v>
      </c>
      <c r="G108" s="363"/>
      <c r="H108" s="363">
        <f>F108*G108</f>
        <v>0</v>
      </c>
      <c r="I108" s="364">
        <v>0.0739</v>
      </c>
      <c r="J108" s="365">
        <f>F108*I108</f>
        <v>38.259508</v>
      </c>
      <c r="K108" s="509"/>
      <c r="L108" s="509"/>
      <c r="M108" s="509"/>
      <c r="N108" s="509"/>
      <c r="O108" s="509"/>
      <c r="P108" s="509"/>
      <c r="Q108" s="509"/>
      <c r="R108" s="509"/>
      <c r="S108" s="509"/>
      <c r="T108" s="509"/>
    </row>
    <row r="109" spans="1:20" s="251" customFormat="1" ht="14.25" customHeight="1">
      <c r="A109" s="248"/>
      <c r="B109" s="249"/>
      <c r="C109" s="250" t="s">
        <v>1862</v>
      </c>
      <c r="D109" s="933"/>
      <c r="E109" s="213">
        <f>6*5.5+481.6</f>
        <v>514.6</v>
      </c>
      <c r="F109" s="387"/>
      <c r="G109" s="387"/>
      <c r="H109" s="356"/>
      <c r="I109" s="356"/>
      <c r="J109" s="357"/>
      <c r="K109" s="681"/>
      <c r="L109" s="681"/>
      <c r="M109" s="682"/>
      <c r="N109" s="682"/>
      <c r="O109" s="682"/>
      <c r="P109" s="682"/>
      <c r="Q109" s="682"/>
      <c r="R109" s="682"/>
      <c r="S109" s="682"/>
      <c r="T109" s="682"/>
    </row>
    <row r="110" spans="1:20" s="130" customFormat="1" ht="16.5" customHeight="1">
      <c r="A110" s="204"/>
      <c r="B110" s="205" t="s">
        <v>1767</v>
      </c>
      <c r="C110" s="206" t="s">
        <v>1863</v>
      </c>
      <c r="D110" s="925"/>
      <c r="E110" s="207">
        <f>2.4*1.3</f>
        <v>3.12</v>
      </c>
      <c r="F110" s="335"/>
      <c r="G110" s="335"/>
      <c r="H110" s="335"/>
      <c r="I110" s="336"/>
      <c r="J110" s="337"/>
      <c r="K110" s="672"/>
      <c r="L110" s="672"/>
      <c r="M110" s="672"/>
      <c r="N110" s="672"/>
      <c r="O110" s="672"/>
      <c r="P110" s="672"/>
      <c r="Q110" s="673"/>
      <c r="R110" s="508"/>
      <c r="S110" s="672"/>
      <c r="T110" s="508"/>
    </row>
    <row r="111" spans="1:20" s="22" customFormat="1" ht="16.5" customHeight="1">
      <c r="A111" s="196" t="s">
        <v>1865</v>
      </c>
      <c r="B111" s="197" t="s">
        <v>1866</v>
      </c>
      <c r="C111" s="197" t="s">
        <v>1867</v>
      </c>
      <c r="D111" s="919" t="s">
        <v>2755</v>
      </c>
      <c r="E111" s="198" t="s">
        <v>1748</v>
      </c>
      <c r="F111" s="332">
        <f>SUM(E112:E113)</f>
        <v>528.0744000000001</v>
      </c>
      <c r="G111" s="332"/>
      <c r="H111" s="332">
        <f>F111*G111</f>
        <v>0</v>
      </c>
      <c r="I111" s="333">
        <v>0.1296</v>
      </c>
      <c r="J111" s="334">
        <f>F111*I111</f>
        <v>68.43844224</v>
      </c>
      <c r="K111" s="509"/>
      <c r="L111" s="509"/>
      <c r="M111" s="509"/>
      <c r="N111" s="509"/>
      <c r="O111" s="509"/>
      <c r="P111" s="509"/>
      <c r="Q111" s="509"/>
      <c r="R111" s="509"/>
      <c r="S111" s="509"/>
      <c r="T111" s="509"/>
    </row>
    <row r="112" spans="1:20" s="251" customFormat="1" ht="14.25" customHeight="1">
      <c r="A112" s="248"/>
      <c r="B112" s="249"/>
      <c r="C112" s="250" t="s">
        <v>1868</v>
      </c>
      <c r="D112" s="933"/>
      <c r="E112" s="213">
        <f>6*5.5*1.02+481.6*1.02</f>
        <v>524.892</v>
      </c>
      <c r="F112" s="387"/>
      <c r="G112" s="387"/>
      <c r="H112" s="356"/>
      <c r="I112" s="356"/>
      <c r="J112" s="357"/>
      <c r="K112" s="681"/>
      <c r="L112" s="681"/>
      <c r="M112" s="682"/>
      <c r="N112" s="682"/>
      <c r="O112" s="682"/>
      <c r="P112" s="682"/>
      <c r="Q112" s="682"/>
      <c r="R112" s="682"/>
      <c r="S112" s="682"/>
      <c r="T112" s="682"/>
    </row>
    <row r="113" spans="1:20" s="130" customFormat="1" ht="16.5" customHeight="1">
      <c r="A113" s="204"/>
      <c r="B113" s="205" t="s">
        <v>1767</v>
      </c>
      <c r="C113" s="206" t="s">
        <v>1869</v>
      </c>
      <c r="D113" s="925"/>
      <c r="E113" s="207">
        <f>2.4*1.3*1.02</f>
        <v>3.1824000000000003</v>
      </c>
      <c r="F113" s="335"/>
      <c r="G113" s="335"/>
      <c r="H113" s="335"/>
      <c r="I113" s="336"/>
      <c r="J113" s="337"/>
      <c r="K113" s="672"/>
      <c r="L113" s="672"/>
      <c r="M113" s="672"/>
      <c r="N113" s="672"/>
      <c r="O113" s="672"/>
      <c r="P113" s="672"/>
      <c r="Q113" s="673"/>
      <c r="R113" s="508"/>
      <c r="S113" s="672"/>
      <c r="T113" s="508"/>
    </row>
    <row r="114" spans="1:20" s="22" customFormat="1" ht="30" customHeight="1">
      <c r="A114" s="196" t="s">
        <v>1870</v>
      </c>
      <c r="B114" s="197" t="s">
        <v>1871</v>
      </c>
      <c r="C114" s="683" t="s">
        <v>1872</v>
      </c>
      <c r="D114" s="919" t="s">
        <v>2759</v>
      </c>
      <c r="E114" s="198" t="s">
        <v>1826</v>
      </c>
      <c r="F114" s="332">
        <f>E115</f>
        <v>197.5</v>
      </c>
      <c r="G114" s="332"/>
      <c r="H114" s="332">
        <f>F114*G114</f>
        <v>0</v>
      </c>
      <c r="I114" s="333">
        <v>0.11693</v>
      </c>
      <c r="J114" s="334">
        <f>F114*I114</f>
        <v>23.093675</v>
      </c>
      <c r="K114" s="509"/>
      <c r="L114" s="509"/>
      <c r="M114" s="509"/>
      <c r="N114" s="509"/>
      <c r="O114" s="509"/>
      <c r="P114" s="509"/>
      <c r="Q114" s="509"/>
      <c r="R114" s="509"/>
      <c r="S114" s="509"/>
      <c r="T114" s="509"/>
    </row>
    <row r="115" spans="1:20" s="251" customFormat="1" ht="17.25" customHeight="1">
      <c r="A115" s="248"/>
      <c r="B115" s="249"/>
      <c r="C115" s="250" t="s">
        <v>1873</v>
      </c>
      <c r="D115" s="933"/>
      <c r="E115" s="213">
        <f>6+5.5+186</f>
        <v>197.5</v>
      </c>
      <c r="F115" s="387"/>
      <c r="G115" s="387"/>
      <c r="H115" s="356"/>
      <c r="I115" s="356"/>
      <c r="J115" s="357"/>
      <c r="K115" s="681"/>
      <c r="L115" s="681"/>
      <c r="M115" s="682"/>
      <c r="N115" s="682"/>
      <c r="O115" s="682"/>
      <c r="P115" s="682"/>
      <c r="Q115" s="682"/>
      <c r="R115" s="682"/>
      <c r="S115" s="682"/>
      <c r="T115" s="682"/>
    </row>
    <row r="116" spans="1:20" s="251" customFormat="1" ht="14.25" customHeight="1" thickBot="1">
      <c r="A116" s="252"/>
      <c r="B116" s="253"/>
      <c r="C116" s="254"/>
      <c r="D116" s="934"/>
      <c r="E116" s="237"/>
      <c r="F116" s="680"/>
      <c r="G116" s="680"/>
      <c r="H116" s="358"/>
      <c r="I116" s="358"/>
      <c r="J116" s="359"/>
      <c r="K116" s="681"/>
      <c r="L116" s="681"/>
      <c r="M116" s="682"/>
      <c r="N116" s="682"/>
      <c r="O116" s="682"/>
      <c r="P116" s="682"/>
      <c r="Q116" s="682"/>
      <c r="R116" s="682"/>
      <c r="S116" s="682"/>
      <c r="T116" s="682"/>
    </row>
    <row r="117" spans="1:20" ht="16.5" customHeight="1" thickBot="1">
      <c r="A117" s="226" t="s">
        <v>1874</v>
      </c>
      <c r="B117" s="175" t="s">
        <v>1875</v>
      </c>
      <c r="C117" s="176" t="s">
        <v>1876</v>
      </c>
      <c r="D117" s="1103"/>
      <c r="E117" s="175"/>
      <c r="F117" s="341"/>
      <c r="G117" s="341"/>
      <c r="H117" s="342">
        <f>SUM(H118:H127)</f>
        <v>0</v>
      </c>
      <c r="I117" s="343"/>
      <c r="J117" s="344">
        <f>SUM(J118:J127)</f>
        <v>18.63816374</v>
      </c>
      <c r="K117" s="670"/>
      <c r="L117" s="670"/>
      <c r="M117" s="670"/>
      <c r="N117" s="670"/>
      <c r="O117" s="670"/>
      <c r="P117" s="670"/>
      <c r="Q117" s="670"/>
      <c r="R117" s="670"/>
      <c r="S117" s="670"/>
      <c r="T117" s="670"/>
    </row>
    <row r="118" spans="1:20" s="145" customFormat="1" ht="16.5" customHeight="1">
      <c r="A118" s="190"/>
      <c r="B118" s="684"/>
      <c r="C118" s="685"/>
      <c r="D118" s="904"/>
      <c r="E118" s="686"/>
      <c r="F118" s="678"/>
      <c r="G118" s="678"/>
      <c r="H118" s="678"/>
      <c r="I118" s="304"/>
      <c r="J118" s="366"/>
      <c r="K118" s="143"/>
      <c r="L118" s="143"/>
      <c r="M118" s="143"/>
      <c r="N118" s="144"/>
      <c r="O118" s="144"/>
      <c r="P118" s="144"/>
      <c r="Q118" s="144"/>
      <c r="R118" s="144"/>
      <c r="S118" s="144"/>
      <c r="T118" s="144"/>
    </row>
    <row r="119" spans="1:20" s="22" customFormat="1" ht="20.25" customHeight="1">
      <c r="A119" s="196" t="s">
        <v>1877</v>
      </c>
      <c r="B119" s="197" t="s">
        <v>1878</v>
      </c>
      <c r="C119" s="197" t="s">
        <v>1879</v>
      </c>
      <c r="D119" s="925" t="s">
        <v>2753</v>
      </c>
      <c r="E119" s="198" t="s">
        <v>1748</v>
      </c>
      <c r="F119" s="332">
        <f>E120</f>
        <v>157.4775</v>
      </c>
      <c r="G119" s="332"/>
      <c r="H119" s="332">
        <f>F119*G119</f>
        <v>0</v>
      </c>
      <c r="I119" s="333">
        <v>0.01004</v>
      </c>
      <c r="J119" s="334">
        <f>F119*I119</f>
        <v>1.5810741</v>
      </c>
      <c r="K119" s="509"/>
      <c r="L119" s="509"/>
      <c r="M119" s="509"/>
      <c r="N119" s="509"/>
      <c r="O119" s="509"/>
      <c r="P119" s="509"/>
      <c r="Q119" s="509"/>
      <c r="R119" s="509"/>
      <c r="S119" s="509"/>
      <c r="T119" s="509"/>
    </row>
    <row r="120" spans="1:20" s="251" customFormat="1" ht="17.25" customHeight="1">
      <c r="A120" s="248"/>
      <c r="B120" s="205" t="s">
        <v>1880</v>
      </c>
      <c r="C120" s="250" t="s">
        <v>1881</v>
      </c>
      <c r="D120" s="925"/>
      <c r="E120" s="213">
        <f>345.45*0.45+4.5*0.45</f>
        <v>157.4775</v>
      </c>
      <c r="F120" s="387"/>
      <c r="G120" s="387"/>
      <c r="H120" s="356"/>
      <c r="I120" s="356"/>
      <c r="J120" s="357"/>
      <c r="K120" s="681"/>
      <c r="L120" s="681"/>
      <c r="M120" s="682"/>
      <c r="N120" s="682"/>
      <c r="O120" s="682"/>
      <c r="P120" s="682"/>
      <c r="Q120" s="682"/>
      <c r="R120" s="682"/>
      <c r="S120" s="682"/>
      <c r="T120" s="682"/>
    </row>
    <row r="121" spans="1:20" s="22" customFormat="1" ht="20.25" customHeight="1">
      <c r="A121" s="196" t="s">
        <v>1882</v>
      </c>
      <c r="B121" s="197" t="s">
        <v>1883</v>
      </c>
      <c r="C121" s="197" t="s">
        <v>1884</v>
      </c>
      <c r="D121" s="919" t="s">
        <v>2753</v>
      </c>
      <c r="E121" s="198" t="s">
        <v>1748</v>
      </c>
      <c r="F121" s="332">
        <f>E122</f>
        <v>973.7370000000001</v>
      </c>
      <c r="G121" s="332"/>
      <c r="H121" s="332">
        <f>F121*G121</f>
        <v>0</v>
      </c>
      <c r="I121" s="333">
        <v>0.00034</v>
      </c>
      <c r="J121" s="334">
        <f>F121*I121</f>
        <v>0.33107058000000006</v>
      </c>
      <c r="K121" s="509"/>
      <c r="L121" s="509"/>
      <c r="M121" s="509"/>
      <c r="N121" s="509"/>
      <c r="O121" s="509"/>
      <c r="P121" s="509"/>
      <c r="Q121" s="509"/>
      <c r="R121" s="509"/>
      <c r="S121" s="509"/>
      <c r="T121" s="509"/>
    </row>
    <row r="122" spans="1:20" s="251" customFormat="1" ht="17.25" customHeight="1">
      <c r="A122" s="248"/>
      <c r="B122" s="249"/>
      <c r="C122" s="250" t="s">
        <v>1885</v>
      </c>
      <c r="D122" s="936"/>
      <c r="E122" s="213">
        <f>(2027.9)*0.45+345.45*0.15+20.81*0.45</f>
        <v>973.7370000000001</v>
      </c>
      <c r="F122" s="367"/>
      <c r="G122" s="387"/>
      <c r="H122" s="387"/>
      <c r="I122" s="356"/>
      <c r="J122" s="357"/>
      <c r="K122" s="681"/>
      <c r="L122" s="681"/>
      <c r="M122" s="681"/>
      <c r="N122" s="682"/>
      <c r="O122" s="682"/>
      <c r="P122" s="682"/>
      <c r="Q122" s="682"/>
      <c r="R122" s="682"/>
      <c r="S122" s="682"/>
      <c r="T122" s="682"/>
    </row>
    <row r="123" spans="1:20" s="22" customFormat="1" ht="20.25" customHeight="1">
      <c r="A123" s="196" t="s">
        <v>1886</v>
      </c>
      <c r="B123" s="197" t="s">
        <v>1887</v>
      </c>
      <c r="C123" s="197" t="s">
        <v>1888</v>
      </c>
      <c r="D123" s="919" t="s">
        <v>2753</v>
      </c>
      <c r="E123" s="198" t="s">
        <v>1748</v>
      </c>
      <c r="F123" s="332">
        <f>E124</f>
        <v>973.7370000000001</v>
      </c>
      <c r="G123" s="332"/>
      <c r="H123" s="332">
        <f>F123*G123</f>
        <v>0</v>
      </c>
      <c r="I123" s="333">
        <v>0.00658</v>
      </c>
      <c r="J123" s="334">
        <f>F123*I123</f>
        <v>6.407189460000001</v>
      </c>
      <c r="K123" s="509"/>
      <c r="L123" s="509"/>
      <c r="M123" s="509"/>
      <c r="N123" s="509"/>
      <c r="O123" s="509"/>
      <c r="P123" s="509"/>
      <c r="Q123" s="509"/>
      <c r="R123" s="509"/>
      <c r="S123" s="509"/>
      <c r="T123" s="509"/>
    </row>
    <row r="124" spans="1:20" s="251" customFormat="1" ht="17.25" customHeight="1">
      <c r="A124" s="248"/>
      <c r="B124" s="249"/>
      <c r="C124" s="250" t="s">
        <v>1885</v>
      </c>
      <c r="D124" s="936"/>
      <c r="E124" s="213">
        <f>(2027.9)*0.45+345.45*0.15+20.81*0.45</f>
        <v>973.7370000000001</v>
      </c>
      <c r="F124" s="367"/>
      <c r="G124" s="387"/>
      <c r="H124" s="387"/>
      <c r="I124" s="356"/>
      <c r="J124" s="357"/>
      <c r="K124" s="681"/>
      <c r="L124" s="681"/>
      <c r="M124" s="681"/>
      <c r="N124" s="682"/>
      <c r="O124" s="682"/>
      <c r="P124" s="682"/>
      <c r="Q124" s="682"/>
      <c r="R124" s="682"/>
      <c r="S124" s="682"/>
      <c r="T124" s="682"/>
    </row>
    <row r="125" spans="1:20" s="22" customFormat="1" ht="20.25" customHeight="1">
      <c r="A125" s="196" t="s">
        <v>1889</v>
      </c>
      <c r="B125" s="197" t="s">
        <v>1890</v>
      </c>
      <c r="C125" s="197" t="s">
        <v>1891</v>
      </c>
      <c r="D125" s="919" t="s">
        <v>2753</v>
      </c>
      <c r="E125" s="198" t="s">
        <v>1826</v>
      </c>
      <c r="F125" s="332">
        <f>E126</f>
        <v>2394.16</v>
      </c>
      <c r="G125" s="332"/>
      <c r="H125" s="332">
        <f>F125*G125</f>
        <v>0</v>
      </c>
      <c r="I125" s="333">
        <v>0.00431</v>
      </c>
      <c r="J125" s="334">
        <f>F125*I125</f>
        <v>10.318829599999999</v>
      </c>
      <c r="K125" s="509"/>
      <c r="L125" s="509"/>
      <c r="M125" s="509"/>
      <c r="N125" s="509"/>
      <c r="O125" s="509"/>
      <c r="P125" s="509"/>
      <c r="Q125" s="509"/>
      <c r="R125" s="509"/>
      <c r="S125" s="509"/>
      <c r="T125" s="509"/>
    </row>
    <row r="126" spans="1:20" s="251" customFormat="1" ht="17.25" customHeight="1">
      <c r="A126" s="248"/>
      <c r="B126" s="249"/>
      <c r="C126" s="250" t="s">
        <v>1892</v>
      </c>
      <c r="D126" s="936"/>
      <c r="E126" s="213">
        <f>2027.9+345.45+20.81</f>
        <v>2394.16</v>
      </c>
      <c r="F126" s="367"/>
      <c r="G126" s="387"/>
      <c r="H126" s="387"/>
      <c r="I126" s="356"/>
      <c r="J126" s="357"/>
      <c r="K126" s="681"/>
      <c r="L126" s="681"/>
      <c r="M126" s="681"/>
      <c r="N126" s="682"/>
      <c r="O126" s="682"/>
      <c r="P126" s="682"/>
      <c r="Q126" s="682"/>
      <c r="R126" s="682"/>
      <c r="S126" s="682"/>
      <c r="T126" s="682"/>
    </row>
    <row r="127" spans="1:20" s="22" customFormat="1" ht="16.5" customHeight="1" thickBot="1">
      <c r="A127" s="255"/>
      <c r="B127" s="256"/>
      <c r="C127" s="256"/>
      <c r="D127" s="937"/>
      <c r="E127" s="257"/>
      <c r="F127" s="368"/>
      <c r="G127" s="368"/>
      <c r="H127" s="368"/>
      <c r="I127" s="369"/>
      <c r="J127" s="370"/>
      <c r="K127" s="509"/>
      <c r="L127" s="509"/>
      <c r="M127" s="509"/>
      <c r="N127" s="509"/>
      <c r="O127" s="509"/>
      <c r="P127" s="509"/>
      <c r="Q127" s="509"/>
      <c r="R127" s="509"/>
      <c r="S127" s="509"/>
      <c r="T127" s="509"/>
    </row>
    <row r="128" spans="1:20" ht="16.5" customHeight="1" thickBot="1">
      <c r="A128" s="226" t="s">
        <v>1893</v>
      </c>
      <c r="B128" s="175" t="s">
        <v>1894</v>
      </c>
      <c r="C128" s="176" t="s">
        <v>1895</v>
      </c>
      <c r="D128" s="1103"/>
      <c r="E128" s="175"/>
      <c r="F128" s="341"/>
      <c r="G128" s="341"/>
      <c r="H128" s="342">
        <f>SUM(H129:H198)</f>
        <v>0</v>
      </c>
      <c r="I128" s="343"/>
      <c r="J128" s="344">
        <f>SUM(J129:J198)</f>
        <v>317.4894397400001</v>
      </c>
      <c r="K128" s="670"/>
      <c r="L128" s="670"/>
      <c r="M128" s="670"/>
      <c r="N128" s="670"/>
      <c r="O128" s="670"/>
      <c r="P128" s="670"/>
      <c r="Q128" s="670"/>
      <c r="R128" s="670"/>
      <c r="S128" s="670"/>
      <c r="T128" s="670"/>
    </row>
    <row r="129" spans="1:20" s="22" customFormat="1" ht="20.25" customHeight="1">
      <c r="A129" s="190" t="s">
        <v>1896</v>
      </c>
      <c r="B129" s="191" t="s">
        <v>1897</v>
      </c>
      <c r="C129" s="191" t="s">
        <v>1898</v>
      </c>
      <c r="D129" s="920" t="s">
        <v>2753</v>
      </c>
      <c r="E129" s="192" t="s">
        <v>1748</v>
      </c>
      <c r="F129" s="345">
        <f>E130</f>
        <v>880.76</v>
      </c>
      <c r="G129" s="345"/>
      <c r="H129" s="345">
        <f>F129*G129</f>
        <v>0</v>
      </c>
      <c r="I129" s="346">
        <v>4E-05</v>
      </c>
      <c r="J129" s="347">
        <f>F129*I129</f>
        <v>0.0352304</v>
      </c>
      <c r="K129" s="509"/>
      <c r="L129" s="509"/>
      <c r="M129" s="509"/>
      <c r="N129" s="509"/>
      <c r="O129" s="509"/>
      <c r="P129" s="509"/>
      <c r="Q129" s="509"/>
      <c r="R129" s="509"/>
      <c r="S129" s="509"/>
      <c r="T129" s="509"/>
    </row>
    <row r="130" spans="1:20" s="251" customFormat="1" ht="17.25" customHeight="1">
      <c r="A130" s="248"/>
      <c r="B130" s="249"/>
      <c r="C130" s="250" t="s">
        <v>1899</v>
      </c>
      <c r="D130" s="936"/>
      <c r="E130" s="213">
        <f>870.54+10.22</f>
        <v>880.76</v>
      </c>
      <c r="F130" s="367"/>
      <c r="G130" s="387"/>
      <c r="H130" s="387"/>
      <c r="I130" s="356"/>
      <c r="J130" s="357"/>
      <c r="K130" s="681"/>
      <c r="L130" s="681"/>
      <c r="M130" s="681"/>
      <c r="N130" s="682"/>
      <c r="O130" s="682"/>
      <c r="P130" s="682"/>
      <c r="Q130" s="682"/>
      <c r="R130" s="682"/>
      <c r="S130" s="682"/>
      <c r="T130" s="682"/>
    </row>
    <row r="131" spans="1:20" s="22" customFormat="1" ht="20.25" customHeight="1">
      <c r="A131" s="196" t="s">
        <v>1900</v>
      </c>
      <c r="B131" s="197" t="s">
        <v>1901</v>
      </c>
      <c r="C131" s="197" t="s">
        <v>1902</v>
      </c>
      <c r="D131" s="919" t="s">
        <v>2761</v>
      </c>
      <c r="E131" s="198" t="s">
        <v>1748</v>
      </c>
      <c r="F131" s="332">
        <f>E132</f>
        <v>4555.15</v>
      </c>
      <c r="G131" s="332"/>
      <c r="H131" s="332">
        <f>F131*G131</f>
        <v>0</v>
      </c>
      <c r="I131" s="333">
        <v>2E-05</v>
      </c>
      <c r="J131" s="334">
        <f>F131*I131</f>
        <v>0.091103</v>
      </c>
      <c r="K131" s="509"/>
      <c r="L131" s="509"/>
      <c r="M131" s="509"/>
      <c r="N131" s="509"/>
      <c r="O131" s="509"/>
      <c r="P131" s="509"/>
      <c r="Q131" s="509"/>
      <c r="R131" s="509"/>
      <c r="S131" s="509"/>
      <c r="T131" s="509"/>
    </row>
    <row r="132" spans="1:20" s="251" customFormat="1" ht="17.25" customHeight="1">
      <c r="A132" s="248"/>
      <c r="B132" s="249"/>
      <c r="C132" s="250" t="s">
        <v>1903</v>
      </c>
      <c r="D132" s="936"/>
      <c r="E132" s="213">
        <f>4369.5+185.65</f>
        <v>4555.15</v>
      </c>
      <c r="F132" s="367"/>
      <c r="G132" s="387"/>
      <c r="H132" s="387"/>
      <c r="I132" s="356"/>
      <c r="J132" s="357"/>
      <c r="K132" s="681"/>
      <c r="L132" s="681"/>
      <c r="M132" s="681"/>
      <c r="N132" s="682"/>
      <c r="O132" s="682"/>
      <c r="P132" s="682"/>
      <c r="Q132" s="682"/>
      <c r="R132" s="682"/>
      <c r="S132" s="682"/>
      <c r="T132" s="682"/>
    </row>
    <row r="133" spans="1:20" s="22" customFormat="1" ht="20.25" customHeight="1">
      <c r="A133" s="196" t="s">
        <v>1904</v>
      </c>
      <c r="B133" s="197" t="s">
        <v>1905</v>
      </c>
      <c r="C133" s="197" t="s">
        <v>1906</v>
      </c>
      <c r="D133" s="919" t="s">
        <v>2761</v>
      </c>
      <c r="E133" s="198" t="s">
        <v>1748</v>
      </c>
      <c r="F133" s="332">
        <f>F131</f>
        <v>4555.15</v>
      </c>
      <c r="G133" s="332"/>
      <c r="H133" s="332">
        <f>F133*G133</f>
        <v>0</v>
      </c>
      <c r="I133" s="333">
        <v>0.04634</v>
      </c>
      <c r="J133" s="334">
        <f>F133*I133</f>
        <v>211.08565099999998</v>
      </c>
      <c r="K133" s="509"/>
      <c r="L133" s="509"/>
      <c r="M133" s="509"/>
      <c r="N133" s="509"/>
      <c r="O133" s="509"/>
      <c r="P133" s="509"/>
      <c r="Q133" s="509"/>
      <c r="R133" s="509"/>
      <c r="S133" s="509"/>
      <c r="T133" s="509"/>
    </row>
    <row r="134" spans="1:15" s="1146" customFormat="1" ht="17.25" customHeight="1">
      <c r="A134" s="1110" t="s">
        <v>1907</v>
      </c>
      <c r="B134" s="1141" t="s">
        <v>1908</v>
      </c>
      <c r="C134" s="1142" t="s">
        <v>1909</v>
      </c>
      <c r="D134" s="1140" t="s">
        <v>2761</v>
      </c>
      <c r="E134" s="1143" t="s">
        <v>1748</v>
      </c>
      <c r="F134" s="1130">
        <f>SUM(E135:E137)</f>
        <v>185.96</v>
      </c>
      <c r="G134" s="1130"/>
      <c r="H134" s="1130"/>
      <c r="I134" s="1131"/>
      <c r="J134" s="1132"/>
      <c r="K134" s="1144"/>
      <c r="L134" s="1144"/>
      <c r="M134" s="1144"/>
      <c r="N134" s="1145"/>
      <c r="O134" s="1145"/>
    </row>
    <row r="135" spans="1:20" s="1151" customFormat="1" ht="21" customHeight="1">
      <c r="A135" s="1147"/>
      <c r="B135" s="1123" t="s">
        <v>1911</v>
      </c>
      <c r="C135" s="1124" t="s">
        <v>1910</v>
      </c>
      <c r="D135" s="1148"/>
      <c r="E135" s="1149">
        <f>(16.8+0.8*12+2.2+0.5+2.5+1.2+2.5+0.5+16.8+0.8*12)*0.8+0.04</f>
        <v>49.80000000000001</v>
      </c>
      <c r="F135" s="1133"/>
      <c r="G135" s="1133"/>
      <c r="H135" s="1133"/>
      <c r="I135" s="1134"/>
      <c r="J135" s="1135"/>
      <c r="K135" s="1150"/>
      <c r="L135" s="1150"/>
      <c r="M135" s="1150"/>
      <c r="N135" s="1150"/>
      <c r="O135" s="1150"/>
      <c r="P135" s="1150"/>
      <c r="Q135" s="1150"/>
      <c r="R135" s="1150"/>
      <c r="S135" s="1150"/>
      <c r="T135" s="1150"/>
    </row>
    <row r="136" spans="1:20" s="1158" customFormat="1" ht="24.75" customHeight="1">
      <c r="A136" s="1147"/>
      <c r="B136" s="1152" t="s">
        <v>1751</v>
      </c>
      <c r="C136" s="1153" t="s">
        <v>1752</v>
      </c>
      <c r="D136" s="1154"/>
      <c r="E136" s="1155">
        <f>44.2*1.2*2</f>
        <v>106.08</v>
      </c>
      <c r="F136" s="1136"/>
      <c r="G136" s="1136"/>
      <c r="H136" s="1136"/>
      <c r="I136" s="1137"/>
      <c r="J136" s="1138"/>
      <c r="K136" s="1156"/>
      <c r="L136" s="1156"/>
      <c r="M136" s="1157"/>
      <c r="N136" s="1156"/>
      <c r="O136" s="1156"/>
      <c r="P136" s="1156"/>
      <c r="Q136" s="1156"/>
      <c r="R136" s="1156"/>
      <c r="S136" s="1156"/>
      <c r="T136" s="1156"/>
    </row>
    <row r="137" spans="1:20" s="1158" customFormat="1" ht="17.25" customHeight="1">
      <c r="A137" s="1147"/>
      <c r="B137" s="1152" t="s">
        <v>1913</v>
      </c>
      <c r="C137" s="1153" t="s">
        <v>1912</v>
      </c>
      <c r="D137" s="1154"/>
      <c r="E137" s="1155">
        <f>3.2*4.7*2</f>
        <v>30.080000000000002</v>
      </c>
      <c r="F137" s="1136"/>
      <c r="G137" s="1136"/>
      <c r="H137" s="1136"/>
      <c r="I137" s="1137"/>
      <c r="J137" s="1138"/>
      <c r="K137" s="1156"/>
      <c r="L137" s="1156"/>
      <c r="M137" s="1157"/>
      <c r="N137" s="1156"/>
      <c r="O137" s="1156"/>
      <c r="P137" s="1156"/>
      <c r="Q137" s="1156"/>
      <c r="R137" s="1156"/>
      <c r="S137" s="1156"/>
      <c r="T137" s="1156"/>
    </row>
    <row r="138" spans="1:20" s="1034" customFormat="1" ht="15.75" customHeight="1">
      <c r="A138" s="1023" t="s">
        <v>1907</v>
      </c>
      <c r="B138" s="1024" t="s">
        <v>2837</v>
      </c>
      <c r="C138" s="1024" t="s">
        <v>2838</v>
      </c>
      <c r="D138" s="1053"/>
      <c r="E138" s="1027" t="s">
        <v>1748</v>
      </c>
      <c r="F138" s="1028">
        <f>SUM(E139:E143)</f>
        <v>502.48</v>
      </c>
      <c r="G138" s="1028"/>
      <c r="H138" s="1028">
        <f>F138*G138</f>
        <v>0</v>
      </c>
      <c r="I138" s="1052">
        <v>0.0063</v>
      </c>
      <c r="J138" s="1060">
        <f>F138*I138</f>
        <v>3.165624</v>
      </c>
      <c r="K138" s="1033"/>
      <c r="L138" s="1033"/>
      <c r="M138" s="1033"/>
      <c r="N138" s="1033"/>
      <c r="O138" s="1033"/>
      <c r="P138" s="1033"/>
      <c r="Q138" s="1033"/>
      <c r="R138" s="1033"/>
      <c r="S138" s="1033"/>
      <c r="T138" s="1033"/>
    </row>
    <row r="139" spans="1:20" s="1059" customFormat="1" ht="33.75" customHeight="1">
      <c r="A139" s="204"/>
      <c r="B139" s="205" t="s">
        <v>1911</v>
      </c>
      <c r="C139" s="206" t="s">
        <v>1910</v>
      </c>
      <c r="D139" s="1108"/>
      <c r="E139" s="260">
        <f>(16.8+0.8*12+2.2+0.5+2.5+1.2+2.5+0.5+16.8+0.8*12)*0.8+0.04</f>
        <v>49.80000000000001</v>
      </c>
      <c r="F139" s="335"/>
      <c r="G139" s="335"/>
      <c r="H139" s="335"/>
      <c r="I139" s="371"/>
      <c r="J139" s="372"/>
      <c r="K139" s="1058"/>
      <c r="L139" s="1058"/>
      <c r="M139" s="1058"/>
      <c r="N139" s="1058"/>
      <c r="O139" s="1058"/>
      <c r="P139" s="1058"/>
      <c r="Q139" s="1058"/>
      <c r="R139" s="1058"/>
      <c r="S139" s="1058"/>
      <c r="T139" s="1058"/>
    </row>
    <row r="140" spans="1:20" s="1066" customFormat="1" ht="24.75" customHeight="1">
      <c r="A140" s="204"/>
      <c r="B140" s="217" t="s">
        <v>1751</v>
      </c>
      <c r="C140" s="212" t="s">
        <v>1752</v>
      </c>
      <c r="D140" s="1107"/>
      <c r="E140" s="213">
        <f>44.2*1.2*2</f>
        <v>106.08</v>
      </c>
      <c r="F140" s="141"/>
      <c r="G140" s="141"/>
      <c r="H140" s="141"/>
      <c r="I140" s="689"/>
      <c r="J140" s="690"/>
      <c r="K140" s="1064"/>
      <c r="L140" s="1064"/>
      <c r="M140" s="1065"/>
      <c r="N140" s="1064"/>
      <c r="O140" s="1064"/>
      <c r="P140" s="1064"/>
      <c r="Q140" s="1064"/>
      <c r="R140" s="1064"/>
      <c r="S140" s="1064"/>
      <c r="T140" s="1064"/>
    </row>
    <row r="141" spans="1:20" s="1066" customFormat="1" ht="17.25" customHeight="1">
      <c r="A141" s="204"/>
      <c r="B141" s="217" t="s">
        <v>1913</v>
      </c>
      <c r="C141" s="212" t="s">
        <v>1912</v>
      </c>
      <c r="D141" s="1107"/>
      <c r="E141" s="213">
        <f>3.2*4.7*2</f>
        <v>30.080000000000002</v>
      </c>
      <c r="F141" s="141"/>
      <c r="G141" s="141"/>
      <c r="H141" s="141"/>
      <c r="I141" s="689"/>
      <c r="J141" s="690"/>
      <c r="K141" s="1064"/>
      <c r="L141" s="1064"/>
      <c r="M141" s="1065"/>
      <c r="N141" s="1064"/>
      <c r="O141" s="1064"/>
      <c r="P141" s="1064"/>
      <c r="Q141" s="1064"/>
      <c r="R141" s="1064"/>
      <c r="S141" s="1064"/>
      <c r="T141" s="1064"/>
    </row>
    <row r="142" spans="1:20" s="1066" customFormat="1" ht="19.5" customHeight="1">
      <c r="A142" s="204"/>
      <c r="B142" s="217" t="s">
        <v>1920</v>
      </c>
      <c r="C142" s="212" t="s">
        <v>1919</v>
      </c>
      <c r="D142" s="1107"/>
      <c r="E142" s="141">
        <f>197.4*0.8</f>
        <v>157.92000000000002</v>
      </c>
      <c r="F142" s="141"/>
      <c r="G142" s="141"/>
      <c r="H142" s="352"/>
      <c r="I142" s="352"/>
      <c r="J142" s="353"/>
      <c r="K142" s="1069"/>
      <c r="L142" s="1069"/>
      <c r="M142" s="1064"/>
      <c r="N142" s="1064"/>
      <c r="O142" s="1064"/>
      <c r="P142" s="1064"/>
      <c r="Q142" s="1064"/>
      <c r="R142" s="1064"/>
      <c r="S142" s="1064"/>
      <c r="T142" s="1064"/>
    </row>
    <row r="143" spans="1:20" s="1066" customFormat="1" ht="21.75" customHeight="1">
      <c r="A143" s="204"/>
      <c r="B143" s="217" t="s">
        <v>1921</v>
      </c>
      <c r="C143" s="212">
        <v>158.6</v>
      </c>
      <c r="D143" s="1107"/>
      <c r="E143" s="141">
        <v>158.6</v>
      </c>
      <c r="F143" s="141"/>
      <c r="G143" s="141"/>
      <c r="H143" s="352"/>
      <c r="I143" s="352"/>
      <c r="J143" s="353"/>
      <c r="K143" s="1069"/>
      <c r="L143" s="1069"/>
      <c r="M143" s="1064"/>
      <c r="N143" s="1064"/>
      <c r="O143" s="1064"/>
      <c r="P143" s="1064"/>
      <c r="Q143" s="1064"/>
      <c r="R143" s="1064"/>
      <c r="S143" s="1064"/>
      <c r="T143" s="1064"/>
    </row>
    <row r="144" spans="1:23" s="259" customFormat="1" ht="20.25" customHeight="1">
      <c r="A144" s="692" t="s">
        <v>1914</v>
      </c>
      <c r="B144" s="687" t="s">
        <v>1915</v>
      </c>
      <c r="C144" s="688" t="s">
        <v>1916</v>
      </c>
      <c r="D144" s="919" t="s">
        <v>2761</v>
      </c>
      <c r="E144" s="287" t="s">
        <v>1748</v>
      </c>
      <c r="F144" s="387">
        <f>SUM(E145:E146)</f>
        <v>136.16</v>
      </c>
      <c r="G144" s="387"/>
      <c r="H144" s="387">
        <f>F144*G144</f>
        <v>0</v>
      </c>
      <c r="I144" s="689">
        <v>0.03487</v>
      </c>
      <c r="J144" s="690">
        <f>F144*I144</f>
        <v>4.7478992</v>
      </c>
      <c r="K144" s="214"/>
      <c r="L144" s="214"/>
      <c r="M144" s="214"/>
      <c r="N144" s="691"/>
      <c r="O144" s="691"/>
      <c r="P144" s="258"/>
      <c r="Q144" s="258"/>
      <c r="R144" s="258"/>
      <c r="S144" s="258"/>
      <c r="T144" s="258"/>
      <c r="U144" s="258"/>
      <c r="V144" s="258"/>
      <c r="W144" s="258"/>
    </row>
    <row r="145" spans="1:20" s="142" customFormat="1" ht="24.75" customHeight="1">
      <c r="A145" s="204"/>
      <c r="B145" s="217" t="s">
        <v>1751</v>
      </c>
      <c r="C145" s="212" t="s">
        <v>1752</v>
      </c>
      <c r="D145" s="929"/>
      <c r="E145" s="213">
        <f>44.2*1.2*2</f>
        <v>106.08</v>
      </c>
      <c r="F145" s="141"/>
      <c r="G145" s="141"/>
      <c r="H145" s="141"/>
      <c r="I145" s="689"/>
      <c r="J145" s="690"/>
      <c r="K145" s="215"/>
      <c r="L145" s="215"/>
      <c r="M145" s="214"/>
      <c r="N145" s="215"/>
      <c r="O145" s="215"/>
      <c r="P145" s="215"/>
      <c r="Q145" s="215"/>
      <c r="R145" s="215"/>
      <c r="S145" s="215"/>
      <c r="T145" s="215"/>
    </row>
    <row r="146" spans="1:20" s="142" customFormat="1" ht="17.25" customHeight="1">
      <c r="A146" s="204"/>
      <c r="B146" s="217" t="s">
        <v>1913</v>
      </c>
      <c r="C146" s="212" t="s">
        <v>1912</v>
      </c>
      <c r="D146" s="1107"/>
      <c r="E146" s="213">
        <f>3.2*4.7*2</f>
        <v>30.080000000000002</v>
      </c>
      <c r="F146" s="141"/>
      <c r="G146" s="141"/>
      <c r="H146" s="141"/>
      <c r="I146" s="689"/>
      <c r="J146" s="690"/>
      <c r="K146" s="215"/>
      <c r="L146" s="215"/>
      <c r="M146" s="214"/>
      <c r="N146" s="215"/>
      <c r="O146" s="215"/>
      <c r="P146" s="215"/>
      <c r="Q146" s="215"/>
      <c r="R146" s="215"/>
      <c r="S146" s="215"/>
      <c r="T146" s="215"/>
    </row>
    <row r="147" spans="1:20" s="22" customFormat="1" ht="20.25" customHeight="1">
      <c r="A147" s="196" t="s">
        <v>1917</v>
      </c>
      <c r="B147" s="197" t="s">
        <v>1918</v>
      </c>
      <c r="C147" s="1024" t="s">
        <v>2841</v>
      </c>
      <c r="D147" s="919"/>
      <c r="E147" s="198" t="s">
        <v>1748</v>
      </c>
      <c r="F147" s="332">
        <f>SUM(E148:E152)</f>
        <v>502.48</v>
      </c>
      <c r="G147" s="332"/>
      <c r="H147" s="332">
        <f>F147*G147</f>
        <v>0</v>
      </c>
      <c r="I147" s="364">
        <v>0.026</v>
      </c>
      <c r="J147" s="365">
        <f>F147*I147</f>
        <v>13.06448</v>
      </c>
      <c r="K147" s="509"/>
      <c r="L147" s="509"/>
      <c r="M147" s="509"/>
      <c r="N147" s="509"/>
      <c r="O147" s="509"/>
      <c r="P147" s="509"/>
      <c r="Q147" s="509"/>
      <c r="R147" s="509"/>
      <c r="S147" s="509"/>
      <c r="T147" s="509"/>
    </row>
    <row r="148" spans="1:20" s="130" customFormat="1" ht="33.75" customHeight="1">
      <c r="A148" s="204"/>
      <c r="B148" s="205" t="s">
        <v>1911</v>
      </c>
      <c r="C148" s="206" t="s">
        <v>1910</v>
      </c>
      <c r="D148" s="925"/>
      <c r="E148" s="260">
        <f>(16.8+0.8*12+2.2+0.5+2.5+1.2+2.5+0.5+16.8+0.8*12)*0.8+0.04</f>
        <v>49.80000000000001</v>
      </c>
      <c r="F148" s="335"/>
      <c r="G148" s="335"/>
      <c r="H148" s="335"/>
      <c r="I148" s="336"/>
      <c r="J148" s="337"/>
      <c r="K148" s="508"/>
      <c r="L148" s="508"/>
      <c r="M148" s="508"/>
      <c r="N148" s="508"/>
      <c r="O148" s="508"/>
      <c r="P148" s="508"/>
      <c r="Q148" s="508"/>
      <c r="R148" s="508"/>
      <c r="S148" s="508"/>
      <c r="T148" s="508"/>
    </row>
    <row r="149" spans="1:20" s="142" customFormat="1" ht="24.75" customHeight="1">
      <c r="A149" s="204"/>
      <c r="B149" s="217" t="s">
        <v>1751</v>
      </c>
      <c r="C149" s="212" t="s">
        <v>1752</v>
      </c>
      <c r="D149" s="929"/>
      <c r="E149" s="213">
        <f>44.2*1.2*2</f>
        <v>106.08</v>
      </c>
      <c r="F149" s="141"/>
      <c r="G149" s="141"/>
      <c r="H149" s="141"/>
      <c r="I149" s="350"/>
      <c r="J149" s="351"/>
      <c r="K149" s="215"/>
      <c r="L149" s="215"/>
      <c r="M149" s="214"/>
      <c r="N149" s="215"/>
      <c r="O149" s="215"/>
      <c r="P149" s="215"/>
      <c r="Q149" s="215"/>
      <c r="R149" s="215"/>
      <c r="S149" s="215"/>
      <c r="T149" s="215"/>
    </row>
    <row r="150" spans="1:20" s="142" customFormat="1" ht="17.25" customHeight="1">
      <c r="A150" s="204"/>
      <c r="B150" s="217" t="s">
        <v>1913</v>
      </c>
      <c r="C150" s="212" t="s">
        <v>1912</v>
      </c>
      <c r="D150" s="929"/>
      <c r="E150" s="213">
        <f>3.2*4.7*2</f>
        <v>30.080000000000002</v>
      </c>
      <c r="F150" s="141"/>
      <c r="G150" s="141"/>
      <c r="H150" s="141"/>
      <c r="I150" s="350"/>
      <c r="J150" s="351"/>
      <c r="K150" s="215"/>
      <c r="L150" s="215"/>
      <c r="M150" s="214"/>
      <c r="N150" s="215"/>
      <c r="O150" s="215"/>
      <c r="P150" s="215"/>
      <c r="Q150" s="215"/>
      <c r="R150" s="215"/>
      <c r="S150" s="215"/>
      <c r="T150" s="215"/>
    </row>
    <row r="151" spans="1:20" s="142" customFormat="1" ht="19.5" customHeight="1">
      <c r="A151" s="204"/>
      <c r="B151" s="217" t="s">
        <v>1920</v>
      </c>
      <c r="C151" s="212" t="s">
        <v>1919</v>
      </c>
      <c r="D151" s="929"/>
      <c r="E151" s="141">
        <f>197.4*0.8</f>
        <v>157.92000000000002</v>
      </c>
      <c r="F151" s="141"/>
      <c r="G151" s="141"/>
      <c r="H151" s="352"/>
      <c r="I151" s="352"/>
      <c r="J151" s="353"/>
      <c r="K151" s="677"/>
      <c r="L151" s="677"/>
      <c r="M151" s="215"/>
      <c r="N151" s="215"/>
      <c r="O151" s="215"/>
      <c r="P151" s="215"/>
      <c r="Q151" s="215"/>
      <c r="R151" s="215"/>
      <c r="S151" s="215"/>
      <c r="T151" s="215"/>
    </row>
    <row r="152" spans="1:20" s="142" customFormat="1" ht="30" customHeight="1">
      <c r="A152" s="204"/>
      <c r="B152" s="217" t="s">
        <v>1921</v>
      </c>
      <c r="C152" s="212">
        <v>158.6</v>
      </c>
      <c r="D152" s="929"/>
      <c r="E152" s="141">
        <v>158.6</v>
      </c>
      <c r="F152" s="141"/>
      <c r="G152" s="141"/>
      <c r="H152" s="352"/>
      <c r="I152" s="352"/>
      <c r="J152" s="353"/>
      <c r="K152" s="677"/>
      <c r="L152" s="677"/>
      <c r="M152" s="215"/>
      <c r="N152" s="215"/>
      <c r="O152" s="215"/>
      <c r="P152" s="215"/>
      <c r="Q152" s="215"/>
      <c r="R152" s="215"/>
      <c r="S152" s="215"/>
      <c r="T152" s="215"/>
    </row>
    <row r="153" spans="1:20" s="1034" customFormat="1" ht="27.75" customHeight="1">
      <c r="A153" s="1023" t="s">
        <v>2840</v>
      </c>
      <c r="B153" s="1024" t="s">
        <v>2842</v>
      </c>
      <c r="C153" s="1025" t="s">
        <v>2843</v>
      </c>
      <c r="D153" s="1026"/>
      <c r="E153" s="1027" t="s">
        <v>1748</v>
      </c>
      <c r="F153" s="1028">
        <f>E154</f>
        <v>49.80000000000001</v>
      </c>
      <c r="G153" s="1028"/>
      <c r="H153" s="1028">
        <f>F153*G153</f>
        <v>0</v>
      </c>
      <c r="I153" s="1029">
        <v>0.01021</v>
      </c>
      <c r="J153" s="1030">
        <f>F153*I153</f>
        <v>0.5084580000000002</v>
      </c>
      <c r="K153" s="1033"/>
      <c r="L153" s="1033"/>
      <c r="M153" s="1033"/>
      <c r="N153" s="1033"/>
      <c r="O153" s="1033"/>
      <c r="P153" s="1033"/>
      <c r="Q153" s="1033"/>
      <c r="R153" s="1033"/>
      <c r="S153" s="1033"/>
      <c r="T153" s="1033"/>
    </row>
    <row r="154" spans="1:20" s="130" customFormat="1" ht="33.75" customHeight="1">
      <c r="A154" s="204"/>
      <c r="B154" s="205" t="s">
        <v>1911</v>
      </c>
      <c r="C154" s="206" t="s">
        <v>1910</v>
      </c>
      <c r="D154" s="925"/>
      <c r="E154" s="260">
        <f>(16.8+0.8*12+2.2+0.5+2.5+1.2+2.5+0.5+16.8+0.8*12)*0.8+0.04</f>
        <v>49.80000000000001</v>
      </c>
      <c r="F154" s="335"/>
      <c r="G154" s="335"/>
      <c r="H154" s="335"/>
      <c r="I154" s="336"/>
      <c r="J154" s="337"/>
      <c r="K154" s="508"/>
      <c r="L154" s="508"/>
      <c r="M154" s="508"/>
      <c r="N154" s="508"/>
      <c r="O154" s="508"/>
      <c r="P154" s="508"/>
      <c r="Q154" s="508"/>
      <c r="R154" s="508"/>
      <c r="S154" s="508"/>
      <c r="T154" s="508"/>
    </row>
    <row r="155" spans="1:20" s="22" customFormat="1" ht="20.25" customHeight="1">
      <c r="A155" s="196" t="s">
        <v>1922</v>
      </c>
      <c r="B155" s="197" t="s">
        <v>1923</v>
      </c>
      <c r="C155" s="197" t="s">
        <v>1924</v>
      </c>
      <c r="D155" s="919" t="s">
        <v>1925</v>
      </c>
      <c r="E155" s="198" t="s">
        <v>1748</v>
      </c>
      <c r="F155" s="332">
        <f>E156</f>
        <v>157.92000000000002</v>
      </c>
      <c r="G155" s="332"/>
      <c r="H155" s="332">
        <f>F155*G155</f>
        <v>0</v>
      </c>
      <c r="I155" s="333">
        <v>0.01021</v>
      </c>
      <c r="J155" s="334">
        <f>F155*I155</f>
        <v>1.6123632</v>
      </c>
      <c r="K155" s="509"/>
      <c r="L155" s="509"/>
      <c r="M155" s="509"/>
      <c r="N155" s="509"/>
      <c r="O155" s="509"/>
      <c r="P155" s="509"/>
      <c r="Q155" s="509"/>
      <c r="R155" s="509"/>
      <c r="S155" s="509"/>
      <c r="T155" s="509"/>
    </row>
    <row r="156" spans="1:20" s="142" customFormat="1" ht="19.5" customHeight="1">
      <c r="A156" s="204"/>
      <c r="B156" s="217"/>
      <c r="C156" s="212" t="s">
        <v>1919</v>
      </c>
      <c r="D156" s="930"/>
      <c r="E156" s="141">
        <f>197.4*0.8</f>
        <v>157.92000000000002</v>
      </c>
      <c r="F156" s="141"/>
      <c r="G156" s="141"/>
      <c r="H156" s="352"/>
      <c r="I156" s="352"/>
      <c r="J156" s="353"/>
      <c r="K156" s="677"/>
      <c r="L156" s="677"/>
      <c r="M156" s="215"/>
      <c r="N156" s="215"/>
      <c r="O156" s="215"/>
      <c r="P156" s="215"/>
      <c r="Q156" s="215"/>
      <c r="R156" s="215"/>
      <c r="S156" s="215"/>
      <c r="T156" s="215"/>
    </row>
    <row r="157" spans="1:20" s="22" customFormat="1" ht="30.75" customHeight="1">
      <c r="A157" s="196" t="s">
        <v>1926</v>
      </c>
      <c r="B157" s="197" t="s">
        <v>1927</v>
      </c>
      <c r="C157" s="199" t="s">
        <v>1928</v>
      </c>
      <c r="D157" s="919" t="s">
        <v>1929</v>
      </c>
      <c r="E157" s="198" t="s">
        <v>1748</v>
      </c>
      <c r="F157" s="332">
        <f>E158</f>
        <v>138.18</v>
      </c>
      <c r="G157" s="332"/>
      <c r="H157" s="332">
        <f>F157*G157</f>
        <v>0</v>
      </c>
      <c r="I157" s="333">
        <v>0.01396</v>
      </c>
      <c r="J157" s="334">
        <f>F157*I157</f>
        <v>1.9289928</v>
      </c>
      <c r="K157" s="509"/>
      <c r="L157" s="509"/>
      <c r="M157" s="509"/>
      <c r="N157" s="509"/>
      <c r="O157" s="509"/>
      <c r="P157" s="509"/>
      <c r="Q157" s="509"/>
      <c r="R157" s="509"/>
      <c r="S157" s="509"/>
      <c r="T157" s="509"/>
    </row>
    <row r="158" spans="1:20" s="142" customFormat="1" ht="19.5" customHeight="1">
      <c r="A158" s="204"/>
      <c r="B158" s="217"/>
      <c r="C158" s="212" t="s">
        <v>1930</v>
      </c>
      <c r="D158" s="930"/>
      <c r="E158" s="141">
        <f>197.4*0.7</f>
        <v>138.18</v>
      </c>
      <c r="F158" s="141"/>
      <c r="G158" s="141"/>
      <c r="H158" s="352"/>
      <c r="I158" s="352"/>
      <c r="J158" s="353"/>
      <c r="K158" s="677"/>
      <c r="L158" s="677"/>
      <c r="M158" s="215"/>
      <c r="N158" s="215"/>
      <c r="O158" s="215"/>
      <c r="P158" s="215"/>
      <c r="Q158" s="215"/>
      <c r="R158" s="215"/>
      <c r="S158" s="215"/>
      <c r="T158" s="215"/>
    </row>
    <row r="159" spans="1:20" s="22" customFormat="1" ht="20.25" customHeight="1">
      <c r="A159" s="196" t="s">
        <v>1931</v>
      </c>
      <c r="B159" s="197" t="s">
        <v>1932</v>
      </c>
      <c r="C159" s="197" t="s">
        <v>1933</v>
      </c>
      <c r="D159" s="919" t="s">
        <v>1925</v>
      </c>
      <c r="E159" s="198" t="s">
        <v>1748</v>
      </c>
      <c r="F159" s="332">
        <f>E160</f>
        <v>21.279999999999998</v>
      </c>
      <c r="G159" s="332"/>
      <c r="H159" s="332">
        <f>F159*G159</f>
        <v>0</v>
      </c>
      <c r="I159" s="333">
        <v>0.01021</v>
      </c>
      <c r="J159" s="334">
        <f>F159*I159</f>
        <v>0.21726879999999998</v>
      </c>
      <c r="K159" s="509"/>
      <c r="L159" s="509"/>
      <c r="M159" s="509"/>
      <c r="N159" s="509"/>
      <c r="O159" s="509"/>
      <c r="P159" s="509"/>
      <c r="Q159" s="509"/>
      <c r="R159" s="509"/>
      <c r="S159" s="509"/>
      <c r="T159" s="509"/>
    </row>
    <row r="160" spans="1:20" s="142" customFormat="1" ht="19.5" customHeight="1">
      <c r="A160" s="204"/>
      <c r="B160" s="217"/>
      <c r="C160" s="212" t="s">
        <v>1934</v>
      </c>
      <c r="D160" s="930"/>
      <c r="E160" s="141">
        <f>30.4*0.7</f>
        <v>21.279999999999998</v>
      </c>
      <c r="F160" s="141"/>
      <c r="G160" s="141"/>
      <c r="H160" s="352"/>
      <c r="I160" s="352"/>
      <c r="J160" s="353"/>
      <c r="K160" s="677"/>
      <c r="L160" s="677"/>
      <c r="M160" s="215"/>
      <c r="N160" s="215"/>
      <c r="O160" s="215"/>
      <c r="P160" s="215"/>
      <c r="Q160" s="215"/>
      <c r="R160" s="215"/>
      <c r="S160" s="215"/>
      <c r="T160" s="215"/>
    </row>
    <row r="161" spans="1:20" s="22" customFormat="1" ht="26.25" customHeight="1">
      <c r="A161" s="196" t="s">
        <v>1935</v>
      </c>
      <c r="B161" s="197" t="s">
        <v>1936</v>
      </c>
      <c r="C161" s="199" t="s">
        <v>1937</v>
      </c>
      <c r="D161" s="919" t="s">
        <v>1929</v>
      </c>
      <c r="E161" s="198" t="s">
        <v>1748</v>
      </c>
      <c r="F161" s="332">
        <f>E162</f>
        <v>21.279999999999998</v>
      </c>
      <c r="G161" s="332"/>
      <c r="H161" s="332">
        <f>F161*G161</f>
        <v>0</v>
      </c>
      <c r="I161" s="333">
        <v>0.01396</v>
      </c>
      <c r="J161" s="334">
        <f>F161*I161</f>
        <v>0.29706879999999997</v>
      </c>
      <c r="K161" s="509"/>
      <c r="L161" s="509"/>
      <c r="M161" s="509"/>
      <c r="N161" s="509"/>
      <c r="O161" s="509"/>
      <c r="P161" s="509"/>
      <c r="Q161" s="509"/>
      <c r="R161" s="509"/>
      <c r="S161" s="509"/>
      <c r="T161" s="509"/>
    </row>
    <row r="162" spans="1:20" s="142" customFormat="1" ht="19.5" customHeight="1">
      <c r="A162" s="204"/>
      <c r="B162" s="217"/>
      <c r="C162" s="212" t="s">
        <v>1934</v>
      </c>
      <c r="D162" s="930"/>
      <c r="E162" s="141">
        <f>30.4*0.7</f>
        <v>21.279999999999998</v>
      </c>
      <c r="F162" s="141"/>
      <c r="G162" s="141"/>
      <c r="H162" s="352"/>
      <c r="I162" s="352"/>
      <c r="J162" s="353"/>
      <c r="K162" s="677"/>
      <c r="L162" s="677"/>
      <c r="M162" s="215"/>
      <c r="N162" s="215"/>
      <c r="O162" s="215"/>
      <c r="P162" s="215"/>
      <c r="Q162" s="215"/>
      <c r="R162" s="215"/>
      <c r="S162" s="215"/>
      <c r="T162" s="215"/>
    </row>
    <row r="163" spans="1:20" s="22" customFormat="1" ht="20.25" customHeight="1">
      <c r="A163" s="196" t="s">
        <v>1938</v>
      </c>
      <c r="B163" s="197" t="s">
        <v>1939</v>
      </c>
      <c r="C163" s="197" t="s">
        <v>1940</v>
      </c>
      <c r="D163" s="919" t="s">
        <v>1929</v>
      </c>
      <c r="E163" s="198" t="s">
        <v>1748</v>
      </c>
      <c r="F163" s="332">
        <f>E164</f>
        <v>159.46</v>
      </c>
      <c r="G163" s="332"/>
      <c r="H163" s="332">
        <f>F163*G163</f>
        <v>0</v>
      </c>
      <c r="I163" s="333">
        <v>0.00618</v>
      </c>
      <c r="J163" s="334">
        <f>F163*I163</f>
        <v>0.9854628</v>
      </c>
      <c r="K163" s="509"/>
      <c r="L163" s="509"/>
      <c r="M163" s="509"/>
      <c r="N163" s="509"/>
      <c r="O163" s="509"/>
      <c r="P163" s="509"/>
      <c r="Q163" s="509"/>
      <c r="R163" s="509"/>
      <c r="S163" s="509"/>
      <c r="T163" s="509"/>
    </row>
    <row r="164" spans="1:20" s="142" customFormat="1" ht="19.5" customHeight="1">
      <c r="A164" s="204"/>
      <c r="B164" s="217"/>
      <c r="C164" s="212" t="s">
        <v>1941</v>
      </c>
      <c r="D164" s="930"/>
      <c r="E164" s="141">
        <f>138.18+21.28</f>
        <v>159.46</v>
      </c>
      <c r="F164" s="141"/>
      <c r="G164" s="141"/>
      <c r="H164" s="352"/>
      <c r="I164" s="352"/>
      <c r="J164" s="353"/>
      <c r="K164" s="677"/>
      <c r="L164" s="677"/>
      <c r="M164" s="215"/>
      <c r="N164" s="215"/>
      <c r="O164" s="215"/>
      <c r="P164" s="215"/>
      <c r="Q164" s="215"/>
      <c r="R164" s="215"/>
      <c r="S164" s="215"/>
      <c r="T164" s="215"/>
    </row>
    <row r="165" spans="1:20" s="22" customFormat="1" ht="20.25" customHeight="1">
      <c r="A165" s="196" t="s">
        <v>1942</v>
      </c>
      <c r="B165" s="197" t="s">
        <v>1943</v>
      </c>
      <c r="C165" s="197" t="s">
        <v>1944</v>
      </c>
      <c r="D165" s="919" t="s">
        <v>1945</v>
      </c>
      <c r="E165" s="198" t="s">
        <v>1748</v>
      </c>
      <c r="F165" s="332">
        <f>SUM(E166:E170)</f>
        <v>401.005</v>
      </c>
      <c r="G165" s="332"/>
      <c r="H165" s="332">
        <f>F165*G165</f>
        <v>0</v>
      </c>
      <c r="I165" s="333">
        <v>0.03478</v>
      </c>
      <c r="J165" s="334">
        <f>F165*I165</f>
        <v>13.946953899999999</v>
      </c>
      <c r="K165" s="509"/>
      <c r="L165" s="509"/>
      <c r="M165" s="509"/>
      <c r="N165" s="509"/>
      <c r="O165" s="509"/>
      <c r="P165" s="509"/>
      <c r="Q165" s="509"/>
      <c r="R165" s="509"/>
      <c r="S165" s="509"/>
      <c r="T165" s="509"/>
    </row>
    <row r="166" spans="1:20" s="142" customFormat="1" ht="21" customHeight="1">
      <c r="A166" s="204"/>
      <c r="B166" s="217" t="s">
        <v>1946</v>
      </c>
      <c r="C166" s="212">
        <v>4.3</v>
      </c>
      <c r="D166" s="930"/>
      <c r="E166" s="141">
        <v>4.3</v>
      </c>
      <c r="F166" s="141"/>
      <c r="G166" s="141"/>
      <c r="H166" s="352"/>
      <c r="I166" s="352"/>
      <c r="J166" s="353"/>
      <c r="K166" s="677"/>
      <c r="L166" s="677"/>
      <c r="M166" s="215"/>
      <c r="N166" s="215"/>
      <c r="O166" s="215"/>
      <c r="P166" s="215"/>
      <c r="Q166" s="215"/>
      <c r="R166" s="215"/>
      <c r="S166" s="215"/>
      <c r="T166" s="215"/>
    </row>
    <row r="167" spans="1:20" s="142" customFormat="1" ht="36" customHeight="1">
      <c r="A167" s="204"/>
      <c r="B167" s="217" t="s">
        <v>1947</v>
      </c>
      <c r="C167" s="212" t="s">
        <v>1948</v>
      </c>
      <c r="D167" s="930"/>
      <c r="E167" s="141">
        <f>16.85*0.5+26.6*0.5+19.7*0.7+6.7*0.7+16.6*0.5+11.3*0.5+3.5*0.5+7.5*0.5+(7.2*0.7)*2</f>
        <v>69.735</v>
      </c>
      <c r="F167" s="141"/>
      <c r="G167" s="141"/>
      <c r="H167" s="352"/>
      <c r="I167" s="352"/>
      <c r="J167" s="353"/>
      <c r="K167" s="677"/>
      <c r="L167" s="677"/>
      <c r="M167" s="215"/>
      <c r="N167" s="215"/>
      <c r="O167" s="215"/>
      <c r="P167" s="215"/>
      <c r="Q167" s="215"/>
      <c r="R167" s="215"/>
      <c r="S167" s="215"/>
      <c r="T167" s="215"/>
    </row>
    <row r="168" spans="1:20" s="142" customFormat="1" ht="21" customHeight="1">
      <c r="A168" s="204"/>
      <c r="B168" s="217" t="s">
        <v>1949</v>
      </c>
      <c r="C168" s="212" t="s">
        <v>1950</v>
      </c>
      <c r="D168" s="930"/>
      <c r="E168" s="141">
        <f>65.4*0.5+65.4*0.5+17*0.5*2+4*0.5*2+21*0.7*2</f>
        <v>115.80000000000001</v>
      </c>
      <c r="F168" s="141"/>
      <c r="G168" s="141"/>
      <c r="H168" s="352"/>
      <c r="I168" s="352"/>
      <c r="J168" s="353"/>
      <c r="K168" s="677"/>
      <c r="L168" s="677"/>
      <c r="M168" s="215"/>
      <c r="N168" s="215"/>
      <c r="O168" s="215"/>
      <c r="P168" s="215"/>
      <c r="Q168" s="215"/>
      <c r="R168" s="215"/>
      <c r="S168" s="215"/>
      <c r="T168" s="215"/>
    </row>
    <row r="169" spans="1:20" s="142" customFormat="1" ht="21" customHeight="1">
      <c r="A169" s="204"/>
      <c r="B169" s="217" t="s">
        <v>1951</v>
      </c>
      <c r="C169" s="212" t="s">
        <v>1952</v>
      </c>
      <c r="D169" s="930"/>
      <c r="E169" s="141">
        <f>65.4*0.5+65.4*0.5+65.4*0.5+50.8*0.7</f>
        <v>133.66</v>
      </c>
      <c r="F169" s="141"/>
      <c r="G169" s="141"/>
      <c r="H169" s="352"/>
      <c r="I169" s="352"/>
      <c r="J169" s="353"/>
      <c r="K169" s="677"/>
      <c r="L169" s="677"/>
      <c r="M169" s="215"/>
      <c r="N169" s="215"/>
      <c r="O169" s="215"/>
      <c r="P169" s="215"/>
      <c r="Q169" s="215"/>
      <c r="R169" s="215"/>
      <c r="S169" s="215"/>
      <c r="T169" s="215"/>
    </row>
    <row r="170" spans="1:20" s="142" customFormat="1" ht="36" customHeight="1">
      <c r="A170" s="204"/>
      <c r="B170" s="217" t="s">
        <v>1953</v>
      </c>
      <c r="C170" s="212" t="s">
        <v>1954</v>
      </c>
      <c r="D170" s="930"/>
      <c r="E170" s="141">
        <f>26.6*0.5+19.7*0.7+6.7*0.7+16.9*0.5*2+11.3*0.5+3.8*0.5+22.4*0.5+(7.2*0.7)*2</f>
        <v>77.50999999999999</v>
      </c>
      <c r="F170" s="141"/>
      <c r="G170" s="141"/>
      <c r="H170" s="352"/>
      <c r="I170" s="352"/>
      <c r="J170" s="353"/>
      <c r="K170" s="677"/>
      <c r="L170" s="677"/>
      <c r="M170" s="215"/>
      <c r="N170" s="215"/>
      <c r="O170" s="215"/>
      <c r="P170" s="215"/>
      <c r="Q170" s="215"/>
      <c r="R170" s="215"/>
      <c r="S170" s="215"/>
      <c r="T170" s="215"/>
    </row>
    <row r="171" spans="1:20" s="22" customFormat="1" ht="20.25" customHeight="1">
      <c r="A171" s="196" t="s">
        <v>1955</v>
      </c>
      <c r="B171" s="197" t="s">
        <v>1956</v>
      </c>
      <c r="C171" s="197" t="s">
        <v>1957</v>
      </c>
      <c r="D171" s="919" t="s">
        <v>1958</v>
      </c>
      <c r="E171" s="198" t="s">
        <v>1748</v>
      </c>
      <c r="F171" s="332">
        <f>E172</f>
        <v>410.4</v>
      </c>
      <c r="G171" s="332"/>
      <c r="H171" s="332">
        <f>F171*G171</f>
        <v>0</v>
      </c>
      <c r="I171" s="333">
        <v>0.03167</v>
      </c>
      <c r="J171" s="334">
        <f>F171*I171</f>
        <v>12.997367999999998</v>
      </c>
      <c r="K171" s="509"/>
      <c r="L171" s="509"/>
      <c r="M171" s="509"/>
      <c r="N171" s="509"/>
      <c r="O171" s="509"/>
      <c r="P171" s="509"/>
      <c r="Q171" s="509"/>
      <c r="R171" s="509"/>
      <c r="S171" s="509"/>
      <c r="T171" s="509"/>
    </row>
    <row r="172" spans="1:20" s="142" customFormat="1" ht="19.5" customHeight="1">
      <c r="A172" s="204"/>
      <c r="B172" s="217"/>
      <c r="C172" s="212" t="s">
        <v>1959</v>
      </c>
      <c r="D172" s="930"/>
      <c r="E172" s="141">
        <f>30.4*13.5</f>
        <v>410.4</v>
      </c>
      <c r="F172" s="141"/>
      <c r="G172" s="141"/>
      <c r="H172" s="352"/>
      <c r="I172" s="352"/>
      <c r="J172" s="353"/>
      <c r="K172" s="677"/>
      <c r="L172" s="677"/>
      <c r="M172" s="215"/>
      <c r="N172" s="215"/>
      <c r="O172" s="215"/>
      <c r="P172" s="215"/>
      <c r="Q172" s="215"/>
      <c r="R172" s="215"/>
      <c r="S172" s="215"/>
      <c r="T172" s="215"/>
    </row>
    <row r="173" spans="1:20" s="22" customFormat="1" ht="20.25" customHeight="1">
      <c r="A173" s="196" t="s">
        <v>1960</v>
      </c>
      <c r="B173" s="197" t="s">
        <v>1961</v>
      </c>
      <c r="C173" s="197" t="s">
        <v>1962</v>
      </c>
      <c r="D173" s="919" t="s">
        <v>1963</v>
      </c>
      <c r="E173" s="198" t="s">
        <v>1748</v>
      </c>
      <c r="F173" s="332">
        <f>E174</f>
        <v>2945.59</v>
      </c>
      <c r="G173" s="332"/>
      <c r="H173" s="332">
        <f>F173*G173</f>
        <v>0</v>
      </c>
      <c r="I173" s="333">
        <v>0.01011</v>
      </c>
      <c r="J173" s="334">
        <f>F173*I173</f>
        <v>29.779914899999998</v>
      </c>
      <c r="K173" s="509"/>
      <c r="L173" s="509"/>
      <c r="M173" s="509"/>
      <c r="N173" s="509"/>
      <c r="O173" s="509"/>
      <c r="P173" s="509"/>
      <c r="Q173" s="509"/>
      <c r="R173" s="509"/>
      <c r="S173" s="509"/>
      <c r="T173" s="509"/>
    </row>
    <row r="174" spans="1:20" s="142" customFormat="1" ht="36" customHeight="1">
      <c r="A174" s="204"/>
      <c r="B174" s="217"/>
      <c r="C174" s="212" t="s">
        <v>1964</v>
      </c>
      <c r="D174" s="930"/>
      <c r="E174" s="141">
        <f>4369.5-113.9-410.4-4.3-69.74-115.8-133.66-77.51-341.04-157.56</f>
        <v>2945.59</v>
      </c>
      <c r="F174" s="141"/>
      <c r="G174" s="141"/>
      <c r="H174" s="352"/>
      <c r="I174" s="352"/>
      <c r="J174" s="353"/>
      <c r="K174" s="677"/>
      <c r="L174" s="677"/>
      <c r="M174" s="215"/>
      <c r="N174" s="215"/>
      <c r="O174" s="215"/>
      <c r="P174" s="215"/>
      <c r="Q174" s="215"/>
      <c r="R174" s="215"/>
      <c r="S174" s="215"/>
      <c r="T174" s="215"/>
    </row>
    <row r="175" spans="1:20" s="1034" customFormat="1" ht="20.25" customHeight="1">
      <c r="A175" s="1023" t="s">
        <v>2888</v>
      </c>
      <c r="B175" s="1024" t="s">
        <v>2937</v>
      </c>
      <c r="C175" s="1024" t="s">
        <v>2936</v>
      </c>
      <c r="D175" s="1109"/>
      <c r="E175" s="1027" t="s">
        <v>1748</v>
      </c>
      <c r="F175" s="1028">
        <f>SUM(E176)</f>
        <v>52.4</v>
      </c>
      <c r="G175" s="1028"/>
      <c r="H175" s="1028">
        <f>F175*G175</f>
        <v>0</v>
      </c>
      <c r="I175" s="1029">
        <v>0.0098511</v>
      </c>
      <c r="J175" s="1030">
        <f>F175*I175</f>
        <v>0.51619764</v>
      </c>
      <c r="K175" s="1033"/>
      <c r="L175" s="1033"/>
      <c r="M175" s="1033"/>
      <c r="N175" s="1033"/>
      <c r="O175" s="1033"/>
      <c r="P175" s="1033"/>
      <c r="Q175" s="1033"/>
      <c r="R175" s="1033"/>
      <c r="S175" s="1033"/>
      <c r="T175" s="1033"/>
    </row>
    <row r="176" spans="1:20" s="142" customFormat="1" ht="18.75" customHeight="1">
      <c r="A176" s="204"/>
      <c r="B176" s="217" t="s">
        <v>2935</v>
      </c>
      <c r="C176" s="521">
        <v>52.4</v>
      </c>
      <c r="D176" s="1222"/>
      <c r="E176" s="141">
        <v>52.4</v>
      </c>
      <c r="F176" s="141"/>
      <c r="G176" s="141"/>
      <c r="H176" s="352"/>
      <c r="I176" s="352"/>
      <c r="J176" s="353"/>
      <c r="K176" s="677"/>
      <c r="L176" s="677"/>
      <c r="M176" s="215"/>
      <c r="N176" s="215"/>
      <c r="O176" s="215"/>
      <c r="P176" s="215"/>
      <c r="Q176" s="215"/>
      <c r="R176" s="215"/>
      <c r="S176" s="215"/>
      <c r="T176" s="215"/>
    </row>
    <row r="177" spans="1:20" s="22" customFormat="1" ht="20.25" customHeight="1">
      <c r="A177" s="196" t="s">
        <v>1965</v>
      </c>
      <c r="B177" s="197" t="s">
        <v>1966</v>
      </c>
      <c r="C177" s="197" t="s">
        <v>1967</v>
      </c>
      <c r="D177" s="919" t="s">
        <v>1968</v>
      </c>
      <c r="E177" s="198" t="s">
        <v>1748</v>
      </c>
      <c r="F177" s="1028">
        <f>SUM(E178:E179)</f>
        <v>956.575</v>
      </c>
      <c r="G177" s="332"/>
      <c r="H177" s="332">
        <f>F177*G177</f>
        <v>0</v>
      </c>
      <c r="I177" s="333">
        <v>0</v>
      </c>
      <c r="J177" s="334">
        <f>F177*I177</f>
        <v>0</v>
      </c>
      <c r="K177" s="509"/>
      <c r="L177" s="509"/>
      <c r="M177" s="509"/>
      <c r="N177" s="509"/>
      <c r="O177" s="509"/>
      <c r="P177" s="509"/>
      <c r="Q177" s="509"/>
      <c r="R177" s="509"/>
      <c r="S177" s="509"/>
      <c r="T177" s="509"/>
    </row>
    <row r="178" spans="1:20" s="142" customFormat="1" ht="21" customHeight="1">
      <c r="A178" s="204"/>
      <c r="B178" s="217" t="s">
        <v>1969</v>
      </c>
      <c r="C178" s="218" t="s">
        <v>1970</v>
      </c>
      <c r="D178" s="930"/>
      <c r="E178" s="141">
        <f>224.3*2</f>
        <v>448.6</v>
      </c>
      <c r="F178" s="141"/>
      <c r="G178" s="141"/>
      <c r="H178" s="352"/>
      <c r="I178" s="352"/>
      <c r="J178" s="353"/>
      <c r="K178" s="677"/>
      <c r="L178" s="677"/>
      <c r="M178" s="215"/>
      <c r="N178" s="215"/>
      <c r="O178" s="215"/>
      <c r="P178" s="215"/>
      <c r="Q178" s="215"/>
      <c r="R178" s="215"/>
      <c r="S178" s="215"/>
      <c r="T178" s="215"/>
    </row>
    <row r="179" spans="1:20" s="142" customFormat="1" ht="21" customHeight="1">
      <c r="A179" s="204"/>
      <c r="B179" s="217" t="s">
        <v>1971</v>
      </c>
      <c r="C179" s="218" t="s">
        <v>2938</v>
      </c>
      <c r="D179" s="930"/>
      <c r="E179" s="1063">
        <f>1650.05*0.25+381.85*0.25</f>
        <v>507.975</v>
      </c>
      <c r="F179" s="141"/>
      <c r="G179" s="141"/>
      <c r="H179" s="352"/>
      <c r="I179" s="352"/>
      <c r="J179" s="353"/>
      <c r="K179" s="677"/>
      <c r="L179" s="677"/>
      <c r="M179" s="215"/>
      <c r="N179" s="215"/>
      <c r="O179" s="215"/>
      <c r="P179" s="215"/>
      <c r="Q179" s="215"/>
      <c r="R179" s="215"/>
      <c r="S179" s="215"/>
      <c r="T179" s="215"/>
    </row>
    <row r="180" spans="1:20" s="22" customFormat="1" ht="20.25" customHeight="1">
      <c r="A180" s="196" t="s">
        <v>1972</v>
      </c>
      <c r="B180" s="197" t="s">
        <v>1973</v>
      </c>
      <c r="C180" s="197" t="s">
        <v>1974</v>
      </c>
      <c r="D180" s="919" t="s">
        <v>1975</v>
      </c>
      <c r="E180" s="198" t="s">
        <v>1748</v>
      </c>
      <c r="F180" s="332">
        <f>E181</f>
        <v>341.04</v>
      </c>
      <c r="G180" s="332"/>
      <c r="H180" s="332">
        <f>F180*G180</f>
        <v>0</v>
      </c>
      <c r="I180" s="333">
        <v>0.00901</v>
      </c>
      <c r="J180" s="334">
        <f>F180*I180</f>
        <v>3.0727704000000005</v>
      </c>
      <c r="K180" s="697"/>
      <c r="L180" s="509"/>
      <c r="M180" s="509"/>
      <c r="N180" s="509"/>
      <c r="O180" s="509"/>
      <c r="P180" s="509"/>
      <c r="Q180" s="509"/>
      <c r="R180" s="509"/>
      <c r="S180" s="509"/>
      <c r="T180" s="509"/>
    </row>
    <row r="181" spans="1:20" s="142" customFormat="1" ht="21" customHeight="1">
      <c r="A181" s="204"/>
      <c r="B181" s="217"/>
      <c r="C181" s="218" t="s">
        <v>1976</v>
      </c>
      <c r="D181" s="930"/>
      <c r="E181" s="141">
        <f>81.2*2*2.1</f>
        <v>341.04</v>
      </c>
      <c r="F181" s="141"/>
      <c r="G181" s="141"/>
      <c r="H181" s="352"/>
      <c r="I181" s="352"/>
      <c r="J181" s="353"/>
      <c r="K181" s="677"/>
      <c r="L181" s="677"/>
      <c r="M181" s="215"/>
      <c r="N181" s="215"/>
      <c r="O181" s="215"/>
      <c r="P181" s="215"/>
      <c r="Q181" s="215"/>
      <c r="R181" s="215"/>
      <c r="S181" s="215"/>
      <c r="T181" s="215"/>
    </row>
    <row r="182" spans="1:20" s="22" customFormat="1" ht="20.25" customHeight="1">
      <c r="A182" s="196" t="s">
        <v>1977</v>
      </c>
      <c r="B182" s="197" t="s">
        <v>1978</v>
      </c>
      <c r="C182" s="197" t="s">
        <v>1979</v>
      </c>
      <c r="D182" s="919" t="s">
        <v>1980</v>
      </c>
      <c r="E182" s="198" t="s">
        <v>1748</v>
      </c>
      <c r="F182" s="332">
        <f>E183</f>
        <v>170.69000000000003</v>
      </c>
      <c r="G182" s="332"/>
      <c r="H182" s="332">
        <f>F182*G182</f>
        <v>0</v>
      </c>
      <c r="I182" s="333">
        <v>0.00901</v>
      </c>
      <c r="J182" s="334">
        <f>F182*I182</f>
        <v>1.5379169000000004</v>
      </c>
      <c r="K182" s="509"/>
      <c r="L182" s="509"/>
      <c r="M182" s="509"/>
      <c r="N182" s="509"/>
      <c r="O182" s="509"/>
      <c r="P182" s="509"/>
      <c r="Q182" s="509"/>
      <c r="R182" s="509"/>
      <c r="S182" s="509"/>
      <c r="T182" s="509"/>
    </row>
    <row r="183" spans="1:20" s="142" customFormat="1" ht="21" customHeight="1">
      <c r="A183" s="204"/>
      <c r="B183" s="217"/>
      <c r="C183" s="218" t="s">
        <v>1981</v>
      </c>
      <c r="D183" s="930"/>
      <c r="E183" s="141">
        <f>131.3*1.3</f>
        <v>170.69000000000003</v>
      </c>
      <c r="F183" s="141"/>
      <c r="G183" s="141"/>
      <c r="H183" s="352"/>
      <c r="I183" s="352"/>
      <c r="J183" s="353"/>
      <c r="K183" s="677"/>
      <c r="L183" s="677"/>
      <c r="M183" s="215"/>
      <c r="N183" s="215"/>
      <c r="O183" s="215"/>
      <c r="P183" s="215"/>
      <c r="Q183" s="215"/>
      <c r="R183" s="215"/>
      <c r="S183" s="215"/>
      <c r="T183" s="215"/>
    </row>
    <row r="184" spans="1:20" s="22" customFormat="1" ht="20.25" customHeight="1">
      <c r="A184" s="196" t="s">
        <v>1982</v>
      </c>
      <c r="B184" s="197" t="s">
        <v>1983</v>
      </c>
      <c r="C184" s="197" t="s">
        <v>1984</v>
      </c>
      <c r="D184" s="919" t="s">
        <v>1980</v>
      </c>
      <c r="E184" s="198" t="s">
        <v>1748</v>
      </c>
      <c r="F184" s="332">
        <f>E185</f>
        <v>157.56</v>
      </c>
      <c r="G184" s="332"/>
      <c r="H184" s="332">
        <f>F184*G184</f>
        <v>0</v>
      </c>
      <c r="I184" s="333">
        <v>0.0255</v>
      </c>
      <c r="J184" s="334">
        <f>F184*I184</f>
        <v>4.01778</v>
      </c>
      <c r="K184" s="509"/>
      <c r="L184" s="509"/>
      <c r="M184" s="509"/>
      <c r="N184" s="509"/>
      <c r="O184" s="509"/>
      <c r="P184" s="509"/>
      <c r="Q184" s="509"/>
      <c r="R184" s="509"/>
      <c r="S184" s="509"/>
      <c r="T184" s="509"/>
    </row>
    <row r="185" spans="1:20" s="142" customFormat="1" ht="21" customHeight="1">
      <c r="A185" s="204"/>
      <c r="B185" s="217"/>
      <c r="C185" s="218" t="s">
        <v>1985</v>
      </c>
      <c r="D185" s="930"/>
      <c r="E185" s="141">
        <f>131.3*1.2</f>
        <v>157.56</v>
      </c>
      <c r="F185" s="141"/>
      <c r="G185" s="141"/>
      <c r="H185" s="352"/>
      <c r="I185" s="352"/>
      <c r="J185" s="353"/>
      <c r="K185" s="677"/>
      <c r="L185" s="677"/>
      <c r="M185" s="215"/>
      <c r="N185" s="215"/>
      <c r="O185" s="215"/>
      <c r="P185" s="215"/>
      <c r="Q185" s="215"/>
      <c r="R185" s="215"/>
      <c r="S185" s="215"/>
      <c r="T185" s="215"/>
    </row>
    <row r="186" spans="1:20" s="22" customFormat="1" ht="20.25" customHeight="1">
      <c r="A186" s="196" t="s">
        <v>1986</v>
      </c>
      <c r="B186" s="197" t="s">
        <v>1987</v>
      </c>
      <c r="C186" s="197" t="s">
        <v>1988</v>
      </c>
      <c r="D186" s="919" t="s">
        <v>2761</v>
      </c>
      <c r="E186" s="198" t="s">
        <v>1826</v>
      </c>
      <c r="F186" s="332">
        <v>62</v>
      </c>
      <c r="G186" s="332"/>
      <c r="H186" s="332">
        <f>F186*G186</f>
        <v>0</v>
      </c>
      <c r="I186" s="333">
        <v>0.0005</v>
      </c>
      <c r="J186" s="334">
        <f>F186*I186</f>
        <v>0.031</v>
      </c>
      <c r="K186" s="509"/>
      <c r="L186" s="509"/>
      <c r="M186" s="509"/>
      <c r="N186" s="509"/>
      <c r="O186" s="509"/>
      <c r="P186" s="509"/>
      <c r="Q186" s="509"/>
      <c r="R186" s="509"/>
      <c r="S186" s="509"/>
      <c r="T186" s="509"/>
    </row>
    <row r="187" spans="1:20" s="22" customFormat="1" ht="20.25" customHeight="1">
      <c r="A187" s="196" t="s">
        <v>1989</v>
      </c>
      <c r="B187" s="197" t="s">
        <v>1990</v>
      </c>
      <c r="C187" s="197" t="s">
        <v>1991</v>
      </c>
      <c r="D187" s="919"/>
      <c r="E187" s="198" t="s">
        <v>1826</v>
      </c>
      <c r="F187" s="332">
        <f>E188</f>
        <v>2394.16</v>
      </c>
      <c r="G187" s="332"/>
      <c r="H187" s="332">
        <f>F187*G187</f>
        <v>0</v>
      </c>
      <c r="I187" s="333">
        <v>0</v>
      </c>
      <c r="J187" s="334">
        <f>F187*I187</f>
        <v>0</v>
      </c>
      <c r="K187" s="509"/>
      <c r="L187" s="509"/>
      <c r="M187" s="509"/>
      <c r="N187" s="509"/>
      <c r="O187" s="509"/>
      <c r="P187" s="509"/>
      <c r="Q187" s="509"/>
      <c r="R187" s="509"/>
      <c r="S187" s="509"/>
      <c r="T187" s="509"/>
    </row>
    <row r="188" spans="1:20" s="251" customFormat="1" ht="17.25" customHeight="1">
      <c r="A188" s="248"/>
      <c r="B188" s="249"/>
      <c r="C188" s="250" t="s">
        <v>1892</v>
      </c>
      <c r="D188" s="936"/>
      <c r="E188" s="213">
        <f>2027.9+345.45+20.81</f>
        <v>2394.16</v>
      </c>
      <c r="F188" s="367"/>
      <c r="G188" s="387"/>
      <c r="H188" s="387"/>
      <c r="I188" s="356"/>
      <c r="J188" s="357"/>
      <c r="K188" s="681"/>
      <c r="L188" s="681"/>
      <c r="M188" s="681"/>
      <c r="N188" s="682"/>
      <c r="O188" s="682"/>
      <c r="P188" s="682"/>
      <c r="Q188" s="682"/>
      <c r="R188" s="682"/>
      <c r="S188" s="682"/>
      <c r="T188" s="682"/>
    </row>
    <row r="189" spans="1:20" s="22" customFormat="1" ht="20.25" customHeight="1">
      <c r="A189" s="196" t="s">
        <v>1992</v>
      </c>
      <c r="B189" s="197" t="s">
        <v>1993</v>
      </c>
      <c r="C189" s="197" t="s">
        <v>1994</v>
      </c>
      <c r="D189" s="919" t="s">
        <v>2761</v>
      </c>
      <c r="E189" s="198" t="s">
        <v>1826</v>
      </c>
      <c r="F189" s="332">
        <v>222</v>
      </c>
      <c r="G189" s="332"/>
      <c r="H189" s="332">
        <f>F189*G189</f>
        <v>0</v>
      </c>
      <c r="I189" s="333">
        <v>0.00011</v>
      </c>
      <c r="J189" s="334">
        <f>F189*I189</f>
        <v>0.02442</v>
      </c>
      <c r="K189" s="509"/>
      <c r="L189" s="509"/>
      <c r="M189" s="509"/>
      <c r="N189" s="509"/>
      <c r="O189" s="509"/>
      <c r="P189" s="509"/>
      <c r="Q189" s="509"/>
      <c r="R189" s="509"/>
      <c r="S189" s="509"/>
      <c r="T189" s="509"/>
    </row>
    <row r="190" spans="1:20" s="22" customFormat="1" ht="20.25" customHeight="1">
      <c r="A190" s="196" t="s">
        <v>1995</v>
      </c>
      <c r="B190" s="197" t="s">
        <v>1996</v>
      </c>
      <c r="C190" s="197" t="s">
        <v>1997</v>
      </c>
      <c r="D190" s="919" t="s">
        <v>2761</v>
      </c>
      <c r="E190" s="198" t="s">
        <v>1826</v>
      </c>
      <c r="F190" s="332">
        <v>1778</v>
      </c>
      <c r="G190" s="332"/>
      <c r="H190" s="332">
        <f>F190*G190</f>
        <v>0</v>
      </c>
      <c r="I190" s="333">
        <v>0.00011</v>
      </c>
      <c r="J190" s="334">
        <f>F190*I190</f>
        <v>0.19558</v>
      </c>
      <c r="K190" s="509"/>
      <c r="L190" s="509"/>
      <c r="M190" s="509"/>
      <c r="N190" s="509"/>
      <c r="O190" s="509"/>
      <c r="P190" s="509"/>
      <c r="Q190" s="509"/>
      <c r="R190" s="509"/>
      <c r="S190" s="509"/>
      <c r="T190" s="509"/>
    </row>
    <row r="191" spans="1:20" s="22" customFormat="1" ht="20.25" customHeight="1">
      <c r="A191" s="196" t="s">
        <v>1998</v>
      </c>
      <c r="B191" s="197" t="s">
        <v>1999</v>
      </c>
      <c r="C191" s="197" t="s">
        <v>2000</v>
      </c>
      <c r="D191" s="919" t="s">
        <v>2761</v>
      </c>
      <c r="E191" s="198" t="s">
        <v>1826</v>
      </c>
      <c r="F191" s="332">
        <v>7079</v>
      </c>
      <c r="G191" s="332"/>
      <c r="H191" s="332">
        <f>F191*G191</f>
        <v>0</v>
      </c>
      <c r="I191" s="333">
        <v>0</v>
      </c>
      <c r="J191" s="334">
        <f>F191*I191</f>
        <v>0</v>
      </c>
      <c r="K191" s="509"/>
      <c r="L191" s="509"/>
      <c r="M191" s="509"/>
      <c r="N191" s="509"/>
      <c r="O191" s="509"/>
      <c r="P191" s="509"/>
      <c r="Q191" s="509"/>
      <c r="R191" s="509"/>
      <c r="S191" s="509"/>
      <c r="T191" s="509"/>
    </row>
    <row r="192" spans="1:20" s="22" customFormat="1" ht="20.25" customHeight="1">
      <c r="A192" s="196" t="s">
        <v>2001</v>
      </c>
      <c r="B192" s="197" t="s">
        <v>2002</v>
      </c>
      <c r="C192" s="197" t="s">
        <v>2003</v>
      </c>
      <c r="D192" s="919" t="s">
        <v>2761</v>
      </c>
      <c r="E192" s="198" t="s">
        <v>1748</v>
      </c>
      <c r="F192" s="332">
        <f>E193</f>
        <v>4369.5</v>
      </c>
      <c r="G192" s="332"/>
      <c r="H192" s="332">
        <f>F192*G192</f>
        <v>0</v>
      </c>
      <c r="I192" s="333">
        <v>0.00032</v>
      </c>
      <c r="J192" s="334">
        <f>F192*I192</f>
        <v>1.3982400000000001</v>
      </c>
      <c r="K192" s="509"/>
      <c r="L192" s="509"/>
      <c r="M192" s="509"/>
      <c r="N192" s="509"/>
      <c r="O192" s="509"/>
      <c r="P192" s="509"/>
      <c r="Q192" s="509"/>
      <c r="R192" s="509"/>
      <c r="S192" s="509"/>
      <c r="T192" s="509"/>
    </row>
    <row r="193" spans="1:20" s="251" customFormat="1" ht="17.25" customHeight="1">
      <c r="A193" s="248"/>
      <c r="B193" s="249"/>
      <c r="C193" s="1139">
        <v>4369.5</v>
      </c>
      <c r="D193" s="936"/>
      <c r="E193" s="213">
        <f>4369.5</f>
        <v>4369.5</v>
      </c>
      <c r="F193" s="367"/>
      <c r="G193" s="387"/>
      <c r="H193" s="387"/>
      <c r="I193" s="356"/>
      <c r="J193" s="357"/>
      <c r="K193" s="681"/>
      <c r="L193" s="681"/>
      <c r="M193" s="681"/>
      <c r="N193" s="682"/>
      <c r="O193" s="682"/>
      <c r="P193" s="682"/>
      <c r="Q193" s="682"/>
      <c r="R193" s="682"/>
      <c r="S193" s="682"/>
      <c r="T193" s="682"/>
    </row>
    <row r="194" spans="1:20" s="22" customFormat="1" ht="20.25" customHeight="1">
      <c r="A194" s="196" t="s">
        <v>2004</v>
      </c>
      <c r="B194" s="197" t="s">
        <v>2005</v>
      </c>
      <c r="C194" s="197" t="s">
        <v>2006</v>
      </c>
      <c r="D194" s="919" t="s">
        <v>2761</v>
      </c>
      <c r="E194" s="198" t="s">
        <v>1748</v>
      </c>
      <c r="F194" s="332">
        <f>E195</f>
        <v>4255.6</v>
      </c>
      <c r="G194" s="332"/>
      <c r="H194" s="332">
        <f>F194*G194</f>
        <v>0</v>
      </c>
      <c r="I194" s="333">
        <v>0.00284</v>
      </c>
      <c r="J194" s="334">
        <f>F194*I194</f>
        <v>12.085904000000001</v>
      </c>
      <c r="K194" s="509"/>
      <c r="L194" s="509"/>
      <c r="M194" s="509"/>
      <c r="N194" s="509"/>
      <c r="O194" s="509"/>
      <c r="P194" s="509"/>
      <c r="Q194" s="509"/>
      <c r="R194" s="509"/>
      <c r="S194" s="509"/>
      <c r="T194" s="509"/>
    </row>
    <row r="195" spans="1:20" s="1078" customFormat="1" ht="17.25" customHeight="1">
      <c r="A195" s="248"/>
      <c r="B195" s="249"/>
      <c r="C195" s="1139" t="s">
        <v>2941</v>
      </c>
      <c r="D195" s="936"/>
      <c r="E195" s="213">
        <f>4369.5-113.9</f>
        <v>4255.6</v>
      </c>
      <c r="F195" s="367"/>
      <c r="G195" s="387"/>
      <c r="H195" s="387"/>
      <c r="I195" s="356"/>
      <c r="J195" s="357"/>
      <c r="K195" s="1076"/>
      <c r="L195" s="1076"/>
      <c r="M195" s="1076"/>
      <c r="N195" s="1077"/>
      <c r="O195" s="1077"/>
      <c r="P195" s="1077"/>
      <c r="Q195" s="1077"/>
      <c r="R195" s="1077"/>
      <c r="S195" s="1077"/>
      <c r="T195" s="1077"/>
    </row>
    <row r="196" spans="1:20" s="22" customFormat="1" ht="20.25" customHeight="1">
      <c r="A196" s="196" t="s">
        <v>2007</v>
      </c>
      <c r="B196" s="197" t="s">
        <v>2008</v>
      </c>
      <c r="C196" s="197" t="s">
        <v>2009</v>
      </c>
      <c r="D196" s="919"/>
      <c r="E196" s="198" t="s">
        <v>1826</v>
      </c>
      <c r="F196" s="332">
        <f>E197</f>
        <v>1822.4</v>
      </c>
      <c r="G196" s="332"/>
      <c r="H196" s="332">
        <f>F196*G196</f>
        <v>0</v>
      </c>
      <c r="I196" s="333">
        <v>8E-05</v>
      </c>
      <c r="J196" s="334">
        <f>F196*I196</f>
        <v>0.14579200000000003</v>
      </c>
      <c r="K196" s="509"/>
      <c r="L196" s="509"/>
      <c r="M196" s="509"/>
      <c r="N196" s="509"/>
      <c r="O196" s="509"/>
      <c r="P196" s="509"/>
      <c r="Q196" s="509"/>
      <c r="R196" s="509"/>
      <c r="S196" s="509"/>
      <c r="T196" s="509"/>
    </row>
    <row r="197" spans="1:20" s="251" customFormat="1" ht="17.25" customHeight="1">
      <c r="A197" s="248"/>
      <c r="B197" s="249"/>
      <c r="C197" s="250" t="s">
        <v>2010</v>
      </c>
      <c r="D197" s="936"/>
      <c r="E197" s="213">
        <f>227.8*8</f>
        <v>1822.4</v>
      </c>
      <c r="F197" s="367"/>
      <c r="G197" s="387"/>
      <c r="H197" s="387"/>
      <c r="I197" s="356"/>
      <c r="J197" s="357"/>
      <c r="K197" s="681"/>
      <c r="L197" s="681"/>
      <c r="M197" s="681"/>
      <c r="N197" s="682"/>
      <c r="O197" s="682"/>
      <c r="P197" s="682"/>
      <c r="Q197" s="682"/>
      <c r="R197" s="682"/>
      <c r="S197" s="682"/>
      <c r="T197" s="682"/>
    </row>
    <row r="198" spans="1:20" s="22" customFormat="1" ht="16.5" customHeight="1" thickBot="1">
      <c r="A198" s="255"/>
      <c r="B198" s="256"/>
      <c r="C198" s="256"/>
      <c r="D198" s="937"/>
      <c r="E198" s="257"/>
      <c r="F198" s="368"/>
      <c r="G198" s="368"/>
      <c r="H198" s="368"/>
      <c r="I198" s="369"/>
      <c r="J198" s="370"/>
      <c r="K198" s="509"/>
      <c r="L198" s="509"/>
      <c r="M198" s="509"/>
      <c r="N198" s="509"/>
      <c r="O198" s="509"/>
      <c r="P198" s="509"/>
      <c r="Q198" s="509"/>
      <c r="R198" s="509"/>
      <c r="S198" s="509"/>
      <c r="T198" s="509"/>
    </row>
    <row r="199" spans="1:20" ht="16.5" customHeight="1" thickBot="1">
      <c r="A199" s="226" t="s">
        <v>2011</v>
      </c>
      <c r="B199" s="175" t="s">
        <v>2012</v>
      </c>
      <c r="C199" s="176" t="s">
        <v>2013</v>
      </c>
      <c r="D199" s="175"/>
      <c r="E199" s="175"/>
      <c r="F199" s="341"/>
      <c r="G199" s="341"/>
      <c r="H199" s="342">
        <f>SUM(H200:H212)</f>
        <v>0</v>
      </c>
      <c r="I199" s="343"/>
      <c r="J199" s="344">
        <f>SUM(J200:J212)</f>
        <v>65.48921007374999</v>
      </c>
      <c r="K199" s="670"/>
      <c r="L199" s="670"/>
      <c r="M199" s="670"/>
      <c r="N199" s="670"/>
      <c r="O199" s="670"/>
      <c r="P199" s="670"/>
      <c r="Q199" s="670"/>
      <c r="R199" s="670"/>
      <c r="S199" s="670"/>
      <c r="T199" s="670"/>
    </row>
    <row r="200" spans="1:20" s="22" customFormat="1" ht="20.25" customHeight="1">
      <c r="A200" s="190" t="s">
        <v>2014</v>
      </c>
      <c r="B200" s="191" t="s">
        <v>2015</v>
      </c>
      <c r="C200" s="1097" t="s">
        <v>2856</v>
      </c>
      <c r="D200" s="920"/>
      <c r="E200" s="192" t="s">
        <v>1748</v>
      </c>
      <c r="F200" s="345">
        <f>SUM(E201:E205)</f>
        <v>1763.3000000000002</v>
      </c>
      <c r="G200" s="345"/>
      <c r="H200" s="345">
        <f>F200*G200</f>
        <v>0</v>
      </c>
      <c r="I200" s="346">
        <v>0.02193</v>
      </c>
      <c r="J200" s="347">
        <f>F200*I200</f>
        <v>38.669169000000004</v>
      </c>
      <c r="K200" s="509"/>
      <c r="L200" s="509"/>
      <c r="M200" s="509"/>
      <c r="N200" s="509"/>
      <c r="O200" s="509"/>
      <c r="P200" s="509"/>
      <c r="Q200" s="509"/>
      <c r="R200" s="509"/>
      <c r="S200" s="509"/>
      <c r="T200" s="509"/>
    </row>
    <row r="201" spans="1:20" s="130" customFormat="1" ht="18" customHeight="1">
      <c r="A201" s="204"/>
      <c r="B201" s="205" t="s">
        <v>2016</v>
      </c>
      <c r="C201" s="206" t="s">
        <v>2017</v>
      </c>
      <c r="D201" s="925" t="s">
        <v>2016</v>
      </c>
      <c r="E201" s="207">
        <f>58.2+58.2+167.6+579.48</f>
        <v>863.48</v>
      </c>
      <c r="F201" s="335"/>
      <c r="G201" s="335"/>
      <c r="H201" s="335"/>
      <c r="I201" s="336"/>
      <c r="J201" s="337"/>
      <c r="K201" s="508"/>
      <c r="L201" s="508"/>
      <c r="M201" s="508"/>
      <c r="N201" s="508"/>
      <c r="O201" s="508"/>
      <c r="P201" s="508"/>
      <c r="Q201" s="508"/>
      <c r="R201" s="508"/>
      <c r="S201" s="508"/>
      <c r="T201" s="508"/>
    </row>
    <row r="202" spans="1:20" s="130" customFormat="1" ht="18" customHeight="1">
      <c r="A202" s="204"/>
      <c r="B202" s="205" t="s">
        <v>2018</v>
      </c>
      <c r="C202" s="206" t="s">
        <v>2019</v>
      </c>
      <c r="D202" s="925" t="s">
        <v>2018</v>
      </c>
      <c r="E202" s="207">
        <f>78.11+78.11</f>
        <v>156.22</v>
      </c>
      <c r="F202" s="335"/>
      <c r="G202" s="335"/>
      <c r="H202" s="335"/>
      <c r="I202" s="336"/>
      <c r="J202" s="337"/>
      <c r="K202" s="508"/>
      <c r="L202" s="508"/>
      <c r="M202" s="508"/>
      <c r="N202" s="508"/>
      <c r="O202" s="508"/>
      <c r="P202" s="508"/>
      <c r="Q202" s="508"/>
      <c r="R202" s="508"/>
      <c r="S202" s="508"/>
      <c r="T202" s="508"/>
    </row>
    <row r="203" spans="1:20" s="130" customFormat="1" ht="18" customHeight="1">
      <c r="A203" s="204"/>
      <c r="B203" s="205" t="s">
        <v>2020</v>
      </c>
      <c r="C203" s="206" t="s">
        <v>2021</v>
      </c>
      <c r="D203" s="925" t="s">
        <v>2020</v>
      </c>
      <c r="E203" s="207">
        <f>149.61+50.22+49.22+148.61</f>
        <v>397.66</v>
      </c>
      <c r="F203" s="335"/>
      <c r="G203" s="335"/>
      <c r="H203" s="335"/>
      <c r="I203" s="336"/>
      <c r="J203" s="337"/>
      <c r="K203" s="508"/>
      <c r="L203" s="508"/>
      <c r="M203" s="508"/>
      <c r="N203" s="508"/>
      <c r="O203" s="508"/>
      <c r="P203" s="508"/>
      <c r="Q203" s="508"/>
      <c r="R203" s="508"/>
      <c r="S203" s="508"/>
      <c r="T203" s="508"/>
    </row>
    <row r="204" spans="1:20" s="130" customFormat="1" ht="18" customHeight="1">
      <c r="A204" s="204"/>
      <c r="B204" s="205" t="s">
        <v>2022</v>
      </c>
      <c r="C204" s="206" t="s">
        <v>2023</v>
      </c>
      <c r="D204" s="925" t="s">
        <v>2022</v>
      </c>
      <c r="E204" s="207">
        <f>165.37+165.37</f>
        <v>330.74</v>
      </c>
      <c r="F204" s="335"/>
      <c r="G204" s="335"/>
      <c r="H204" s="335"/>
      <c r="I204" s="336"/>
      <c r="J204" s="337"/>
      <c r="K204" s="508"/>
      <c r="L204" s="508"/>
      <c r="M204" s="508"/>
      <c r="N204" s="508"/>
      <c r="O204" s="508"/>
      <c r="P204" s="508"/>
      <c r="Q204" s="508"/>
      <c r="R204" s="508"/>
      <c r="S204" s="508"/>
      <c r="T204" s="508"/>
    </row>
    <row r="205" spans="1:20" s="130" customFormat="1" ht="18" customHeight="1">
      <c r="A205" s="204"/>
      <c r="B205" s="205" t="s">
        <v>2024</v>
      </c>
      <c r="C205" s="206" t="s">
        <v>2025</v>
      </c>
      <c r="D205" s="925" t="s">
        <v>2024</v>
      </c>
      <c r="E205" s="207">
        <v>15.2</v>
      </c>
      <c r="F205" s="335"/>
      <c r="G205" s="335"/>
      <c r="H205" s="335"/>
      <c r="I205" s="336"/>
      <c r="J205" s="337"/>
      <c r="K205" s="508"/>
      <c r="L205" s="508"/>
      <c r="M205" s="508"/>
      <c r="N205" s="508"/>
      <c r="O205" s="508"/>
      <c r="P205" s="508"/>
      <c r="Q205" s="508"/>
      <c r="R205" s="508"/>
      <c r="S205" s="508"/>
      <c r="T205" s="508"/>
    </row>
    <row r="206" spans="1:20" s="22" customFormat="1" ht="20.25" customHeight="1">
      <c r="A206" s="196" t="s">
        <v>2026</v>
      </c>
      <c r="B206" s="197" t="s">
        <v>2027</v>
      </c>
      <c r="C206" s="197" t="s">
        <v>2028</v>
      </c>
      <c r="D206" s="919"/>
      <c r="E206" s="198" t="s">
        <v>1709</v>
      </c>
      <c r="F206" s="332">
        <f>SUM(E207:E208)</f>
        <v>10.2852</v>
      </c>
      <c r="G206" s="332"/>
      <c r="H206" s="332">
        <f>F206*G206</f>
        <v>0</v>
      </c>
      <c r="I206" s="333">
        <v>2.525</v>
      </c>
      <c r="J206" s="334">
        <f>F206*I206</f>
        <v>25.970129999999997</v>
      </c>
      <c r="K206" s="509"/>
      <c r="L206" s="509"/>
      <c r="M206" s="509"/>
      <c r="N206" s="509"/>
      <c r="O206" s="509"/>
      <c r="P206" s="509"/>
      <c r="Q206" s="509"/>
      <c r="R206" s="509"/>
      <c r="S206" s="509"/>
      <c r="T206" s="509"/>
    </row>
    <row r="207" spans="1:20" s="130" customFormat="1" ht="18.75" customHeight="1">
      <c r="A207" s="204"/>
      <c r="B207" s="205" t="s">
        <v>2018</v>
      </c>
      <c r="C207" s="206" t="s">
        <v>2029</v>
      </c>
      <c r="D207" s="925" t="s">
        <v>2018</v>
      </c>
      <c r="E207" s="207">
        <f>(78.11+78.11)*0.06</f>
        <v>9.373199999999999</v>
      </c>
      <c r="F207" s="335"/>
      <c r="G207" s="335"/>
      <c r="H207" s="335"/>
      <c r="I207" s="336"/>
      <c r="J207" s="337"/>
      <c r="K207" s="508"/>
      <c r="L207" s="508"/>
      <c r="M207" s="508"/>
      <c r="N207" s="508"/>
      <c r="O207" s="508"/>
      <c r="P207" s="508"/>
      <c r="Q207" s="508"/>
      <c r="R207" s="508"/>
      <c r="S207" s="508"/>
      <c r="T207" s="508"/>
    </row>
    <row r="208" spans="1:20" s="142" customFormat="1" ht="18.75" customHeight="1">
      <c r="A208" s="204"/>
      <c r="B208" s="222" t="s">
        <v>2024</v>
      </c>
      <c r="C208" s="212" t="s">
        <v>2030</v>
      </c>
      <c r="D208" s="929" t="s">
        <v>2024</v>
      </c>
      <c r="E208" s="213">
        <f>15.2*0.06</f>
        <v>0.9119999999999999</v>
      </c>
      <c r="F208" s="141"/>
      <c r="G208" s="141"/>
      <c r="H208" s="141"/>
      <c r="I208" s="350"/>
      <c r="J208" s="351"/>
      <c r="K208" s="215"/>
      <c r="L208" s="215"/>
      <c r="M208" s="214"/>
      <c r="N208" s="215"/>
      <c r="O208" s="215"/>
      <c r="P208" s="215"/>
      <c r="Q208" s="215"/>
      <c r="R208" s="215"/>
      <c r="S208" s="215"/>
      <c r="T208" s="215"/>
    </row>
    <row r="209" spans="1:20" s="22" customFormat="1" ht="31.5" customHeight="1">
      <c r="A209" s="196" t="s">
        <v>2031</v>
      </c>
      <c r="B209" s="197" t="s">
        <v>2032</v>
      </c>
      <c r="C209" s="199" t="s">
        <v>2033</v>
      </c>
      <c r="D209" s="919"/>
      <c r="E209" s="198" t="s">
        <v>1783</v>
      </c>
      <c r="F209" s="332">
        <f>SUM(E210:E211)</f>
        <v>0.7971029999999999</v>
      </c>
      <c r="G209" s="332"/>
      <c r="H209" s="332">
        <f>F209*G209</f>
        <v>0</v>
      </c>
      <c r="I209" s="333">
        <v>1.06625</v>
      </c>
      <c r="J209" s="334">
        <f>F209*I209</f>
        <v>0.8499110737499999</v>
      </c>
      <c r="K209" s="509"/>
      <c r="L209" s="509"/>
      <c r="M209" s="509"/>
      <c r="N209" s="509"/>
      <c r="O209" s="509"/>
      <c r="P209" s="509"/>
      <c r="Q209" s="509"/>
      <c r="R209" s="509"/>
      <c r="S209" s="509"/>
      <c r="T209" s="509"/>
    </row>
    <row r="210" spans="1:20" s="130" customFormat="1" ht="19.5" customHeight="1">
      <c r="A210" s="204"/>
      <c r="B210" s="205" t="s">
        <v>2018</v>
      </c>
      <c r="C210" s="206" t="s">
        <v>2034</v>
      </c>
      <c r="D210" s="925"/>
      <c r="E210" s="207">
        <f>(78.11+78.11)*0.00465</f>
        <v>0.7264229999999999</v>
      </c>
      <c r="F210" s="335"/>
      <c r="G210" s="335"/>
      <c r="H210" s="335"/>
      <c r="I210" s="336"/>
      <c r="J210" s="337"/>
      <c r="K210" s="508"/>
      <c r="L210" s="508"/>
      <c r="M210" s="508"/>
      <c r="N210" s="508"/>
      <c r="O210" s="508"/>
      <c r="P210" s="508"/>
      <c r="Q210" s="508"/>
      <c r="R210" s="508"/>
      <c r="S210" s="508"/>
      <c r="T210" s="508"/>
    </row>
    <row r="211" spans="1:20" s="142" customFormat="1" ht="19.5" customHeight="1">
      <c r="A211" s="204"/>
      <c r="B211" s="222" t="s">
        <v>2024</v>
      </c>
      <c r="C211" s="212" t="s">
        <v>2035</v>
      </c>
      <c r="D211" s="929" t="s">
        <v>2018</v>
      </c>
      <c r="E211" s="213">
        <f>15.2*0.00465</f>
        <v>0.07067999999999999</v>
      </c>
      <c r="F211" s="141"/>
      <c r="G211" s="141"/>
      <c r="H211" s="141"/>
      <c r="I211" s="350"/>
      <c r="J211" s="351"/>
      <c r="K211" s="215"/>
      <c r="L211" s="215"/>
      <c r="M211" s="214"/>
      <c r="N211" s="215"/>
      <c r="O211" s="215"/>
      <c r="P211" s="215"/>
      <c r="Q211" s="215"/>
      <c r="R211" s="215"/>
      <c r="S211" s="215"/>
      <c r="T211" s="215"/>
    </row>
    <row r="212" spans="1:20" s="22" customFormat="1" ht="20.25" customHeight="1" thickBot="1">
      <c r="A212" s="255"/>
      <c r="B212" s="256"/>
      <c r="C212" s="256"/>
      <c r="D212" s="937" t="s">
        <v>2024</v>
      </c>
      <c r="E212" s="257"/>
      <c r="F212" s="368"/>
      <c r="G212" s="368"/>
      <c r="H212" s="368"/>
      <c r="I212" s="369"/>
      <c r="J212" s="370"/>
      <c r="K212" s="509"/>
      <c r="L212" s="509"/>
      <c r="M212" s="509"/>
      <c r="N212" s="509"/>
      <c r="O212" s="509"/>
      <c r="P212" s="509"/>
      <c r="Q212" s="509"/>
      <c r="R212" s="509"/>
      <c r="S212" s="509"/>
      <c r="T212" s="509"/>
    </row>
    <row r="213" spans="1:20" ht="16.5" customHeight="1" thickBot="1">
      <c r="A213" s="226" t="s">
        <v>2036</v>
      </c>
      <c r="B213" s="175" t="s">
        <v>2037</v>
      </c>
      <c r="C213" s="176" t="s">
        <v>2038</v>
      </c>
      <c r="D213" s="175"/>
      <c r="E213" s="175"/>
      <c r="F213" s="341"/>
      <c r="G213" s="341"/>
      <c r="H213" s="342">
        <f>SUM(H214:H335)</f>
        <v>0</v>
      </c>
      <c r="I213" s="343"/>
      <c r="J213" s="344">
        <f>SUM(J214:J335)</f>
        <v>5.081579800000003</v>
      </c>
      <c r="K213" s="670"/>
      <c r="L213" s="670"/>
      <c r="M213" s="670"/>
      <c r="N213" s="670"/>
      <c r="O213" s="670"/>
      <c r="P213" s="670"/>
      <c r="Q213" s="670"/>
      <c r="R213" s="670"/>
      <c r="S213" s="670"/>
      <c r="T213" s="670"/>
    </row>
    <row r="214" spans="1:20" s="22" customFormat="1" ht="14.25" customHeight="1">
      <c r="A214" s="190"/>
      <c r="B214" s="191"/>
      <c r="C214" s="191"/>
      <c r="D214" s="920"/>
      <c r="E214" s="192"/>
      <c r="F214" s="345"/>
      <c r="G214" s="345"/>
      <c r="H214" s="345"/>
      <c r="I214" s="346"/>
      <c r="J214" s="347"/>
      <c r="K214" s="509"/>
      <c r="L214" s="509"/>
      <c r="M214" s="509"/>
      <c r="N214" s="509"/>
      <c r="O214" s="509"/>
      <c r="P214" s="509"/>
      <c r="Q214" s="509"/>
      <c r="R214" s="509"/>
      <c r="S214" s="509"/>
      <c r="T214" s="509"/>
    </row>
    <row r="215" spans="1:20" s="22" customFormat="1" ht="20.25" customHeight="1">
      <c r="A215" s="196" t="s">
        <v>2039</v>
      </c>
      <c r="B215" s="197" t="s">
        <v>2040</v>
      </c>
      <c r="C215" s="197" t="s">
        <v>2041</v>
      </c>
      <c r="D215" s="919" t="s">
        <v>2761</v>
      </c>
      <c r="E215" s="198" t="s">
        <v>1831</v>
      </c>
      <c r="F215" s="332">
        <f>F220+F233+F238+F241+F246+F250+F262+F263+F266+F268+F269+F270+F271</f>
        <v>67</v>
      </c>
      <c r="G215" s="332"/>
      <c r="H215" s="332">
        <f aca="true" t="shared" si="2" ref="H215:H267">F215*G215</f>
        <v>0</v>
      </c>
      <c r="I215" s="333">
        <v>0.0009</v>
      </c>
      <c r="J215" s="334">
        <f>F215*I215</f>
        <v>0.0603</v>
      </c>
      <c r="K215" s="509"/>
      <c r="L215" s="509"/>
      <c r="M215" s="509"/>
      <c r="N215" s="509"/>
      <c r="O215" s="509"/>
      <c r="P215" s="509"/>
      <c r="Q215" s="509"/>
      <c r="R215" s="509"/>
      <c r="S215" s="509"/>
      <c r="T215" s="509"/>
    </row>
    <row r="216" spans="1:20" s="22" customFormat="1" ht="20.25" customHeight="1">
      <c r="A216" s="196" t="s">
        <v>2042</v>
      </c>
      <c r="B216" s="197" t="s">
        <v>2043</v>
      </c>
      <c r="C216" s="197" t="s">
        <v>2044</v>
      </c>
      <c r="D216" s="919" t="s">
        <v>2761</v>
      </c>
      <c r="E216" s="198" t="s">
        <v>1831</v>
      </c>
      <c r="F216" s="332">
        <f>F221+F222+F228+F229+F231+F232+F235+F244+F245+F247+F258+F259</f>
        <v>54</v>
      </c>
      <c r="G216" s="332"/>
      <c r="H216" s="332">
        <f t="shared" si="2"/>
        <v>0</v>
      </c>
      <c r="I216" s="333">
        <v>0.0012</v>
      </c>
      <c r="J216" s="334">
        <f>F216*I216</f>
        <v>0.0648</v>
      </c>
      <c r="K216" s="509"/>
      <c r="L216" s="509"/>
      <c r="M216" s="509"/>
      <c r="N216" s="509"/>
      <c r="O216" s="509"/>
      <c r="P216" s="509"/>
      <c r="Q216" s="509"/>
      <c r="R216" s="509"/>
      <c r="S216" s="509"/>
      <c r="T216" s="509"/>
    </row>
    <row r="217" spans="1:20" s="22" customFormat="1" ht="20.25" customHeight="1">
      <c r="A217" s="196" t="s">
        <v>2045</v>
      </c>
      <c r="B217" s="197" t="s">
        <v>2046</v>
      </c>
      <c r="C217" s="197" t="s">
        <v>2047</v>
      </c>
      <c r="D217" s="919" t="s">
        <v>2761</v>
      </c>
      <c r="E217" s="198" t="s">
        <v>1831</v>
      </c>
      <c r="F217" s="332">
        <f>F223+F224+F225+F226+F227+F230+F234+F236+F237+F239+F240+F242+F243+F248+F249+F251+F252+F253+F254+F255+F256+F257+F260+F261+F264+F265+F267</f>
        <v>168</v>
      </c>
      <c r="G217" s="332"/>
      <c r="H217" s="332">
        <f t="shared" si="2"/>
        <v>0</v>
      </c>
      <c r="I217" s="333">
        <v>0.00165</v>
      </c>
      <c r="J217" s="334">
        <f>F217*I217</f>
        <v>0.2772</v>
      </c>
      <c r="K217" s="509"/>
      <c r="L217" s="509"/>
      <c r="M217" s="509"/>
      <c r="N217" s="509"/>
      <c r="O217" s="509"/>
      <c r="P217" s="509"/>
      <c r="Q217" s="509"/>
      <c r="R217" s="509"/>
      <c r="S217" s="509"/>
      <c r="T217" s="509"/>
    </row>
    <row r="218" spans="1:20" s="22" customFormat="1" ht="13.5" customHeight="1">
      <c r="A218" s="196"/>
      <c r="B218" s="197"/>
      <c r="C218" s="197"/>
      <c r="D218" s="919"/>
      <c r="E218" s="198"/>
      <c r="F218" s="332"/>
      <c r="G218" s="332"/>
      <c r="H218" s="332"/>
      <c r="I218" s="333"/>
      <c r="J218" s="334"/>
      <c r="K218" s="509"/>
      <c r="L218" s="509"/>
      <c r="M218" s="509"/>
      <c r="N218" s="509"/>
      <c r="O218" s="509"/>
      <c r="P218" s="509"/>
      <c r="Q218" s="509"/>
      <c r="R218" s="509"/>
      <c r="S218" s="509"/>
      <c r="T218" s="509"/>
    </row>
    <row r="219" spans="1:20" s="22" customFormat="1" ht="62.25" customHeight="1">
      <c r="A219" s="196"/>
      <c r="B219" s="197"/>
      <c r="C219" s="199" t="s">
        <v>2048</v>
      </c>
      <c r="D219" s="919" t="s">
        <v>2761</v>
      </c>
      <c r="E219" s="198"/>
      <c r="F219" s="332"/>
      <c r="G219" s="332"/>
      <c r="H219" s="332"/>
      <c r="I219" s="333"/>
      <c r="J219" s="334"/>
      <c r="K219" s="672" t="s">
        <v>2049</v>
      </c>
      <c r="L219" s="672" t="s">
        <v>2050</v>
      </c>
      <c r="M219" s="672" t="s">
        <v>1748</v>
      </c>
      <c r="N219" s="672" t="s">
        <v>2051</v>
      </c>
      <c r="O219" s="672" t="s">
        <v>2052</v>
      </c>
      <c r="P219" s="672" t="s">
        <v>2053</v>
      </c>
      <c r="Q219" s="673"/>
      <c r="R219" s="509"/>
      <c r="S219" s="672"/>
      <c r="T219" s="509"/>
    </row>
    <row r="220" spans="1:20" s="22" customFormat="1" ht="39.75" customHeight="1">
      <c r="A220" s="196" t="s">
        <v>2054</v>
      </c>
      <c r="B220" s="197" t="s">
        <v>2055</v>
      </c>
      <c r="C220" s="199" t="s">
        <v>2056</v>
      </c>
      <c r="D220" s="919" t="s">
        <v>2057</v>
      </c>
      <c r="E220" s="198" t="s">
        <v>1831</v>
      </c>
      <c r="F220" s="332">
        <v>4</v>
      </c>
      <c r="G220" s="332"/>
      <c r="H220" s="332">
        <f t="shared" si="2"/>
        <v>0</v>
      </c>
      <c r="I220" s="333">
        <v>0.00168</v>
      </c>
      <c r="J220" s="334">
        <f aca="true" t="shared" si="3" ref="J220:J229">F220*I220</f>
        <v>0.00672</v>
      </c>
      <c r="K220" s="693">
        <v>0.6</v>
      </c>
      <c r="L220" s="693">
        <v>1.5</v>
      </c>
      <c r="M220" s="693">
        <f aca="true" t="shared" si="4" ref="M220:M251">K220*L220</f>
        <v>0.8999999999999999</v>
      </c>
      <c r="N220" s="693">
        <f aca="true" t="shared" si="5" ref="N220:N251">F220*M220</f>
        <v>3.5999999999999996</v>
      </c>
      <c r="O220" s="693">
        <f>(K220+L220*2)*F220</f>
        <v>14.4</v>
      </c>
      <c r="P220" s="693">
        <f aca="true" t="shared" si="6" ref="P220:P264">F220*K220</f>
        <v>2.4</v>
      </c>
      <c r="Q220" s="694" t="s">
        <v>2058</v>
      </c>
      <c r="R220" s="509"/>
      <c r="S220" s="693">
        <f>2*4</f>
        <v>8</v>
      </c>
      <c r="T220" s="509"/>
    </row>
    <row r="221" spans="1:20" s="22" customFormat="1" ht="20.25" customHeight="1">
      <c r="A221" s="196" t="s">
        <v>2059</v>
      </c>
      <c r="B221" s="197" t="s">
        <v>2060</v>
      </c>
      <c r="C221" s="197" t="s">
        <v>2061</v>
      </c>
      <c r="D221" s="919" t="s">
        <v>2062</v>
      </c>
      <c r="E221" s="198" t="s">
        <v>1831</v>
      </c>
      <c r="F221" s="332">
        <v>1</v>
      </c>
      <c r="G221" s="332"/>
      <c r="H221" s="332">
        <f t="shared" si="2"/>
        <v>0</v>
      </c>
      <c r="I221" s="333">
        <v>0.00168</v>
      </c>
      <c r="J221" s="334">
        <f t="shared" si="3"/>
        <v>0.00168</v>
      </c>
      <c r="K221" s="693">
        <v>2.05</v>
      </c>
      <c r="L221" s="693">
        <v>1.3</v>
      </c>
      <c r="M221" s="693">
        <f t="shared" si="4"/>
        <v>2.665</v>
      </c>
      <c r="N221" s="693">
        <f t="shared" si="5"/>
        <v>2.665</v>
      </c>
      <c r="O221" s="693">
        <f aca="true" t="shared" si="7" ref="O221:O251">(K221+L221*2)*F221</f>
        <v>4.65</v>
      </c>
      <c r="P221" s="693">
        <f t="shared" si="6"/>
        <v>2.05</v>
      </c>
      <c r="Q221" s="694" t="s">
        <v>2063</v>
      </c>
      <c r="R221" s="694" t="s">
        <v>2064</v>
      </c>
      <c r="S221" s="693">
        <f>4*1</f>
        <v>4</v>
      </c>
      <c r="T221" s="509"/>
    </row>
    <row r="222" spans="1:20" s="22" customFormat="1" ht="35.25" customHeight="1">
      <c r="A222" s="196" t="s">
        <v>2065</v>
      </c>
      <c r="B222" s="197" t="s">
        <v>2066</v>
      </c>
      <c r="C222" s="199" t="s">
        <v>2067</v>
      </c>
      <c r="D222" s="919" t="s">
        <v>2062</v>
      </c>
      <c r="E222" s="198" t="s">
        <v>1831</v>
      </c>
      <c r="F222" s="332">
        <v>5</v>
      </c>
      <c r="G222" s="332"/>
      <c r="H222" s="332">
        <f t="shared" si="2"/>
        <v>0</v>
      </c>
      <c r="I222" s="333">
        <v>0.00168</v>
      </c>
      <c r="J222" s="334">
        <f t="shared" si="3"/>
        <v>0.008400000000000001</v>
      </c>
      <c r="K222" s="693">
        <v>2.05</v>
      </c>
      <c r="L222" s="693">
        <v>1.3</v>
      </c>
      <c r="M222" s="693">
        <f t="shared" si="4"/>
        <v>2.665</v>
      </c>
      <c r="N222" s="693">
        <f t="shared" si="5"/>
        <v>13.325</v>
      </c>
      <c r="O222" s="693">
        <f t="shared" si="7"/>
        <v>23.25</v>
      </c>
      <c r="P222" s="693">
        <f t="shared" si="6"/>
        <v>10.25</v>
      </c>
      <c r="Q222" s="694" t="s">
        <v>2063</v>
      </c>
      <c r="R222" s="694" t="s">
        <v>2068</v>
      </c>
      <c r="S222" s="693">
        <f>4*5</f>
        <v>20</v>
      </c>
      <c r="T222" s="509"/>
    </row>
    <row r="223" spans="1:20" s="22" customFormat="1" ht="20.25" customHeight="1">
      <c r="A223" s="196" t="s">
        <v>2069</v>
      </c>
      <c r="B223" s="197" t="s">
        <v>2070</v>
      </c>
      <c r="C223" s="197" t="s">
        <v>2071</v>
      </c>
      <c r="D223" s="919" t="s">
        <v>2072</v>
      </c>
      <c r="E223" s="198" t="s">
        <v>1831</v>
      </c>
      <c r="F223" s="332">
        <v>1</v>
      </c>
      <c r="G223" s="519"/>
      <c r="H223" s="332">
        <f t="shared" si="2"/>
        <v>0</v>
      </c>
      <c r="I223" s="333">
        <v>0.00168</v>
      </c>
      <c r="J223" s="334">
        <f t="shared" si="3"/>
        <v>0.00168</v>
      </c>
      <c r="K223" s="693">
        <v>2.35</v>
      </c>
      <c r="L223" s="693">
        <v>2.5</v>
      </c>
      <c r="M223" s="693">
        <f t="shared" si="4"/>
        <v>5.875</v>
      </c>
      <c r="N223" s="693">
        <f t="shared" si="5"/>
        <v>5.875</v>
      </c>
      <c r="O223" s="693">
        <f t="shared" si="7"/>
        <v>7.35</v>
      </c>
      <c r="P223" s="693">
        <f t="shared" si="6"/>
        <v>2.35</v>
      </c>
      <c r="Q223" s="694" t="s">
        <v>2073</v>
      </c>
      <c r="R223" s="694" t="s">
        <v>2064</v>
      </c>
      <c r="S223" s="693">
        <v>2</v>
      </c>
      <c r="T223" s="509"/>
    </row>
    <row r="224" spans="1:20" s="22" customFormat="1" ht="32.25" customHeight="1">
      <c r="A224" s="196" t="s">
        <v>2074</v>
      </c>
      <c r="B224" s="197" t="s">
        <v>2075</v>
      </c>
      <c r="C224" s="199" t="s">
        <v>2076</v>
      </c>
      <c r="D224" s="919" t="s">
        <v>2077</v>
      </c>
      <c r="E224" s="198" t="s">
        <v>1831</v>
      </c>
      <c r="F224" s="332">
        <v>4</v>
      </c>
      <c r="G224" s="332"/>
      <c r="H224" s="332">
        <f t="shared" si="2"/>
        <v>0</v>
      </c>
      <c r="I224" s="333">
        <v>0.00168</v>
      </c>
      <c r="J224" s="334">
        <f t="shared" si="3"/>
        <v>0.00672</v>
      </c>
      <c r="K224" s="693">
        <v>1.8</v>
      </c>
      <c r="L224" s="693">
        <v>3.25</v>
      </c>
      <c r="M224" s="693">
        <f t="shared" si="4"/>
        <v>5.8500000000000005</v>
      </c>
      <c r="N224" s="693">
        <f t="shared" si="5"/>
        <v>23.400000000000002</v>
      </c>
      <c r="O224" s="693">
        <f t="shared" si="7"/>
        <v>33.2</v>
      </c>
      <c r="P224" s="693">
        <f t="shared" si="6"/>
        <v>7.2</v>
      </c>
      <c r="Q224" s="694" t="s">
        <v>2058</v>
      </c>
      <c r="R224" s="509"/>
      <c r="S224" s="693">
        <v>24</v>
      </c>
      <c r="T224" s="509"/>
    </row>
    <row r="225" spans="1:20" s="22" customFormat="1" ht="30.75" customHeight="1">
      <c r="A225" s="196" t="s">
        <v>2078</v>
      </c>
      <c r="B225" s="197" t="s">
        <v>2079</v>
      </c>
      <c r="C225" s="199" t="s">
        <v>2080</v>
      </c>
      <c r="D225" s="919" t="s">
        <v>2077</v>
      </c>
      <c r="E225" s="198" t="s">
        <v>1831</v>
      </c>
      <c r="F225" s="332">
        <v>3</v>
      </c>
      <c r="G225" s="332"/>
      <c r="H225" s="332">
        <f t="shared" si="2"/>
        <v>0</v>
      </c>
      <c r="I225" s="333">
        <v>0.00168</v>
      </c>
      <c r="J225" s="334">
        <f t="shared" si="3"/>
        <v>0.00504</v>
      </c>
      <c r="K225" s="693">
        <v>1.8</v>
      </c>
      <c r="L225" s="693">
        <v>3.25</v>
      </c>
      <c r="M225" s="693">
        <f t="shared" si="4"/>
        <v>5.8500000000000005</v>
      </c>
      <c r="N225" s="693">
        <f t="shared" si="5"/>
        <v>17.55</v>
      </c>
      <c r="O225" s="693">
        <f t="shared" si="7"/>
        <v>24.900000000000002</v>
      </c>
      <c r="P225" s="693">
        <f t="shared" si="6"/>
        <v>5.4</v>
      </c>
      <c r="Q225" s="694" t="s">
        <v>2058</v>
      </c>
      <c r="R225" s="509"/>
      <c r="S225" s="693">
        <v>18</v>
      </c>
      <c r="T225" s="509"/>
    </row>
    <row r="226" spans="1:20" s="22" customFormat="1" ht="32.25" customHeight="1">
      <c r="A226" s="196" t="s">
        <v>2081</v>
      </c>
      <c r="B226" s="197" t="s">
        <v>2082</v>
      </c>
      <c r="C226" s="199" t="s">
        <v>2083</v>
      </c>
      <c r="D226" s="919" t="s">
        <v>2084</v>
      </c>
      <c r="E226" s="198" t="s">
        <v>1831</v>
      </c>
      <c r="F226" s="332">
        <v>2</v>
      </c>
      <c r="G226" s="332"/>
      <c r="H226" s="332">
        <f t="shared" si="2"/>
        <v>0</v>
      </c>
      <c r="I226" s="333">
        <v>0.00168</v>
      </c>
      <c r="J226" s="334">
        <f t="shared" si="3"/>
        <v>0.00336</v>
      </c>
      <c r="K226" s="693">
        <v>1.35</v>
      </c>
      <c r="L226" s="693">
        <v>2.1</v>
      </c>
      <c r="M226" s="693">
        <f t="shared" si="4"/>
        <v>2.8350000000000004</v>
      </c>
      <c r="N226" s="693">
        <f t="shared" si="5"/>
        <v>5.670000000000001</v>
      </c>
      <c r="O226" s="693">
        <f t="shared" si="7"/>
        <v>11.100000000000001</v>
      </c>
      <c r="P226" s="693">
        <f t="shared" si="6"/>
        <v>2.7</v>
      </c>
      <c r="Q226" s="694" t="s">
        <v>2058</v>
      </c>
      <c r="R226" s="694" t="s">
        <v>2068</v>
      </c>
      <c r="S226" s="693">
        <v>8</v>
      </c>
      <c r="T226" s="509"/>
    </row>
    <row r="227" spans="1:20" s="22" customFormat="1" ht="32.25" customHeight="1">
      <c r="A227" s="196" t="s">
        <v>2085</v>
      </c>
      <c r="B227" s="197" t="s">
        <v>2086</v>
      </c>
      <c r="C227" s="199" t="s">
        <v>2087</v>
      </c>
      <c r="D227" s="919" t="s">
        <v>2084</v>
      </c>
      <c r="E227" s="198" t="s">
        <v>1831</v>
      </c>
      <c r="F227" s="332">
        <v>2</v>
      </c>
      <c r="G227" s="332"/>
      <c r="H227" s="332">
        <f t="shared" si="2"/>
        <v>0</v>
      </c>
      <c r="I227" s="333">
        <v>0.00168</v>
      </c>
      <c r="J227" s="334">
        <f t="shared" si="3"/>
        <v>0.00336</v>
      </c>
      <c r="K227" s="693">
        <v>1.35</v>
      </c>
      <c r="L227" s="693">
        <v>2.1</v>
      </c>
      <c r="M227" s="693">
        <f t="shared" si="4"/>
        <v>2.8350000000000004</v>
      </c>
      <c r="N227" s="693">
        <f t="shared" si="5"/>
        <v>5.670000000000001</v>
      </c>
      <c r="O227" s="693">
        <f t="shared" si="7"/>
        <v>11.100000000000001</v>
      </c>
      <c r="P227" s="693">
        <f t="shared" si="6"/>
        <v>2.7</v>
      </c>
      <c r="Q227" s="694" t="s">
        <v>2058</v>
      </c>
      <c r="R227" s="694" t="s">
        <v>2088</v>
      </c>
      <c r="S227" s="693">
        <v>8</v>
      </c>
      <c r="T227" s="509"/>
    </row>
    <row r="228" spans="1:20" s="22" customFormat="1" ht="37.5" customHeight="1">
      <c r="A228" s="196" t="s">
        <v>2089</v>
      </c>
      <c r="B228" s="197" t="s">
        <v>2090</v>
      </c>
      <c r="C228" s="199" t="s">
        <v>2091</v>
      </c>
      <c r="D228" s="919" t="s">
        <v>2092</v>
      </c>
      <c r="E228" s="198" t="s">
        <v>1831</v>
      </c>
      <c r="F228" s="332">
        <v>4</v>
      </c>
      <c r="G228" s="332"/>
      <c r="H228" s="332">
        <f t="shared" si="2"/>
        <v>0</v>
      </c>
      <c r="I228" s="333">
        <v>0.00168</v>
      </c>
      <c r="J228" s="334">
        <f t="shared" si="3"/>
        <v>0.00672</v>
      </c>
      <c r="K228" s="693">
        <v>1.2</v>
      </c>
      <c r="L228" s="693">
        <v>2.1</v>
      </c>
      <c r="M228" s="693">
        <f t="shared" si="4"/>
        <v>2.52</v>
      </c>
      <c r="N228" s="693">
        <f t="shared" si="5"/>
        <v>10.08</v>
      </c>
      <c r="O228" s="693">
        <f t="shared" si="7"/>
        <v>21.6</v>
      </c>
      <c r="P228" s="693">
        <f t="shared" si="6"/>
        <v>4.8</v>
      </c>
      <c r="Q228" s="694" t="s">
        <v>2058</v>
      </c>
      <c r="R228" s="694" t="s">
        <v>2064</v>
      </c>
      <c r="S228" s="693">
        <v>16</v>
      </c>
      <c r="T228" s="509"/>
    </row>
    <row r="229" spans="1:20" s="22" customFormat="1" ht="38.25" customHeight="1">
      <c r="A229" s="196" t="s">
        <v>2093</v>
      </c>
      <c r="B229" s="197" t="s">
        <v>2094</v>
      </c>
      <c r="C229" s="199" t="s">
        <v>2095</v>
      </c>
      <c r="D229" s="919" t="s">
        <v>2092</v>
      </c>
      <c r="E229" s="198" t="s">
        <v>1831</v>
      </c>
      <c r="F229" s="332">
        <v>5</v>
      </c>
      <c r="G229" s="332"/>
      <c r="H229" s="332">
        <f t="shared" si="2"/>
        <v>0</v>
      </c>
      <c r="I229" s="333">
        <v>0.00168</v>
      </c>
      <c r="J229" s="334">
        <f t="shared" si="3"/>
        <v>0.008400000000000001</v>
      </c>
      <c r="K229" s="693">
        <v>1.2</v>
      </c>
      <c r="L229" s="693">
        <v>2.1</v>
      </c>
      <c r="M229" s="693">
        <f t="shared" si="4"/>
        <v>2.52</v>
      </c>
      <c r="N229" s="693">
        <f t="shared" si="5"/>
        <v>12.6</v>
      </c>
      <c r="O229" s="693">
        <f t="shared" si="7"/>
        <v>27</v>
      </c>
      <c r="P229" s="693">
        <f t="shared" si="6"/>
        <v>6</v>
      </c>
      <c r="Q229" s="694" t="s">
        <v>2058</v>
      </c>
      <c r="R229" s="694" t="s">
        <v>2096</v>
      </c>
      <c r="S229" s="693">
        <v>20</v>
      </c>
      <c r="T229" s="509"/>
    </row>
    <row r="230" spans="1:20" s="22" customFormat="1" ht="38.25" customHeight="1">
      <c r="A230" s="196" t="s">
        <v>2097</v>
      </c>
      <c r="B230" s="197" t="s">
        <v>2098</v>
      </c>
      <c r="C230" s="199" t="s">
        <v>2099</v>
      </c>
      <c r="D230" s="919" t="s">
        <v>2100</v>
      </c>
      <c r="E230" s="198" t="s">
        <v>1831</v>
      </c>
      <c r="F230" s="332">
        <v>3</v>
      </c>
      <c r="G230" s="332"/>
      <c r="H230" s="332">
        <f t="shared" si="2"/>
        <v>0</v>
      </c>
      <c r="I230" s="333">
        <v>0.00168</v>
      </c>
      <c r="J230" s="334">
        <f aca="true" t="shared" si="8" ref="J230:J242">F230*I230</f>
        <v>0.00504</v>
      </c>
      <c r="K230" s="693">
        <v>1.6</v>
      </c>
      <c r="L230" s="693">
        <v>2.1</v>
      </c>
      <c r="M230" s="693">
        <f t="shared" si="4"/>
        <v>3.3600000000000003</v>
      </c>
      <c r="N230" s="693">
        <f t="shared" si="5"/>
        <v>10.080000000000002</v>
      </c>
      <c r="O230" s="693">
        <f t="shared" si="7"/>
        <v>17.400000000000002</v>
      </c>
      <c r="P230" s="693">
        <f t="shared" si="6"/>
        <v>4.800000000000001</v>
      </c>
      <c r="Q230" s="694" t="s">
        <v>2058</v>
      </c>
      <c r="R230" s="694" t="s">
        <v>2068</v>
      </c>
      <c r="S230" s="693">
        <v>18</v>
      </c>
      <c r="T230" s="509"/>
    </row>
    <row r="231" spans="1:20" s="22" customFormat="1" ht="31.5" customHeight="1">
      <c r="A231" s="196" t="s">
        <v>2101</v>
      </c>
      <c r="B231" s="197" t="s">
        <v>2102</v>
      </c>
      <c r="C231" s="199" t="s">
        <v>2103</v>
      </c>
      <c r="D231" s="919" t="s">
        <v>2104</v>
      </c>
      <c r="E231" s="198" t="s">
        <v>1831</v>
      </c>
      <c r="F231" s="332">
        <v>3</v>
      </c>
      <c r="G231" s="332"/>
      <c r="H231" s="332">
        <f t="shared" si="2"/>
        <v>0</v>
      </c>
      <c r="I231" s="333">
        <v>0.00168</v>
      </c>
      <c r="J231" s="334">
        <f t="shared" si="8"/>
        <v>0.00504</v>
      </c>
      <c r="K231" s="693">
        <v>1.3</v>
      </c>
      <c r="L231" s="693">
        <v>1.65</v>
      </c>
      <c r="M231" s="693">
        <f t="shared" si="4"/>
        <v>2.145</v>
      </c>
      <c r="N231" s="693">
        <f t="shared" si="5"/>
        <v>6.4350000000000005</v>
      </c>
      <c r="O231" s="693">
        <f t="shared" si="7"/>
        <v>13.799999999999999</v>
      </c>
      <c r="P231" s="693">
        <f t="shared" si="6"/>
        <v>3.9000000000000004</v>
      </c>
      <c r="Q231" s="694" t="s">
        <v>2058</v>
      </c>
      <c r="R231" s="509"/>
      <c r="S231" s="693">
        <v>12</v>
      </c>
      <c r="T231" s="509"/>
    </row>
    <row r="232" spans="1:20" s="22" customFormat="1" ht="20.25" customHeight="1">
      <c r="A232" s="196" t="s">
        <v>2105</v>
      </c>
      <c r="B232" s="197" t="s">
        <v>2106</v>
      </c>
      <c r="C232" s="197" t="s">
        <v>2107</v>
      </c>
      <c r="D232" s="919" t="s">
        <v>2108</v>
      </c>
      <c r="E232" s="198" t="s">
        <v>1831</v>
      </c>
      <c r="F232" s="332">
        <v>1</v>
      </c>
      <c r="G232" s="332"/>
      <c r="H232" s="332">
        <f t="shared" si="2"/>
        <v>0</v>
      </c>
      <c r="I232" s="333">
        <v>0.00168</v>
      </c>
      <c r="J232" s="334">
        <f t="shared" si="8"/>
        <v>0.00168</v>
      </c>
      <c r="K232" s="693">
        <v>1.3</v>
      </c>
      <c r="L232" s="693">
        <v>1.65</v>
      </c>
      <c r="M232" s="693">
        <f t="shared" si="4"/>
        <v>2.145</v>
      </c>
      <c r="N232" s="693">
        <f t="shared" si="5"/>
        <v>2.145</v>
      </c>
      <c r="O232" s="693">
        <f t="shared" si="7"/>
        <v>4.6</v>
      </c>
      <c r="P232" s="693">
        <f t="shared" si="6"/>
        <v>1.3</v>
      </c>
      <c r="Q232" s="694" t="s">
        <v>2109</v>
      </c>
      <c r="R232" s="695" t="s">
        <v>2110</v>
      </c>
      <c r="S232" s="693">
        <v>1</v>
      </c>
      <c r="T232" s="509"/>
    </row>
    <row r="233" spans="1:20" s="22" customFormat="1" ht="32.25" customHeight="1">
      <c r="A233" s="196" t="s">
        <v>2111</v>
      </c>
      <c r="B233" s="197" t="s">
        <v>2112</v>
      </c>
      <c r="C233" s="199" t="s">
        <v>2113</v>
      </c>
      <c r="D233" s="919" t="s">
        <v>2114</v>
      </c>
      <c r="E233" s="198" t="s">
        <v>1831</v>
      </c>
      <c r="F233" s="332">
        <v>1</v>
      </c>
      <c r="G233" s="332"/>
      <c r="H233" s="332">
        <f t="shared" si="2"/>
        <v>0</v>
      </c>
      <c r="I233" s="333">
        <v>0.00168</v>
      </c>
      <c r="J233" s="334">
        <f t="shared" si="8"/>
        <v>0.00168</v>
      </c>
      <c r="K233" s="693">
        <v>1.6</v>
      </c>
      <c r="L233" s="693">
        <v>0.85</v>
      </c>
      <c r="M233" s="693">
        <f t="shared" si="4"/>
        <v>1.36</v>
      </c>
      <c r="N233" s="693">
        <f t="shared" si="5"/>
        <v>1.36</v>
      </c>
      <c r="O233" s="693">
        <f t="shared" si="7"/>
        <v>3.3</v>
      </c>
      <c r="P233" s="693">
        <f t="shared" si="6"/>
        <v>1.6</v>
      </c>
      <c r="Q233" s="694" t="s">
        <v>2058</v>
      </c>
      <c r="R233" s="509"/>
      <c r="S233" s="693">
        <v>3</v>
      </c>
      <c r="T233" s="509"/>
    </row>
    <row r="234" spans="1:20" s="22" customFormat="1" ht="30" customHeight="1">
      <c r="A234" s="196" t="s">
        <v>2115</v>
      </c>
      <c r="B234" s="197" t="s">
        <v>2116</v>
      </c>
      <c r="C234" s="199" t="s">
        <v>2080</v>
      </c>
      <c r="D234" s="919" t="s">
        <v>2117</v>
      </c>
      <c r="E234" s="198" t="s">
        <v>1831</v>
      </c>
      <c r="F234" s="332">
        <v>12</v>
      </c>
      <c r="G234" s="332"/>
      <c r="H234" s="332">
        <f t="shared" si="2"/>
        <v>0</v>
      </c>
      <c r="I234" s="333">
        <v>0.00168</v>
      </c>
      <c r="J234" s="334">
        <f t="shared" si="8"/>
        <v>0.02016</v>
      </c>
      <c r="K234" s="693">
        <v>1.6</v>
      </c>
      <c r="L234" s="693">
        <v>2.05</v>
      </c>
      <c r="M234" s="693">
        <f t="shared" si="4"/>
        <v>3.28</v>
      </c>
      <c r="N234" s="693">
        <f t="shared" si="5"/>
        <v>39.36</v>
      </c>
      <c r="O234" s="693">
        <f t="shared" si="7"/>
        <v>68.39999999999999</v>
      </c>
      <c r="P234" s="693">
        <f t="shared" si="6"/>
        <v>19.200000000000003</v>
      </c>
      <c r="Q234" s="694" t="s">
        <v>2058</v>
      </c>
      <c r="R234" s="509"/>
      <c r="S234" s="693">
        <v>72</v>
      </c>
      <c r="T234" s="696"/>
    </row>
    <row r="235" spans="1:20" s="22" customFormat="1" ht="33.75" customHeight="1">
      <c r="A235" s="196" t="s">
        <v>2118</v>
      </c>
      <c r="B235" s="197" t="s">
        <v>2119</v>
      </c>
      <c r="C235" s="199" t="s">
        <v>2120</v>
      </c>
      <c r="D235" s="919" t="s">
        <v>2121</v>
      </c>
      <c r="E235" s="198" t="s">
        <v>1831</v>
      </c>
      <c r="F235" s="332">
        <v>2</v>
      </c>
      <c r="G235" s="332"/>
      <c r="H235" s="332">
        <f t="shared" si="2"/>
        <v>0</v>
      </c>
      <c r="I235" s="333">
        <v>0.00168</v>
      </c>
      <c r="J235" s="334">
        <f t="shared" si="8"/>
        <v>0.00336</v>
      </c>
      <c r="K235" s="693">
        <v>1.2</v>
      </c>
      <c r="L235" s="693">
        <v>2.05</v>
      </c>
      <c r="M235" s="693">
        <f t="shared" si="4"/>
        <v>2.4599999999999995</v>
      </c>
      <c r="N235" s="693">
        <f t="shared" si="5"/>
        <v>4.919999999999999</v>
      </c>
      <c r="O235" s="693">
        <f t="shared" si="7"/>
        <v>10.6</v>
      </c>
      <c r="P235" s="693">
        <f t="shared" si="6"/>
        <v>2.4</v>
      </c>
      <c r="Q235" s="694" t="s">
        <v>2058</v>
      </c>
      <c r="R235" s="509"/>
      <c r="S235" s="693">
        <v>8</v>
      </c>
      <c r="T235" s="509"/>
    </row>
    <row r="236" spans="1:20" s="22" customFormat="1" ht="42" customHeight="1">
      <c r="A236" s="196" t="s">
        <v>2122</v>
      </c>
      <c r="B236" s="197" t="s">
        <v>2123</v>
      </c>
      <c r="C236" s="199" t="s">
        <v>2124</v>
      </c>
      <c r="D236" s="919" t="s">
        <v>2125</v>
      </c>
      <c r="E236" s="198" t="s">
        <v>1831</v>
      </c>
      <c r="F236" s="332">
        <v>10</v>
      </c>
      <c r="G236" s="332"/>
      <c r="H236" s="332">
        <f t="shared" si="2"/>
        <v>0</v>
      </c>
      <c r="I236" s="333">
        <v>0.00168</v>
      </c>
      <c r="J236" s="334">
        <f t="shared" si="8"/>
        <v>0.016800000000000002</v>
      </c>
      <c r="K236" s="693">
        <v>1.6</v>
      </c>
      <c r="L236" s="693">
        <v>2.9</v>
      </c>
      <c r="M236" s="693">
        <f t="shared" si="4"/>
        <v>4.64</v>
      </c>
      <c r="N236" s="693">
        <f t="shared" si="5"/>
        <v>46.4</v>
      </c>
      <c r="O236" s="693">
        <f t="shared" si="7"/>
        <v>74</v>
      </c>
      <c r="P236" s="693">
        <f t="shared" si="6"/>
        <v>16</v>
      </c>
      <c r="Q236" s="694" t="s">
        <v>2058</v>
      </c>
      <c r="R236" s="694" t="s">
        <v>2126</v>
      </c>
      <c r="S236" s="693">
        <v>60</v>
      </c>
      <c r="T236" s="509"/>
    </row>
    <row r="237" spans="1:20" s="22" customFormat="1" ht="34.5" customHeight="1">
      <c r="A237" s="196" t="s">
        <v>2127</v>
      </c>
      <c r="B237" s="197" t="s">
        <v>2128</v>
      </c>
      <c r="C237" s="199" t="s">
        <v>2129</v>
      </c>
      <c r="D237" s="919" t="s">
        <v>2125</v>
      </c>
      <c r="E237" s="198" t="s">
        <v>1831</v>
      </c>
      <c r="F237" s="332">
        <v>16</v>
      </c>
      <c r="G237" s="332"/>
      <c r="H237" s="332">
        <f t="shared" si="2"/>
        <v>0</v>
      </c>
      <c r="I237" s="333">
        <v>0.00168</v>
      </c>
      <c r="J237" s="334">
        <f t="shared" si="8"/>
        <v>0.02688</v>
      </c>
      <c r="K237" s="693">
        <v>1.6</v>
      </c>
      <c r="L237" s="693">
        <v>2.9</v>
      </c>
      <c r="M237" s="693">
        <f t="shared" si="4"/>
        <v>4.64</v>
      </c>
      <c r="N237" s="693">
        <f t="shared" si="5"/>
        <v>74.24</v>
      </c>
      <c r="O237" s="693">
        <f t="shared" si="7"/>
        <v>118.4</v>
      </c>
      <c r="P237" s="693">
        <f t="shared" si="6"/>
        <v>25.6</v>
      </c>
      <c r="Q237" s="694" t="s">
        <v>2058</v>
      </c>
      <c r="R237" s="694" t="s">
        <v>2130</v>
      </c>
      <c r="S237" s="693">
        <f>6*16</f>
        <v>96</v>
      </c>
      <c r="T237" s="509"/>
    </row>
    <row r="238" spans="1:20" s="22" customFormat="1" ht="38.25" customHeight="1">
      <c r="A238" s="196" t="s">
        <v>2131</v>
      </c>
      <c r="B238" s="197" t="s">
        <v>2132</v>
      </c>
      <c r="C238" s="199" t="s">
        <v>2056</v>
      </c>
      <c r="D238" s="919" t="s">
        <v>2133</v>
      </c>
      <c r="E238" s="198" t="s">
        <v>1831</v>
      </c>
      <c r="F238" s="332">
        <v>12</v>
      </c>
      <c r="G238" s="332"/>
      <c r="H238" s="332">
        <f t="shared" si="2"/>
        <v>0</v>
      </c>
      <c r="I238" s="333">
        <v>0.00168</v>
      </c>
      <c r="J238" s="334">
        <f t="shared" si="8"/>
        <v>0.02016</v>
      </c>
      <c r="K238" s="693">
        <v>0.6</v>
      </c>
      <c r="L238" s="693">
        <v>2.2</v>
      </c>
      <c r="M238" s="693">
        <f t="shared" si="4"/>
        <v>1.32</v>
      </c>
      <c r="N238" s="693">
        <f t="shared" si="5"/>
        <v>15.84</v>
      </c>
      <c r="O238" s="693">
        <f t="shared" si="7"/>
        <v>60</v>
      </c>
      <c r="P238" s="693">
        <f t="shared" si="6"/>
        <v>7.199999999999999</v>
      </c>
      <c r="Q238" s="694" t="s">
        <v>2058</v>
      </c>
      <c r="R238" s="509"/>
      <c r="S238" s="693">
        <v>24</v>
      </c>
      <c r="T238" s="509"/>
    </row>
    <row r="239" spans="1:20" s="22" customFormat="1" ht="35.25" customHeight="1">
      <c r="A239" s="196" t="s">
        <v>2134</v>
      </c>
      <c r="B239" s="197" t="s">
        <v>2135</v>
      </c>
      <c r="C239" s="199" t="s">
        <v>2136</v>
      </c>
      <c r="D239" s="919" t="s">
        <v>2137</v>
      </c>
      <c r="E239" s="198" t="s">
        <v>1831</v>
      </c>
      <c r="F239" s="332">
        <v>7</v>
      </c>
      <c r="G239" s="332"/>
      <c r="H239" s="332">
        <f t="shared" si="2"/>
        <v>0</v>
      </c>
      <c r="I239" s="333">
        <v>0.00168</v>
      </c>
      <c r="J239" s="334">
        <f t="shared" si="8"/>
        <v>0.01176</v>
      </c>
      <c r="K239" s="693">
        <v>1.2</v>
      </c>
      <c r="L239" s="693">
        <v>2.9</v>
      </c>
      <c r="M239" s="693">
        <f t="shared" si="4"/>
        <v>3.48</v>
      </c>
      <c r="N239" s="693">
        <f t="shared" si="5"/>
        <v>24.36</v>
      </c>
      <c r="O239" s="693">
        <f t="shared" si="7"/>
        <v>49</v>
      </c>
      <c r="P239" s="693">
        <f t="shared" si="6"/>
        <v>8.4</v>
      </c>
      <c r="Q239" s="694" t="s">
        <v>2058</v>
      </c>
      <c r="R239" s="694" t="s">
        <v>2138</v>
      </c>
      <c r="S239" s="693">
        <v>28</v>
      </c>
      <c r="T239" s="509"/>
    </row>
    <row r="240" spans="1:20" s="22" customFormat="1" ht="32.25" customHeight="1">
      <c r="A240" s="196" t="s">
        <v>2139</v>
      </c>
      <c r="B240" s="197" t="s">
        <v>2140</v>
      </c>
      <c r="C240" s="199" t="s">
        <v>2141</v>
      </c>
      <c r="D240" s="919" t="s">
        <v>2137</v>
      </c>
      <c r="E240" s="198" t="s">
        <v>1831</v>
      </c>
      <c r="F240" s="332">
        <v>7</v>
      </c>
      <c r="G240" s="332"/>
      <c r="H240" s="332">
        <f t="shared" si="2"/>
        <v>0</v>
      </c>
      <c r="I240" s="333">
        <v>0.00168</v>
      </c>
      <c r="J240" s="334">
        <f t="shared" si="8"/>
        <v>0.01176</v>
      </c>
      <c r="K240" s="693">
        <v>1.2</v>
      </c>
      <c r="L240" s="693">
        <v>2.9</v>
      </c>
      <c r="M240" s="693">
        <f t="shared" si="4"/>
        <v>3.48</v>
      </c>
      <c r="N240" s="693">
        <f t="shared" si="5"/>
        <v>24.36</v>
      </c>
      <c r="O240" s="693">
        <f t="shared" si="7"/>
        <v>49</v>
      </c>
      <c r="P240" s="693">
        <f t="shared" si="6"/>
        <v>8.4</v>
      </c>
      <c r="Q240" s="694" t="s">
        <v>2058</v>
      </c>
      <c r="R240" s="694" t="s">
        <v>2138</v>
      </c>
      <c r="S240" s="693">
        <v>28</v>
      </c>
      <c r="T240" s="509"/>
    </row>
    <row r="241" spans="1:20" s="22" customFormat="1" ht="32.25" customHeight="1">
      <c r="A241" s="196" t="s">
        <v>2142</v>
      </c>
      <c r="B241" s="197" t="s">
        <v>2143</v>
      </c>
      <c r="C241" s="199" t="s">
        <v>2144</v>
      </c>
      <c r="D241" s="919" t="s">
        <v>2145</v>
      </c>
      <c r="E241" s="198" t="s">
        <v>1831</v>
      </c>
      <c r="F241" s="332">
        <v>4</v>
      </c>
      <c r="G241" s="332"/>
      <c r="H241" s="332">
        <f t="shared" si="2"/>
        <v>0</v>
      </c>
      <c r="I241" s="333">
        <v>0.00168</v>
      </c>
      <c r="J241" s="334">
        <f t="shared" si="8"/>
        <v>0.00672</v>
      </c>
      <c r="K241" s="693">
        <v>1.2</v>
      </c>
      <c r="L241" s="693">
        <v>1.45</v>
      </c>
      <c r="M241" s="693">
        <f t="shared" si="4"/>
        <v>1.74</v>
      </c>
      <c r="N241" s="693">
        <f t="shared" si="5"/>
        <v>6.96</v>
      </c>
      <c r="O241" s="693">
        <f t="shared" si="7"/>
        <v>16.4</v>
      </c>
      <c r="P241" s="693">
        <f t="shared" si="6"/>
        <v>4.8</v>
      </c>
      <c r="Q241" s="694" t="s">
        <v>2058</v>
      </c>
      <c r="R241" s="509"/>
      <c r="S241" s="693">
        <v>8</v>
      </c>
      <c r="T241" s="509"/>
    </row>
    <row r="242" spans="1:20" s="22" customFormat="1" ht="36" customHeight="1">
      <c r="A242" s="196" t="s">
        <v>2146</v>
      </c>
      <c r="B242" s="197" t="s">
        <v>2147</v>
      </c>
      <c r="C242" s="199" t="s">
        <v>2076</v>
      </c>
      <c r="D242" s="919" t="s">
        <v>2148</v>
      </c>
      <c r="E242" s="198" t="s">
        <v>1831</v>
      </c>
      <c r="F242" s="332">
        <v>4</v>
      </c>
      <c r="G242" s="332"/>
      <c r="H242" s="332">
        <f t="shared" si="2"/>
        <v>0</v>
      </c>
      <c r="I242" s="333">
        <v>0.00168</v>
      </c>
      <c r="J242" s="334">
        <f t="shared" si="8"/>
        <v>0.00672</v>
      </c>
      <c r="K242" s="693">
        <v>1.6</v>
      </c>
      <c r="L242" s="693">
        <v>2.9</v>
      </c>
      <c r="M242" s="693">
        <f t="shared" si="4"/>
        <v>4.64</v>
      </c>
      <c r="N242" s="693">
        <f t="shared" si="5"/>
        <v>18.56</v>
      </c>
      <c r="O242" s="693">
        <f t="shared" si="7"/>
        <v>29.6</v>
      </c>
      <c r="P242" s="693">
        <f t="shared" si="6"/>
        <v>6.4</v>
      </c>
      <c r="Q242" s="694" t="s">
        <v>2058</v>
      </c>
      <c r="R242" s="509"/>
      <c r="S242" s="693">
        <v>24</v>
      </c>
      <c r="T242" s="509"/>
    </row>
    <row r="243" spans="1:20" s="22" customFormat="1" ht="39.75" customHeight="1">
      <c r="A243" s="196" t="s">
        <v>2149</v>
      </c>
      <c r="B243" s="197" t="s">
        <v>2150</v>
      </c>
      <c r="C243" s="199" t="s">
        <v>2151</v>
      </c>
      <c r="D243" s="919" t="s">
        <v>2148</v>
      </c>
      <c r="E243" s="198" t="s">
        <v>1831</v>
      </c>
      <c r="F243" s="332">
        <v>2</v>
      </c>
      <c r="G243" s="332"/>
      <c r="H243" s="332">
        <f t="shared" si="2"/>
        <v>0</v>
      </c>
      <c r="I243" s="333">
        <v>0.00168</v>
      </c>
      <c r="J243" s="334">
        <f aca="true" t="shared" si="9" ref="J243:J256">F243*I243</f>
        <v>0.00336</v>
      </c>
      <c r="K243" s="693">
        <v>1.8</v>
      </c>
      <c r="L243" s="693">
        <v>2.9</v>
      </c>
      <c r="M243" s="693">
        <f t="shared" si="4"/>
        <v>5.22</v>
      </c>
      <c r="N243" s="693">
        <f t="shared" si="5"/>
        <v>10.44</v>
      </c>
      <c r="O243" s="693">
        <f t="shared" si="7"/>
        <v>15.2</v>
      </c>
      <c r="P243" s="693">
        <f t="shared" si="6"/>
        <v>3.6</v>
      </c>
      <c r="Q243" s="694" t="s">
        <v>2058</v>
      </c>
      <c r="R243" s="509"/>
      <c r="S243" s="693">
        <v>12</v>
      </c>
      <c r="T243" s="509"/>
    </row>
    <row r="244" spans="1:20" s="22" customFormat="1" ht="27.75" customHeight="1">
      <c r="A244" s="196" t="s">
        <v>2152</v>
      </c>
      <c r="B244" s="197" t="s">
        <v>2153</v>
      </c>
      <c r="C244" s="199" t="s">
        <v>2154</v>
      </c>
      <c r="D244" s="919" t="s">
        <v>2155</v>
      </c>
      <c r="E244" s="198" t="s">
        <v>1831</v>
      </c>
      <c r="F244" s="332">
        <v>8</v>
      </c>
      <c r="G244" s="332"/>
      <c r="H244" s="332">
        <f t="shared" si="2"/>
        <v>0</v>
      </c>
      <c r="I244" s="333">
        <v>0.00168</v>
      </c>
      <c r="J244" s="334">
        <f t="shared" si="9"/>
        <v>0.01344</v>
      </c>
      <c r="K244" s="693">
        <v>1.3</v>
      </c>
      <c r="L244" s="693">
        <v>1.85</v>
      </c>
      <c r="M244" s="693">
        <f t="shared" si="4"/>
        <v>2.4050000000000002</v>
      </c>
      <c r="N244" s="693">
        <f t="shared" si="5"/>
        <v>19.240000000000002</v>
      </c>
      <c r="O244" s="693">
        <f t="shared" si="7"/>
        <v>40</v>
      </c>
      <c r="P244" s="693">
        <f t="shared" si="6"/>
        <v>10.4</v>
      </c>
      <c r="Q244" s="694" t="s">
        <v>2058</v>
      </c>
      <c r="R244" s="694" t="s">
        <v>2126</v>
      </c>
      <c r="S244" s="693">
        <v>32</v>
      </c>
      <c r="T244" s="509"/>
    </row>
    <row r="245" spans="1:20" s="22" customFormat="1" ht="39" customHeight="1">
      <c r="A245" s="196" t="s">
        <v>2156</v>
      </c>
      <c r="B245" s="197" t="s">
        <v>2157</v>
      </c>
      <c r="C245" s="199" t="s">
        <v>2158</v>
      </c>
      <c r="D245" s="919" t="s">
        <v>2155</v>
      </c>
      <c r="E245" s="198" t="s">
        <v>1831</v>
      </c>
      <c r="F245" s="332">
        <v>6</v>
      </c>
      <c r="G245" s="332"/>
      <c r="H245" s="332">
        <f t="shared" si="2"/>
        <v>0</v>
      </c>
      <c r="I245" s="333">
        <v>0.00168</v>
      </c>
      <c r="J245" s="334">
        <f t="shared" si="9"/>
        <v>0.01008</v>
      </c>
      <c r="K245" s="693">
        <v>1.3</v>
      </c>
      <c r="L245" s="693">
        <v>1.85</v>
      </c>
      <c r="M245" s="693">
        <f t="shared" si="4"/>
        <v>2.4050000000000002</v>
      </c>
      <c r="N245" s="693">
        <f t="shared" si="5"/>
        <v>14.430000000000001</v>
      </c>
      <c r="O245" s="693">
        <f t="shared" si="7"/>
        <v>30</v>
      </c>
      <c r="P245" s="693">
        <f t="shared" si="6"/>
        <v>7.800000000000001</v>
      </c>
      <c r="Q245" s="694" t="s">
        <v>2058</v>
      </c>
      <c r="R245" s="694" t="s">
        <v>2159</v>
      </c>
      <c r="S245" s="693">
        <v>24</v>
      </c>
      <c r="T245" s="509"/>
    </row>
    <row r="246" spans="1:20" s="22" customFormat="1" ht="20.25" customHeight="1">
      <c r="A246" s="196" t="s">
        <v>2160</v>
      </c>
      <c r="B246" s="197" t="s">
        <v>2161</v>
      </c>
      <c r="C246" s="197" t="s">
        <v>2162</v>
      </c>
      <c r="D246" s="919" t="s">
        <v>2163</v>
      </c>
      <c r="E246" s="198" t="s">
        <v>1831</v>
      </c>
      <c r="F246" s="332">
        <v>2</v>
      </c>
      <c r="G246" s="332"/>
      <c r="H246" s="332">
        <f t="shared" si="2"/>
        <v>0</v>
      </c>
      <c r="I246" s="333">
        <v>0.00168</v>
      </c>
      <c r="J246" s="334">
        <f t="shared" si="9"/>
        <v>0.00336</v>
      </c>
      <c r="K246" s="693">
        <v>0.8</v>
      </c>
      <c r="L246" s="693">
        <v>2.1</v>
      </c>
      <c r="M246" s="693">
        <f t="shared" si="4"/>
        <v>1.6800000000000002</v>
      </c>
      <c r="N246" s="693">
        <f t="shared" si="5"/>
        <v>3.3600000000000003</v>
      </c>
      <c r="O246" s="693">
        <f t="shared" si="7"/>
        <v>10</v>
      </c>
      <c r="P246" s="693">
        <f t="shared" si="6"/>
        <v>1.6</v>
      </c>
      <c r="Q246" s="694" t="s">
        <v>2058</v>
      </c>
      <c r="R246" s="694" t="s">
        <v>2068</v>
      </c>
      <c r="S246" s="693">
        <v>4</v>
      </c>
      <c r="T246" s="509"/>
    </row>
    <row r="247" spans="1:20" s="22" customFormat="1" ht="24.75" customHeight="1">
      <c r="A247" s="196" t="s">
        <v>2164</v>
      </c>
      <c r="B247" s="197" t="s">
        <v>2165</v>
      </c>
      <c r="C247" s="199" t="s">
        <v>2166</v>
      </c>
      <c r="D247" s="919" t="s">
        <v>2167</v>
      </c>
      <c r="E247" s="198" t="s">
        <v>1831</v>
      </c>
      <c r="F247" s="332">
        <v>1</v>
      </c>
      <c r="G247" s="332"/>
      <c r="H247" s="332">
        <f t="shared" si="2"/>
        <v>0</v>
      </c>
      <c r="I247" s="333">
        <v>0.00168</v>
      </c>
      <c r="J247" s="334">
        <f t="shared" si="9"/>
        <v>0.00168</v>
      </c>
      <c r="K247" s="693">
        <v>1.6</v>
      </c>
      <c r="L247" s="693">
        <v>1.6</v>
      </c>
      <c r="M247" s="693">
        <f t="shared" si="4"/>
        <v>2.5600000000000005</v>
      </c>
      <c r="N247" s="693">
        <f t="shared" si="5"/>
        <v>2.5600000000000005</v>
      </c>
      <c r="O247" s="693">
        <f t="shared" si="7"/>
        <v>4.800000000000001</v>
      </c>
      <c r="P247" s="693">
        <f t="shared" si="6"/>
        <v>1.6</v>
      </c>
      <c r="Q247" s="694" t="s">
        <v>2058</v>
      </c>
      <c r="R247" s="694" t="s">
        <v>2064</v>
      </c>
      <c r="S247" s="693">
        <v>3</v>
      </c>
      <c r="T247" s="509"/>
    </row>
    <row r="248" spans="1:20" s="22" customFormat="1" ht="36" customHeight="1">
      <c r="A248" s="196" t="s">
        <v>2168</v>
      </c>
      <c r="B248" s="197" t="s">
        <v>2169</v>
      </c>
      <c r="C248" s="199" t="s">
        <v>2170</v>
      </c>
      <c r="D248" s="919" t="s">
        <v>2171</v>
      </c>
      <c r="E248" s="198" t="s">
        <v>1831</v>
      </c>
      <c r="F248" s="332">
        <v>11</v>
      </c>
      <c r="G248" s="332"/>
      <c r="H248" s="332">
        <f t="shared" si="2"/>
        <v>0</v>
      </c>
      <c r="I248" s="333">
        <v>0.00168</v>
      </c>
      <c r="J248" s="334">
        <f t="shared" si="9"/>
        <v>0.01848</v>
      </c>
      <c r="K248" s="693">
        <v>1.6</v>
      </c>
      <c r="L248" s="693">
        <v>2.75</v>
      </c>
      <c r="M248" s="693">
        <f t="shared" si="4"/>
        <v>4.4</v>
      </c>
      <c r="N248" s="693">
        <f t="shared" si="5"/>
        <v>48.400000000000006</v>
      </c>
      <c r="O248" s="693">
        <f t="shared" si="7"/>
        <v>78.1</v>
      </c>
      <c r="P248" s="693">
        <f t="shared" si="6"/>
        <v>17.6</v>
      </c>
      <c r="Q248" s="694" t="s">
        <v>2058</v>
      </c>
      <c r="R248" s="694" t="s">
        <v>2172</v>
      </c>
      <c r="S248" s="693">
        <v>66</v>
      </c>
      <c r="T248" s="509"/>
    </row>
    <row r="249" spans="1:20" s="22" customFormat="1" ht="38.25" customHeight="1">
      <c r="A249" s="196" t="s">
        <v>2173</v>
      </c>
      <c r="B249" s="197" t="s">
        <v>2174</v>
      </c>
      <c r="C249" s="199" t="s">
        <v>2175</v>
      </c>
      <c r="D249" s="919" t="s">
        <v>2171</v>
      </c>
      <c r="E249" s="198" t="s">
        <v>1831</v>
      </c>
      <c r="F249" s="332">
        <v>17</v>
      </c>
      <c r="G249" s="332"/>
      <c r="H249" s="332">
        <f t="shared" si="2"/>
        <v>0</v>
      </c>
      <c r="I249" s="333">
        <v>0.00168</v>
      </c>
      <c r="J249" s="334">
        <f t="shared" si="9"/>
        <v>0.028560000000000002</v>
      </c>
      <c r="K249" s="693">
        <v>1.6</v>
      </c>
      <c r="L249" s="693">
        <v>2.75</v>
      </c>
      <c r="M249" s="693">
        <f t="shared" si="4"/>
        <v>4.4</v>
      </c>
      <c r="N249" s="693">
        <f t="shared" si="5"/>
        <v>74.80000000000001</v>
      </c>
      <c r="O249" s="693">
        <f t="shared" si="7"/>
        <v>120.69999999999999</v>
      </c>
      <c r="P249" s="693">
        <f t="shared" si="6"/>
        <v>27.200000000000003</v>
      </c>
      <c r="Q249" s="694" t="s">
        <v>2058</v>
      </c>
      <c r="R249" s="694" t="s">
        <v>2176</v>
      </c>
      <c r="S249" s="693">
        <f>6*17</f>
        <v>102</v>
      </c>
      <c r="T249" s="509"/>
    </row>
    <row r="250" spans="1:20" s="22" customFormat="1" ht="38.25" customHeight="1">
      <c r="A250" s="196" t="s">
        <v>2177</v>
      </c>
      <c r="B250" s="197" t="s">
        <v>2178</v>
      </c>
      <c r="C250" s="199" t="s">
        <v>2144</v>
      </c>
      <c r="D250" s="919" t="s">
        <v>2179</v>
      </c>
      <c r="E250" s="198" t="s">
        <v>1831</v>
      </c>
      <c r="F250" s="332">
        <v>12</v>
      </c>
      <c r="G250" s="332"/>
      <c r="H250" s="332">
        <f t="shared" si="2"/>
        <v>0</v>
      </c>
      <c r="I250" s="333">
        <v>0.00168</v>
      </c>
      <c r="J250" s="334">
        <f t="shared" si="9"/>
        <v>0.02016</v>
      </c>
      <c r="K250" s="693">
        <v>0.6</v>
      </c>
      <c r="L250" s="693">
        <v>2.05</v>
      </c>
      <c r="M250" s="693">
        <f t="shared" si="4"/>
        <v>1.2299999999999998</v>
      </c>
      <c r="N250" s="693">
        <f t="shared" si="5"/>
        <v>14.759999999999998</v>
      </c>
      <c r="O250" s="693">
        <f t="shared" si="7"/>
        <v>56.39999999999999</v>
      </c>
      <c r="P250" s="693">
        <f t="shared" si="6"/>
        <v>7.199999999999999</v>
      </c>
      <c r="Q250" s="694" t="s">
        <v>2058</v>
      </c>
      <c r="R250" s="509"/>
      <c r="S250" s="693">
        <v>24</v>
      </c>
      <c r="T250" s="509"/>
    </row>
    <row r="251" spans="1:20" s="22" customFormat="1" ht="39.75" customHeight="1">
      <c r="A251" s="196" t="s">
        <v>2180</v>
      </c>
      <c r="B251" s="197" t="s">
        <v>2181</v>
      </c>
      <c r="C251" s="199" t="s">
        <v>2182</v>
      </c>
      <c r="D251" s="919" t="s">
        <v>2183</v>
      </c>
      <c r="E251" s="198" t="s">
        <v>1831</v>
      </c>
      <c r="F251" s="332">
        <v>4</v>
      </c>
      <c r="G251" s="332"/>
      <c r="H251" s="332">
        <f t="shared" si="2"/>
        <v>0</v>
      </c>
      <c r="I251" s="333">
        <v>0.00168</v>
      </c>
      <c r="J251" s="334">
        <f t="shared" si="9"/>
        <v>0.00672</v>
      </c>
      <c r="K251" s="693">
        <v>1.8</v>
      </c>
      <c r="L251" s="693">
        <v>2.75</v>
      </c>
      <c r="M251" s="693">
        <f t="shared" si="4"/>
        <v>4.95</v>
      </c>
      <c r="N251" s="693">
        <f t="shared" si="5"/>
        <v>19.8</v>
      </c>
      <c r="O251" s="693">
        <f t="shared" si="7"/>
        <v>29.2</v>
      </c>
      <c r="P251" s="693">
        <f t="shared" si="6"/>
        <v>7.2</v>
      </c>
      <c r="Q251" s="694" t="s">
        <v>2058</v>
      </c>
      <c r="R251" s="509"/>
      <c r="S251" s="693">
        <v>24</v>
      </c>
      <c r="T251" s="509"/>
    </row>
    <row r="252" spans="1:20" s="22" customFormat="1" ht="33.75" customHeight="1">
      <c r="A252" s="196" t="s">
        <v>2184</v>
      </c>
      <c r="B252" s="197" t="s">
        <v>2185</v>
      </c>
      <c r="C252" s="199" t="s">
        <v>2186</v>
      </c>
      <c r="D252" s="919" t="s">
        <v>2183</v>
      </c>
      <c r="E252" s="198" t="s">
        <v>1831</v>
      </c>
      <c r="F252" s="332">
        <v>2</v>
      </c>
      <c r="G252" s="332"/>
      <c r="H252" s="332">
        <f t="shared" si="2"/>
        <v>0</v>
      </c>
      <c r="I252" s="333">
        <v>0.00168</v>
      </c>
      <c r="J252" s="334">
        <f t="shared" si="9"/>
        <v>0.00336</v>
      </c>
      <c r="K252" s="693">
        <v>1.8</v>
      </c>
      <c r="L252" s="693">
        <v>2.75</v>
      </c>
      <c r="M252" s="693">
        <f aca="true" t="shared" si="10" ref="M252:M271">K252*L252</f>
        <v>4.95</v>
      </c>
      <c r="N252" s="693">
        <f aca="true" t="shared" si="11" ref="N252:N271">F252*M252</f>
        <v>9.9</v>
      </c>
      <c r="O252" s="693">
        <f aca="true" t="shared" si="12" ref="O252:O271">(K252+L252*2)*F252</f>
        <v>14.6</v>
      </c>
      <c r="P252" s="693">
        <f t="shared" si="6"/>
        <v>3.6</v>
      </c>
      <c r="Q252" s="694" t="s">
        <v>2058</v>
      </c>
      <c r="R252" s="509"/>
      <c r="S252" s="693">
        <v>12</v>
      </c>
      <c r="T252" s="509"/>
    </row>
    <row r="253" spans="1:20" s="22" customFormat="1" ht="29.25" customHeight="1">
      <c r="A253" s="196" t="s">
        <v>2187</v>
      </c>
      <c r="B253" s="197" t="s">
        <v>2188</v>
      </c>
      <c r="C253" s="199" t="s">
        <v>2154</v>
      </c>
      <c r="D253" s="919" t="s">
        <v>2189</v>
      </c>
      <c r="E253" s="198" t="s">
        <v>1831</v>
      </c>
      <c r="F253" s="332">
        <v>13</v>
      </c>
      <c r="G253" s="332"/>
      <c r="H253" s="332">
        <f t="shared" si="2"/>
        <v>0</v>
      </c>
      <c r="I253" s="333">
        <v>0.00168</v>
      </c>
      <c r="J253" s="334">
        <f t="shared" si="9"/>
        <v>0.021840000000000002</v>
      </c>
      <c r="K253" s="693">
        <v>1.2</v>
      </c>
      <c r="L253" s="693">
        <v>2.75</v>
      </c>
      <c r="M253" s="693">
        <f t="shared" si="10"/>
        <v>3.3</v>
      </c>
      <c r="N253" s="693">
        <f t="shared" si="11"/>
        <v>42.9</v>
      </c>
      <c r="O253" s="693">
        <f t="shared" si="12"/>
        <v>87.10000000000001</v>
      </c>
      <c r="P253" s="693">
        <f t="shared" si="6"/>
        <v>15.6</v>
      </c>
      <c r="Q253" s="694" t="s">
        <v>2058</v>
      </c>
      <c r="R253" s="694" t="s">
        <v>2190</v>
      </c>
      <c r="S253" s="693">
        <f>4*13</f>
        <v>52</v>
      </c>
      <c r="T253" s="509"/>
    </row>
    <row r="254" spans="1:20" s="22" customFormat="1" ht="32.25" customHeight="1">
      <c r="A254" s="196" t="s">
        <v>2191</v>
      </c>
      <c r="B254" s="197" t="s">
        <v>2192</v>
      </c>
      <c r="C254" s="199" t="s">
        <v>2193</v>
      </c>
      <c r="D254" s="919" t="s">
        <v>2189</v>
      </c>
      <c r="E254" s="198" t="s">
        <v>1831</v>
      </c>
      <c r="F254" s="332">
        <v>11</v>
      </c>
      <c r="G254" s="332"/>
      <c r="H254" s="332">
        <f t="shared" si="2"/>
        <v>0</v>
      </c>
      <c r="I254" s="333">
        <v>0.00168</v>
      </c>
      <c r="J254" s="334">
        <f t="shared" si="9"/>
        <v>0.01848</v>
      </c>
      <c r="K254" s="693">
        <v>1.2</v>
      </c>
      <c r="L254" s="693">
        <v>2.75</v>
      </c>
      <c r="M254" s="693">
        <f t="shared" si="10"/>
        <v>3.3</v>
      </c>
      <c r="N254" s="693">
        <f t="shared" si="11"/>
        <v>36.3</v>
      </c>
      <c r="O254" s="693">
        <f t="shared" si="12"/>
        <v>73.7</v>
      </c>
      <c r="P254" s="693">
        <f t="shared" si="6"/>
        <v>13.2</v>
      </c>
      <c r="Q254" s="694" t="s">
        <v>2058</v>
      </c>
      <c r="R254" s="694" t="s">
        <v>2190</v>
      </c>
      <c r="S254" s="693">
        <v>44</v>
      </c>
      <c r="T254" s="509"/>
    </row>
    <row r="255" spans="1:20" s="22" customFormat="1" ht="32.25" customHeight="1">
      <c r="A255" s="196" t="s">
        <v>2194</v>
      </c>
      <c r="B255" s="197" t="s">
        <v>2195</v>
      </c>
      <c r="C255" s="199" t="s">
        <v>2196</v>
      </c>
      <c r="D255" s="919" t="s">
        <v>2197</v>
      </c>
      <c r="E255" s="198" t="s">
        <v>1831</v>
      </c>
      <c r="F255" s="332">
        <v>6</v>
      </c>
      <c r="G255" s="332"/>
      <c r="H255" s="332">
        <f t="shared" si="2"/>
        <v>0</v>
      </c>
      <c r="I255" s="333">
        <v>0.00168</v>
      </c>
      <c r="J255" s="334">
        <f t="shared" si="9"/>
        <v>0.01008</v>
      </c>
      <c r="K255" s="693">
        <v>1.8</v>
      </c>
      <c r="L255" s="693">
        <v>2.5</v>
      </c>
      <c r="M255" s="693">
        <f t="shared" si="10"/>
        <v>4.5</v>
      </c>
      <c r="N255" s="693">
        <f t="shared" si="11"/>
        <v>27</v>
      </c>
      <c r="O255" s="693">
        <f t="shared" si="12"/>
        <v>40.8</v>
      </c>
      <c r="P255" s="693">
        <f t="shared" si="6"/>
        <v>10.8</v>
      </c>
      <c r="Q255" s="694" t="s">
        <v>2058</v>
      </c>
      <c r="R255" s="694" t="s">
        <v>2159</v>
      </c>
      <c r="S255" s="693">
        <v>36</v>
      </c>
      <c r="T255" s="509"/>
    </row>
    <row r="256" spans="1:20" s="22" customFormat="1" ht="38.25" customHeight="1">
      <c r="A256" s="196" t="s">
        <v>2198</v>
      </c>
      <c r="B256" s="197" t="s">
        <v>2199</v>
      </c>
      <c r="C256" s="199" t="s">
        <v>2200</v>
      </c>
      <c r="D256" s="919" t="s">
        <v>2197</v>
      </c>
      <c r="E256" s="198" t="s">
        <v>1831</v>
      </c>
      <c r="F256" s="332">
        <v>1</v>
      </c>
      <c r="G256" s="332"/>
      <c r="H256" s="332">
        <f t="shared" si="2"/>
        <v>0</v>
      </c>
      <c r="I256" s="333">
        <v>0.00168</v>
      </c>
      <c r="J256" s="334">
        <f t="shared" si="9"/>
        <v>0.00168</v>
      </c>
      <c r="K256" s="693">
        <v>1.8</v>
      </c>
      <c r="L256" s="693">
        <v>2.5</v>
      </c>
      <c r="M256" s="693">
        <f t="shared" si="10"/>
        <v>4.5</v>
      </c>
      <c r="N256" s="693">
        <f t="shared" si="11"/>
        <v>4.5</v>
      </c>
      <c r="O256" s="693">
        <f t="shared" si="12"/>
        <v>6.8</v>
      </c>
      <c r="P256" s="693">
        <f t="shared" si="6"/>
        <v>1.8</v>
      </c>
      <c r="Q256" s="694" t="s">
        <v>2058</v>
      </c>
      <c r="R256" s="694" t="s">
        <v>2064</v>
      </c>
      <c r="S256" s="693">
        <v>6</v>
      </c>
      <c r="T256" s="509"/>
    </row>
    <row r="257" spans="1:20" s="22" customFormat="1" ht="33.75" customHeight="1">
      <c r="A257" s="196" t="s">
        <v>2201</v>
      </c>
      <c r="B257" s="197" t="s">
        <v>2202</v>
      </c>
      <c r="C257" s="199" t="s">
        <v>2203</v>
      </c>
      <c r="D257" s="919" t="s">
        <v>2204</v>
      </c>
      <c r="E257" s="198" t="s">
        <v>1831</v>
      </c>
      <c r="F257" s="332">
        <v>2</v>
      </c>
      <c r="G257" s="332"/>
      <c r="H257" s="332">
        <f t="shared" si="2"/>
        <v>0</v>
      </c>
      <c r="I257" s="333">
        <v>0.00168</v>
      </c>
      <c r="J257" s="334">
        <f aca="true" t="shared" si="13" ref="J257:J271">F257*I257</f>
        <v>0.00336</v>
      </c>
      <c r="K257" s="693">
        <v>1.8</v>
      </c>
      <c r="L257" s="693">
        <v>2.75</v>
      </c>
      <c r="M257" s="693">
        <f t="shared" si="10"/>
        <v>4.95</v>
      </c>
      <c r="N257" s="693">
        <f t="shared" si="11"/>
        <v>9.9</v>
      </c>
      <c r="O257" s="693">
        <f t="shared" si="12"/>
        <v>14.6</v>
      </c>
      <c r="P257" s="693">
        <f t="shared" si="6"/>
        <v>3.6</v>
      </c>
      <c r="Q257" s="694" t="s">
        <v>2058</v>
      </c>
      <c r="R257" s="694" t="s">
        <v>2068</v>
      </c>
      <c r="S257" s="693">
        <v>12</v>
      </c>
      <c r="T257" s="509"/>
    </row>
    <row r="258" spans="1:20" s="22" customFormat="1" ht="20.25" customHeight="1">
      <c r="A258" s="196" t="s">
        <v>2205</v>
      </c>
      <c r="B258" s="197" t="s">
        <v>2206</v>
      </c>
      <c r="C258" s="199" t="s">
        <v>2154</v>
      </c>
      <c r="D258" s="919" t="s">
        <v>2207</v>
      </c>
      <c r="E258" s="198" t="s">
        <v>1831</v>
      </c>
      <c r="F258" s="332">
        <v>8</v>
      </c>
      <c r="G258" s="332"/>
      <c r="H258" s="332">
        <f t="shared" si="2"/>
        <v>0</v>
      </c>
      <c r="I258" s="333">
        <v>0.00168</v>
      </c>
      <c r="J258" s="334">
        <f t="shared" si="13"/>
        <v>0.01344</v>
      </c>
      <c r="K258" s="693">
        <v>1.2</v>
      </c>
      <c r="L258" s="693">
        <v>2</v>
      </c>
      <c r="M258" s="693">
        <f t="shared" si="10"/>
        <v>2.4</v>
      </c>
      <c r="N258" s="693">
        <f t="shared" si="11"/>
        <v>19.2</v>
      </c>
      <c r="O258" s="693">
        <f t="shared" si="12"/>
        <v>41.6</v>
      </c>
      <c r="P258" s="693">
        <f t="shared" si="6"/>
        <v>9.6</v>
      </c>
      <c r="Q258" s="694" t="s">
        <v>2058</v>
      </c>
      <c r="R258" s="694" t="s">
        <v>2126</v>
      </c>
      <c r="S258" s="693">
        <v>32</v>
      </c>
      <c r="T258" s="509"/>
    </row>
    <row r="259" spans="1:20" s="22" customFormat="1" ht="30.75" customHeight="1">
      <c r="A259" s="196" t="s">
        <v>2208</v>
      </c>
      <c r="B259" s="197" t="s">
        <v>2209</v>
      </c>
      <c r="C259" s="199" t="s">
        <v>2193</v>
      </c>
      <c r="D259" s="919" t="s">
        <v>2207</v>
      </c>
      <c r="E259" s="198" t="s">
        <v>1831</v>
      </c>
      <c r="F259" s="332">
        <v>10</v>
      </c>
      <c r="G259" s="332"/>
      <c r="H259" s="332">
        <f t="shared" si="2"/>
        <v>0</v>
      </c>
      <c r="I259" s="333">
        <v>0.00168</v>
      </c>
      <c r="J259" s="334">
        <f t="shared" si="13"/>
        <v>0.016800000000000002</v>
      </c>
      <c r="K259" s="693">
        <v>1.2</v>
      </c>
      <c r="L259" s="693">
        <v>2</v>
      </c>
      <c r="M259" s="693">
        <f t="shared" si="10"/>
        <v>2.4</v>
      </c>
      <c r="N259" s="693">
        <f t="shared" si="11"/>
        <v>24</v>
      </c>
      <c r="O259" s="693">
        <f t="shared" si="12"/>
        <v>52</v>
      </c>
      <c r="P259" s="693">
        <f t="shared" si="6"/>
        <v>12</v>
      </c>
      <c r="Q259" s="694" t="s">
        <v>2058</v>
      </c>
      <c r="R259" s="694" t="s">
        <v>2172</v>
      </c>
      <c r="S259" s="693">
        <v>40</v>
      </c>
      <c r="T259" s="509"/>
    </row>
    <row r="260" spans="1:20" s="22" customFormat="1" ht="33.75" customHeight="1">
      <c r="A260" s="196" t="s">
        <v>2210</v>
      </c>
      <c r="B260" s="197" t="s">
        <v>2211</v>
      </c>
      <c r="C260" s="199" t="s">
        <v>2124</v>
      </c>
      <c r="D260" s="919" t="s">
        <v>2212</v>
      </c>
      <c r="E260" s="198" t="s">
        <v>1831</v>
      </c>
      <c r="F260" s="332">
        <v>9</v>
      </c>
      <c r="G260" s="332"/>
      <c r="H260" s="332">
        <f t="shared" si="2"/>
        <v>0</v>
      </c>
      <c r="I260" s="333">
        <v>0.00168</v>
      </c>
      <c r="J260" s="334">
        <f t="shared" si="13"/>
        <v>0.015120000000000001</v>
      </c>
      <c r="K260" s="693">
        <v>1.6</v>
      </c>
      <c r="L260" s="693">
        <v>2</v>
      </c>
      <c r="M260" s="693">
        <f t="shared" si="10"/>
        <v>3.2</v>
      </c>
      <c r="N260" s="693">
        <f t="shared" si="11"/>
        <v>28.8</v>
      </c>
      <c r="O260" s="693">
        <f t="shared" si="12"/>
        <v>50.4</v>
      </c>
      <c r="P260" s="693">
        <f t="shared" si="6"/>
        <v>14.4</v>
      </c>
      <c r="Q260" s="694" t="s">
        <v>2058</v>
      </c>
      <c r="R260" s="694" t="s">
        <v>2213</v>
      </c>
      <c r="S260" s="693">
        <v>54</v>
      </c>
      <c r="T260" s="509"/>
    </row>
    <row r="261" spans="1:20" s="22" customFormat="1" ht="36" customHeight="1">
      <c r="A261" s="196" t="s">
        <v>2214</v>
      </c>
      <c r="B261" s="197" t="s">
        <v>2215</v>
      </c>
      <c r="C261" s="199" t="s">
        <v>2216</v>
      </c>
      <c r="D261" s="919" t="s">
        <v>2212</v>
      </c>
      <c r="E261" s="198" t="s">
        <v>1831</v>
      </c>
      <c r="F261" s="332">
        <v>11</v>
      </c>
      <c r="G261" s="332"/>
      <c r="H261" s="332">
        <f t="shared" si="2"/>
        <v>0</v>
      </c>
      <c r="I261" s="333">
        <v>0.00168</v>
      </c>
      <c r="J261" s="334">
        <f t="shared" si="13"/>
        <v>0.01848</v>
      </c>
      <c r="K261" s="693">
        <v>1.6</v>
      </c>
      <c r="L261" s="693">
        <v>2</v>
      </c>
      <c r="M261" s="693">
        <f t="shared" si="10"/>
        <v>3.2</v>
      </c>
      <c r="N261" s="693">
        <f t="shared" si="11"/>
        <v>35.2</v>
      </c>
      <c r="O261" s="693">
        <f t="shared" si="12"/>
        <v>61.599999999999994</v>
      </c>
      <c r="P261" s="693">
        <f t="shared" si="6"/>
        <v>17.6</v>
      </c>
      <c r="Q261" s="694" t="s">
        <v>2058</v>
      </c>
      <c r="R261" s="694" t="s">
        <v>2217</v>
      </c>
      <c r="S261" s="693">
        <v>66</v>
      </c>
      <c r="T261" s="509"/>
    </row>
    <row r="262" spans="1:20" s="22" customFormat="1" ht="37.5" customHeight="1">
      <c r="A262" s="196" t="s">
        <v>2218</v>
      </c>
      <c r="B262" s="197" t="s">
        <v>2219</v>
      </c>
      <c r="C262" s="199" t="s">
        <v>2220</v>
      </c>
      <c r="D262" s="919" t="s">
        <v>2057</v>
      </c>
      <c r="E262" s="198" t="s">
        <v>1831</v>
      </c>
      <c r="F262" s="332">
        <v>2</v>
      </c>
      <c r="G262" s="332"/>
      <c r="H262" s="332">
        <f t="shared" si="2"/>
        <v>0</v>
      </c>
      <c r="I262" s="333">
        <v>0.00168</v>
      </c>
      <c r="J262" s="334">
        <f t="shared" si="13"/>
        <v>0.00336</v>
      </c>
      <c r="K262" s="693">
        <v>0.6</v>
      </c>
      <c r="L262" s="693">
        <v>1.5</v>
      </c>
      <c r="M262" s="693">
        <f t="shared" si="10"/>
        <v>0.8999999999999999</v>
      </c>
      <c r="N262" s="693">
        <f t="shared" si="11"/>
        <v>1.7999999999999998</v>
      </c>
      <c r="O262" s="693">
        <f t="shared" si="12"/>
        <v>7.2</v>
      </c>
      <c r="P262" s="693">
        <f t="shared" si="6"/>
        <v>1.2</v>
      </c>
      <c r="Q262" s="694" t="s">
        <v>2058</v>
      </c>
      <c r="R262" s="509"/>
      <c r="S262" s="693">
        <v>4</v>
      </c>
      <c r="T262" s="509"/>
    </row>
    <row r="263" spans="1:20" s="22" customFormat="1" ht="33.75" customHeight="1">
      <c r="A263" s="196" t="s">
        <v>2221</v>
      </c>
      <c r="B263" s="197" t="s">
        <v>2222</v>
      </c>
      <c r="C263" s="199" t="s">
        <v>2144</v>
      </c>
      <c r="D263" s="919" t="s">
        <v>2057</v>
      </c>
      <c r="E263" s="198" t="s">
        <v>1831</v>
      </c>
      <c r="F263" s="332">
        <v>8</v>
      </c>
      <c r="G263" s="332"/>
      <c r="H263" s="332">
        <f t="shared" si="2"/>
        <v>0</v>
      </c>
      <c r="I263" s="333">
        <v>0.00168</v>
      </c>
      <c r="J263" s="334">
        <f t="shared" si="13"/>
        <v>0.01344</v>
      </c>
      <c r="K263" s="693">
        <v>0.6</v>
      </c>
      <c r="L263" s="693">
        <v>1.5</v>
      </c>
      <c r="M263" s="693">
        <f t="shared" si="10"/>
        <v>0.8999999999999999</v>
      </c>
      <c r="N263" s="693">
        <f t="shared" si="11"/>
        <v>7.199999999999999</v>
      </c>
      <c r="O263" s="693">
        <f t="shared" si="12"/>
        <v>28.8</v>
      </c>
      <c r="P263" s="693">
        <f t="shared" si="6"/>
        <v>4.8</v>
      </c>
      <c r="Q263" s="694" t="s">
        <v>2058</v>
      </c>
      <c r="R263" s="509"/>
      <c r="S263" s="693">
        <v>16</v>
      </c>
      <c r="T263" s="509"/>
    </row>
    <row r="264" spans="1:20" s="22" customFormat="1" ht="30" customHeight="1">
      <c r="A264" s="196" t="s">
        <v>2223</v>
      </c>
      <c r="B264" s="197" t="s">
        <v>2224</v>
      </c>
      <c r="C264" s="199" t="s">
        <v>2076</v>
      </c>
      <c r="D264" s="919" t="s">
        <v>2225</v>
      </c>
      <c r="E264" s="198" t="s">
        <v>1831</v>
      </c>
      <c r="F264" s="332">
        <v>4</v>
      </c>
      <c r="G264" s="332"/>
      <c r="H264" s="332">
        <f t="shared" si="2"/>
        <v>0</v>
      </c>
      <c r="I264" s="333">
        <v>0.00168</v>
      </c>
      <c r="J264" s="334">
        <f t="shared" si="13"/>
        <v>0.00672</v>
      </c>
      <c r="K264" s="693">
        <v>1.8</v>
      </c>
      <c r="L264" s="693">
        <v>2</v>
      </c>
      <c r="M264" s="693">
        <f t="shared" si="10"/>
        <v>3.6</v>
      </c>
      <c r="N264" s="693">
        <f t="shared" si="11"/>
        <v>14.4</v>
      </c>
      <c r="O264" s="693">
        <f t="shared" si="12"/>
        <v>23.2</v>
      </c>
      <c r="P264" s="693">
        <f t="shared" si="6"/>
        <v>7.2</v>
      </c>
      <c r="Q264" s="694" t="s">
        <v>2058</v>
      </c>
      <c r="R264" s="694"/>
      <c r="S264" s="693">
        <v>24</v>
      </c>
      <c r="T264" s="509"/>
    </row>
    <row r="265" spans="1:20" s="22" customFormat="1" ht="31.5" customHeight="1">
      <c r="A265" s="196" t="s">
        <v>2226</v>
      </c>
      <c r="B265" s="197" t="s">
        <v>2227</v>
      </c>
      <c r="C265" s="199" t="s">
        <v>2228</v>
      </c>
      <c r="D265" s="919" t="s">
        <v>2225</v>
      </c>
      <c r="E265" s="198" t="s">
        <v>1831</v>
      </c>
      <c r="F265" s="332">
        <v>2</v>
      </c>
      <c r="G265" s="332"/>
      <c r="H265" s="332">
        <f t="shared" si="2"/>
        <v>0</v>
      </c>
      <c r="I265" s="333">
        <v>0.00168</v>
      </c>
      <c r="J265" s="334">
        <f t="shared" si="13"/>
        <v>0.00336</v>
      </c>
      <c r="K265" s="693">
        <v>1.8</v>
      </c>
      <c r="L265" s="693">
        <v>2</v>
      </c>
      <c r="M265" s="693">
        <f t="shared" si="10"/>
        <v>3.6</v>
      </c>
      <c r="N265" s="693">
        <f t="shared" si="11"/>
        <v>7.2</v>
      </c>
      <c r="O265" s="693">
        <f t="shared" si="12"/>
        <v>11.6</v>
      </c>
      <c r="P265" s="693">
        <f aca="true" t="shared" si="14" ref="P265:P271">F265*K265</f>
        <v>3.6</v>
      </c>
      <c r="Q265" s="694" t="s">
        <v>2058</v>
      </c>
      <c r="R265" s="694"/>
      <c r="S265" s="693">
        <v>12</v>
      </c>
      <c r="T265" s="509"/>
    </row>
    <row r="266" spans="1:20" s="22" customFormat="1" ht="30.75" customHeight="1">
      <c r="A266" s="196" t="s">
        <v>2229</v>
      </c>
      <c r="B266" s="197" t="s">
        <v>2230</v>
      </c>
      <c r="C266" s="199" t="s">
        <v>2231</v>
      </c>
      <c r="D266" s="919" t="s">
        <v>2232</v>
      </c>
      <c r="E266" s="198" t="s">
        <v>1831</v>
      </c>
      <c r="F266" s="332">
        <v>4</v>
      </c>
      <c r="G266" s="332"/>
      <c r="H266" s="332">
        <f t="shared" si="2"/>
        <v>0</v>
      </c>
      <c r="I266" s="333">
        <v>0.00168</v>
      </c>
      <c r="J266" s="334">
        <f t="shared" si="13"/>
        <v>0.00672</v>
      </c>
      <c r="K266" s="693">
        <v>1</v>
      </c>
      <c r="L266" s="693">
        <v>1</v>
      </c>
      <c r="M266" s="693">
        <f t="shared" si="10"/>
        <v>1</v>
      </c>
      <c r="N266" s="693">
        <f t="shared" si="11"/>
        <v>4</v>
      </c>
      <c r="O266" s="693">
        <f t="shared" si="12"/>
        <v>12</v>
      </c>
      <c r="P266" s="693">
        <f t="shared" si="14"/>
        <v>4</v>
      </c>
      <c r="Q266" s="694" t="s">
        <v>2058</v>
      </c>
      <c r="R266" s="694"/>
      <c r="S266" s="693">
        <v>8</v>
      </c>
      <c r="T266" s="509"/>
    </row>
    <row r="267" spans="1:20" s="22" customFormat="1" ht="39" customHeight="1">
      <c r="A267" s="196" t="s">
        <v>2233</v>
      </c>
      <c r="B267" s="197" t="s">
        <v>2234</v>
      </c>
      <c r="C267" s="199" t="s">
        <v>2235</v>
      </c>
      <c r="D267" s="919" t="s">
        <v>2125</v>
      </c>
      <c r="E267" s="198" t="s">
        <v>1831</v>
      </c>
      <c r="F267" s="332">
        <v>2</v>
      </c>
      <c r="G267" s="332"/>
      <c r="H267" s="332">
        <f t="shared" si="2"/>
        <v>0</v>
      </c>
      <c r="I267" s="333">
        <v>0.00168</v>
      </c>
      <c r="J267" s="334">
        <f t="shared" si="13"/>
        <v>0.00336</v>
      </c>
      <c r="K267" s="693">
        <v>1.6</v>
      </c>
      <c r="L267" s="693">
        <v>2</v>
      </c>
      <c r="M267" s="693">
        <f t="shared" si="10"/>
        <v>3.2</v>
      </c>
      <c r="N267" s="693">
        <f t="shared" si="11"/>
        <v>6.4</v>
      </c>
      <c r="O267" s="693">
        <f t="shared" si="12"/>
        <v>11.2</v>
      </c>
      <c r="P267" s="693">
        <f t="shared" si="14"/>
        <v>3.2</v>
      </c>
      <c r="Q267" s="694" t="s">
        <v>2063</v>
      </c>
      <c r="R267" s="694"/>
      <c r="S267" s="693">
        <v>12</v>
      </c>
      <c r="T267" s="509"/>
    </row>
    <row r="268" spans="1:20" s="22" customFormat="1" ht="20.25" customHeight="1">
      <c r="A268" s="196" t="s">
        <v>2236</v>
      </c>
      <c r="B268" s="197" t="s">
        <v>2237</v>
      </c>
      <c r="C268" s="197" t="s">
        <v>2238</v>
      </c>
      <c r="D268" s="919" t="s">
        <v>2239</v>
      </c>
      <c r="E268" s="198" t="s">
        <v>1831</v>
      </c>
      <c r="F268" s="332">
        <v>8</v>
      </c>
      <c r="G268" s="332"/>
      <c r="H268" s="332">
        <f>F268*G268</f>
        <v>0</v>
      </c>
      <c r="I268" s="333">
        <v>0.00168</v>
      </c>
      <c r="J268" s="334">
        <f t="shared" si="13"/>
        <v>0.01344</v>
      </c>
      <c r="K268" s="693">
        <v>0.6</v>
      </c>
      <c r="L268" s="693">
        <v>0.55</v>
      </c>
      <c r="M268" s="693">
        <f t="shared" si="10"/>
        <v>0.33</v>
      </c>
      <c r="N268" s="693">
        <f t="shared" si="11"/>
        <v>2.64</v>
      </c>
      <c r="O268" s="693">
        <f t="shared" si="12"/>
        <v>13.600000000000001</v>
      </c>
      <c r="P268" s="693">
        <f t="shared" si="14"/>
        <v>4.8</v>
      </c>
      <c r="Q268" s="694" t="s">
        <v>2063</v>
      </c>
      <c r="R268" s="509"/>
      <c r="S268" s="693">
        <v>8</v>
      </c>
      <c r="T268" s="509"/>
    </row>
    <row r="269" spans="1:20" s="22" customFormat="1" ht="20.25" customHeight="1">
      <c r="A269" s="196" t="s">
        <v>2240</v>
      </c>
      <c r="B269" s="197" t="s">
        <v>2241</v>
      </c>
      <c r="C269" s="197" t="s">
        <v>2107</v>
      </c>
      <c r="D269" s="919" t="s">
        <v>2239</v>
      </c>
      <c r="E269" s="198" t="s">
        <v>1831</v>
      </c>
      <c r="F269" s="332">
        <v>2</v>
      </c>
      <c r="G269" s="332"/>
      <c r="H269" s="332">
        <f>F269*G269</f>
        <v>0</v>
      </c>
      <c r="I269" s="333">
        <v>0.00168</v>
      </c>
      <c r="J269" s="334">
        <f t="shared" si="13"/>
        <v>0.00336</v>
      </c>
      <c r="K269" s="693">
        <v>0.6</v>
      </c>
      <c r="L269" s="693">
        <v>0.55</v>
      </c>
      <c r="M269" s="693">
        <f t="shared" si="10"/>
        <v>0.33</v>
      </c>
      <c r="N269" s="693">
        <f t="shared" si="11"/>
        <v>0.66</v>
      </c>
      <c r="O269" s="693">
        <f t="shared" si="12"/>
        <v>3.4000000000000004</v>
      </c>
      <c r="P269" s="693">
        <f t="shared" si="14"/>
        <v>1.2</v>
      </c>
      <c r="Q269" s="694" t="s">
        <v>2063</v>
      </c>
      <c r="R269" s="509"/>
      <c r="S269" s="693">
        <v>2</v>
      </c>
      <c r="T269" s="509"/>
    </row>
    <row r="270" spans="1:20" s="22" customFormat="1" ht="20.25" customHeight="1">
      <c r="A270" s="196" t="s">
        <v>2242</v>
      </c>
      <c r="B270" s="197" t="s">
        <v>2243</v>
      </c>
      <c r="C270" s="197" t="s">
        <v>2244</v>
      </c>
      <c r="D270" s="919" t="s">
        <v>2245</v>
      </c>
      <c r="E270" s="198" t="s">
        <v>1831</v>
      </c>
      <c r="F270" s="332">
        <v>4</v>
      </c>
      <c r="G270" s="332"/>
      <c r="H270" s="332">
        <f>F270*G270</f>
        <v>0</v>
      </c>
      <c r="I270" s="333">
        <v>0.00168</v>
      </c>
      <c r="J270" s="334">
        <f t="shared" si="13"/>
        <v>0.00672</v>
      </c>
      <c r="K270" s="693">
        <v>1.2</v>
      </c>
      <c r="L270" s="693">
        <v>0.55</v>
      </c>
      <c r="M270" s="693">
        <f t="shared" si="10"/>
        <v>0.66</v>
      </c>
      <c r="N270" s="693">
        <f t="shared" si="11"/>
        <v>2.64</v>
      </c>
      <c r="O270" s="693">
        <f t="shared" si="12"/>
        <v>9.2</v>
      </c>
      <c r="P270" s="693">
        <f t="shared" si="14"/>
        <v>4.8</v>
      </c>
      <c r="Q270" s="694" t="s">
        <v>2063</v>
      </c>
      <c r="R270" s="509"/>
      <c r="S270" s="693">
        <v>8</v>
      </c>
      <c r="T270" s="509"/>
    </row>
    <row r="271" spans="1:20" s="22" customFormat="1" ht="20.25" customHeight="1">
      <c r="A271" s="196" t="s">
        <v>2246</v>
      </c>
      <c r="B271" s="197" t="s">
        <v>2247</v>
      </c>
      <c r="C271" s="197" t="s">
        <v>2248</v>
      </c>
      <c r="D271" s="919" t="s">
        <v>2245</v>
      </c>
      <c r="E271" s="198" t="s">
        <v>1831</v>
      </c>
      <c r="F271" s="332">
        <v>4</v>
      </c>
      <c r="G271" s="332"/>
      <c r="H271" s="332">
        <f>F271*G271</f>
        <v>0</v>
      </c>
      <c r="I271" s="333">
        <v>0.00168</v>
      </c>
      <c r="J271" s="334">
        <f t="shared" si="13"/>
        <v>0.00672</v>
      </c>
      <c r="K271" s="693">
        <v>1.2</v>
      </c>
      <c r="L271" s="693">
        <v>0.55</v>
      </c>
      <c r="M271" s="693">
        <f t="shared" si="10"/>
        <v>0.66</v>
      </c>
      <c r="N271" s="693">
        <f t="shared" si="11"/>
        <v>2.64</v>
      </c>
      <c r="O271" s="693">
        <f t="shared" si="12"/>
        <v>9.2</v>
      </c>
      <c r="P271" s="693">
        <f t="shared" si="14"/>
        <v>4.8</v>
      </c>
      <c r="Q271" s="694" t="s">
        <v>2063</v>
      </c>
      <c r="R271" s="509"/>
      <c r="S271" s="693">
        <v>8</v>
      </c>
      <c r="T271" s="509"/>
    </row>
    <row r="272" spans="1:20" s="22" customFormat="1" ht="13.5" customHeight="1">
      <c r="A272" s="196"/>
      <c r="B272" s="197"/>
      <c r="C272" s="197"/>
      <c r="D272" s="919"/>
      <c r="E272" s="198"/>
      <c r="F272" s="332"/>
      <c r="G272" s="332"/>
      <c r="H272" s="332"/>
      <c r="I272" s="333"/>
      <c r="J272" s="334"/>
      <c r="K272" s="509"/>
      <c r="L272" s="509"/>
      <c r="M272" s="509"/>
      <c r="N272" s="509"/>
      <c r="O272" s="697">
        <f>SUM(O220:O271)</f>
        <v>1650.05</v>
      </c>
      <c r="P272" s="697">
        <f>SUM(P220:P271)</f>
        <v>381.8500000000001</v>
      </c>
      <c r="Q272" s="509"/>
      <c r="R272" s="509"/>
      <c r="S272" s="509"/>
      <c r="T272" s="509"/>
    </row>
    <row r="273" spans="1:20" s="22" customFormat="1" ht="20.25" customHeight="1">
      <c r="A273" s="196" t="s">
        <v>2249</v>
      </c>
      <c r="B273" s="197" t="s">
        <v>2250</v>
      </c>
      <c r="C273" s="197" t="s">
        <v>2251</v>
      </c>
      <c r="D273" s="919" t="s">
        <v>2761</v>
      </c>
      <c r="E273" s="198" t="s">
        <v>1826</v>
      </c>
      <c r="F273" s="332">
        <f>SUM(E274:E278)</f>
        <v>374.59999999999997</v>
      </c>
      <c r="G273" s="332"/>
      <c r="H273" s="332">
        <f>F273*G273</f>
        <v>0</v>
      </c>
      <c r="I273" s="333">
        <v>0.00222</v>
      </c>
      <c r="J273" s="334">
        <f>F273*I273</f>
        <v>0.831612</v>
      </c>
      <c r="K273" s="509"/>
      <c r="L273" s="509"/>
      <c r="M273" s="509"/>
      <c r="N273" s="509"/>
      <c r="O273" s="509"/>
      <c r="P273" s="509"/>
      <c r="Q273" s="509"/>
      <c r="R273" s="509"/>
      <c r="S273" s="509"/>
      <c r="T273" s="509"/>
    </row>
    <row r="274" spans="1:20" s="130" customFormat="1" ht="19.5" customHeight="1">
      <c r="A274" s="204"/>
      <c r="B274" s="205"/>
      <c r="C274" s="206" t="s">
        <v>2252</v>
      </c>
      <c r="D274" s="925"/>
      <c r="E274" s="207">
        <f>(1.3*8+1.3*6+0.8*2)</f>
        <v>19.800000000000004</v>
      </c>
      <c r="F274" s="335"/>
      <c r="G274" s="335"/>
      <c r="H274" s="335"/>
      <c r="I274" s="336"/>
      <c r="J274" s="337"/>
      <c r="K274" s="672"/>
      <c r="L274" s="672"/>
      <c r="M274" s="672"/>
      <c r="N274" s="672"/>
      <c r="O274" s="672"/>
      <c r="P274" s="672"/>
      <c r="Q274" s="673"/>
      <c r="R274" s="508"/>
      <c r="S274" s="672"/>
      <c r="T274" s="508"/>
    </row>
    <row r="275" spans="1:20" s="130" customFormat="1" ht="19.5" customHeight="1">
      <c r="A275" s="204"/>
      <c r="B275" s="205"/>
      <c r="C275" s="206" t="s">
        <v>2253</v>
      </c>
      <c r="D275" s="925"/>
      <c r="E275" s="207">
        <f>(1.2*13+1.2*11+1.2*8+1.2*10)</f>
        <v>50.4</v>
      </c>
      <c r="F275" s="335"/>
      <c r="G275" s="335"/>
      <c r="H275" s="335"/>
      <c r="I275" s="336"/>
      <c r="J275" s="337"/>
      <c r="K275" s="672"/>
      <c r="L275" s="672"/>
      <c r="M275" s="672"/>
      <c r="N275" s="672"/>
      <c r="O275" s="672"/>
      <c r="P275" s="672"/>
      <c r="Q275" s="673"/>
      <c r="R275" s="508"/>
      <c r="S275" s="672"/>
      <c r="T275" s="508"/>
    </row>
    <row r="276" spans="1:20" s="130" customFormat="1" ht="58.5" customHeight="1">
      <c r="A276" s="204"/>
      <c r="B276" s="205"/>
      <c r="C276" s="206" t="s">
        <v>2254</v>
      </c>
      <c r="D276" s="925"/>
      <c r="E276" s="207">
        <f>(0.6*4+2.05*5+1.35*2+1.2*4+1.2*5+1.6*3+1.6*10+1.6*16+0.6*12+1.2*7+1.2*7+1.2*4+1.8*4+1.8*2+1.6*1+1.6*11+1.6*17+0.6*12+1.8*4+1.8*2+1.6*9+1.6*11+0.6*2+0.6*8+1.8*4+1.8*2+0.6*8+0.6*2+1.2*4+1.2*4)</f>
        <v>240.95</v>
      </c>
      <c r="F276" s="335"/>
      <c r="G276" s="335"/>
      <c r="H276" s="335"/>
      <c r="I276" s="336"/>
      <c r="J276" s="337"/>
      <c r="K276" s="672"/>
      <c r="L276" s="672"/>
      <c r="M276" s="672"/>
      <c r="N276" s="672"/>
      <c r="O276" s="672"/>
      <c r="P276" s="672"/>
      <c r="Q276" s="673"/>
      <c r="R276" s="508"/>
      <c r="S276" s="672"/>
      <c r="T276" s="508"/>
    </row>
    <row r="277" spans="1:20" s="130" customFormat="1" ht="33.75" customHeight="1">
      <c r="A277" s="204"/>
      <c r="B277" s="205"/>
      <c r="C277" s="206" t="s">
        <v>2255</v>
      </c>
      <c r="D277" s="925"/>
      <c r="E277" s="207">
        <f>(2.05*1+1.8*4+1.8*3+1.35*2+1.3*3+1.2*1+1.8*6+1.8*1+1.6*2+1*2)</f>
        <v>40.25</v>
      </c>
      <c r="F277" s="335"/>
      <c r="G277" s="335"/>
      <c r="H277" s="335"/>
      <c r="I277" s="336"/>
      <c r="J277" s="337"/>
      <c r="K277" s="672"/>
      <c r="L277" s="672"/>
      <c r="M277" s="672"/>
      <c r="N277" s="672"/>
      <c r="O277" s="672"/>
      <c r="P277" s="672"/>
      <c r="Q277" s="673"/>
      <c r="R277" s="508"/>
      <c r="S277" s="672"/>
      <c r="T277" s="508"/>
    </row>
    <row r="278" spans="1:20" s="130" customFormat="1" ht="19.5" customHeight="1">
      <c r="A278" s="204"/>
      <c r="B278" s="205"/>
      <c r="C278" s="206" t="s">
        <v>2256</v>
      </c>
      <c r="D278" s="925"/>
      <c r="E278" s="207">
        <f>(1.6*1+1.6*12+1.2*2)</f>
        <v>23.200000000000003</v>
      </c>
      <c r="F278" s="335"/>
      <c r="G278" s="335"/>
      <c r="H278" s="335"/>
      <c r="I278" s="336"/>
      <c r="J278" s="337"/>
      <c r="K278" s="672"/>
      <c r="L278" s="672"/>
      <c r="M278" s="672"/>
      <c r="N278" s="672"/>
      <c r="O278" s="672"/>
      <c r="P278" s="672"/>
      <c r="Q278" s="673"/>
      <c r="R278" s="508"/>
      <c r="S278" s="672"/>
      <c r="T278" s="508"/>
    </row>
    <row r="279" spans="1:20" s="22" customFormat="1" ht="24" customHeight="1">
      <c r="A279" s="196" t="s">
        <v>2257</v>
      </c>
      <c r="B279" s="197"/>
      <c r="C279" s="199" t="s">
        <v>2258</v>
      </c>
      <c r="D279" s="919" t="s">
        <v>2761</v>
      </c>
      <c r="E279" s="198"/>
      <c r="F279" s="332"/>
      <c r="G279" s="332"/>
      <c r="H279" s="332"/>
      <c r="I279" s="333"/>
      <c r="J279" s="334"/>
      <c r="K279" s="693"/>
      <c r="L279" s="693"/>
      <c r="M279" s="693"/>
      <c r="N279" s="693"/>
      <c r="O279" s="693"/>
      <c r="P279" s="693"/>
      <c r="Q279" s="694"/>
      <c r="R279" s="509"/>
      <c r="S279" s="693"/>
      <c r="T279" s="509"/>
    </row>
    <row r="280" spans="1:20" s="22" customFormat="1" ht="20.25" customHeight="1">
      <c r="A280" s="196" t="s">
        <v>2259</v>
      </c>
      <c r="B280" s="197" t="s">
        <v>2260</v>
      </c>
      <c r="C280" s="197" t="s">
        <v>2261</v>
      </c>
      <c r="D280" s="919" t="s">
        <v>2762</v>
      </c>
      <c r="E280" s="198" t="s">
        <v>1826</v>
      </c>
      <c r="F280" s="332">
        <f>E281</f>
        <v>21.780000000000005</v>
      </c>
      <c r="G280" s="332"/>
      <c r="H280" s="332">
        <f>F280*G280</f>
        <v>0</v>
      </c>
      <c r="I280" s="333">
        <v>0.0052</v>
      </c>
      <c r="J280" s="334">
        <f>F280*I280</f>
        <v>0.11325600000000002</v>
      </c>
      <c r="K280" s="509"/>
      <c r="L280" s="509"/>
      <c r="M280" s="509"/>
      <c r="N280" s="509"/>
      <c r="O280" s="509"/>
      <c r="P280" s="509"/>
      <c r="Q280" s="509"/>
      <c r="R280" s="509"/>
      <c r="S280" s="509"/>
      <c r="T280" s="509"/>
    </row>
    <row r="281" spans="1:20" s="130" customFormat="1" ht="19.5" customHeight="1">
      <c r="A281" s="204"/>
      <c r="B281" s="205"/>
      <c r="C281" s="206" t="s">
        <v>2262</v>
      </c>
      <c r="D281" s="925"/>
      <c r="E281" s="207">
        <f>(1.3*8+1.3*6+0.8*2)*1.1</f>
        <v>21.780000000000005</v>
      </c>
      <c r="F281" s="335"/>
      <c r="G281" s="335"/>
      <c r="H281" s="335"/>
      <c r="I281" s="336"/>
      <c r="J281" s="337"/>
      <c r="K281" s="672"/>
      <c r="L281" s="672"/>
      <c r="M281" s="672"/>
      <c r="N281" s="672"/>
      <c r="O281" s="672"/>
      <c r="P281" s="672"/>
      <c r="Q281" s="673"/>
      <c r="R281" s="508"/>
      <c r="S281" s="672"/>
      <c r="T281" s="508"/>
    </row>
    <row r="282" spans="1:20" s="22" customFormat="1" ht="20.25" customHeight="1">
      <c r="A282" s="196" t="s">
        <v>2263</v>
      </c>
      <c r="B282" s="197" t="s">
        <v>2264</v>
      </c>
      <c r="C282" s="197" t="s">
        <v>2265</v>
      </c>
      <c r="D282" s="919" t="s">
        <v>2762</v>
      </c>
      <c r="E282" s="198" t="s">
        <v>1826</v>
      </c>
      <c r="F282" s="332">
        <f>E283</f>
        <v>55.440000000000005</v>
      </c>
      <c r="G282" s="332"/>
      <c r="H282" s="332">
        <f>F282*G282</f>
        <v>0</v>
      </c>
      <c r="I282" s="333">
        <v>0.00325</v>
      </c>
      <c r="J282" s="334">
        <f>F282*I282</f>
        <v>0.18018</v>
      </c>
      <c r="K282" s="509"/>
      <c r="L282" s="509"/>
      <c r="M282" s="509"/>
      <c r="N282" s="509"/>
      <c r="O282" s="509"/>
      <c r="P282" s="509"/>
      <c r="Q282" s="509"/>
      <c r="R282" s="509"/>
      <c r="S282" s="509"/>
      <c r="T282" s="509"/>
    </row>
    <row r="283" spans="1:20" s="130" customFormat="1" ht="19.5" customHeight="1">
      <c r="A283" s="204"/>
      <c r="B283" s="205"/>
      <c r="C283" s="206" t="s">
        <v>2266</v>
      </c>
      <c r="D283" s="925"/>
      <c r="E283" s="207">
        <f>(1.2*13+1.2*11+1.2*8+1.2*10)*1.1</f>
        <v>55.440000000000005</v>
      </c>
      <c r="F283" s="335"/>
      <c r="G283" s="335"/>
      <c r="H283" s="335"/>
      <c r="I283" s="336"/>
      <c r="J283" s="337"/>
      <c r="K283" s="672"/>
      <c r="L283" s="672"/>
      <c r="M283" s="672"/>
      <c r="N283" s="672"/>
      <c r="O283" s="672"/>
      <c r="P283" s="672"/>
      <c r="Q283" s="673"/>
      <c r="R283" s="508"/>
      <c r="S283" s="672"/>
      <c r="T283" s="508"/>
    </row>
    <row r="284" spans="1:20" s="22" customFormat="1" ht="20.25" customHeight="1">
      <c r="A284" s="196" t="s">
        <v>2267</v>
      </c>
      <c r="B284" s="197" t="s">
        <v>2268</v>
      </c>
      <c r="C284" s="197" t="s">
        <v>2269</v>
      </c>
      <c r="D284" s="919" t="s">
        <v>2762</v>
      </c>
      <c r="E284" s="198" t="s">
        <v>1826</v>
      </c>
      <c r="F284" s="332">
        <f>E285</f>
        <v>265.045</v>
      </c>
      <c r="G284" s="332"/>
      <c r="H284" s="332">
        <f>F284*G284</f>
        <v>0</v>
      </c>
      <c r="I284" s="333">
        <v>0.0052</v>
      </c>
      <c r="J284" s="334">
        <f>F284*I284</f>
        <v>1.378234</v>
      </c>
      <c r="K284" s="693"/>
      <c r="L284" s="693"/>
      <c r="M284" s="693"/>
      <c r="N284" s="693"/>
      <c r="O284" s="693"/>
      <c r="P284" s="693"/>
      <c r="Q284" s="694"/>
      <c r="R284" s="509"/>
      <c r="S284" s="693"/>
      <c r="T284" s="509"/>
    </row>
    <row r="285" spans="1:20" s="130" customFormat="1" ht="58.5" customHeight="1">
      <c r="A285" s="204"/>
      <c r="B285" s="205"/>
      <c r="C285" s="206" t="s">
        <v>2270</v>
      </c>
      <c r="D285" s="925"/>
      <c r="E285" s="207">
        <f>(0.6*4+2.05*5+1.35*2+1.2*4+1.2*5+1.6*3+1.6*10+1.6*16+0.6*12+1.2*7+1.2*7+1.2*4+1.8*4+1.8*2+1.6*1+1.6*11+1.6*17+0.6*12+1.8*4+1.8*2+1.6*9+1.6*11+0.6*2+0.6*8+1.8*4+1.8*2+0.6*8+0.6*2+1.2*4+1.2*4)*1.1</f>
        <v>265.045</v>
      </c>
      <c r="F285" s="335"/>
      <c r="G285" s="335"/>
      <c r="H285" s="335"/>
      <c r="I285" s="336"/>
      <c r="J285" s="337"/>
      <c r="K285" s="672"/>
      <c r="L285" s="672"/>
      <c r="M285" s="672"/>
      <c r="N285" s="672"/>
      <c r="O285" s="672"/>
      <c r="P285" s="672"/>
      <c r="Q285" s="673"/>
      <c r="R285" s="508"/>
      <c r="S285" s="672"/>
      <c r="T285" s="508"/>
    </row>
    <row r="286" spans="1:20" s="22" customFormat="1" ht="20.25" customHeight="1">
      <c r="A286" s="196" t="s">
        <v>2271</v>
      </c>
      <c r="B286" s="197" t="s">
        <v>2272</v>
      </c>
      <c r="C286" s="197" t="s">
        <v>2273</v>
      </c>
      <c r="D286" s="919" t="s">
        <v>2762</v>
      </c>
      <c r="E286" s="198" t="s">
        <v>1826</v>
      </c>
      <c r="F286" s="332">
        <f>E287</f>
        <v>44.275000000000006</v>
      </c>
      <c r="G286" s="332"/>
      <c r="H286" s="332">
        <f>F286*G286</f>
        <v>0</v>
      </c>
      <c r="I286" s="333">
        <v>0.0052</v>
      </c>
      <c r="J286" s="334">
        <f>F286*I286</f>
        <v>0.23023000000000002</v>
      </c>
      <c r="K286" s="693"/>
      <c r="L286" s="693"/>
      <c r="M286" s="693"/>
      <c r="N286" s="693"/>
      <c r="O286" s="693"/>
      <c r="P286" s="693"/>
      <c r="Q286" s="694"/>
      <c r="R286" s="509"/>
      <c r="S286" s="693"/>
      <c r="T286" s="509"/>
    </row>
    <row r="287" spans="1:20" s="130" customFormat="1" ht="40.5" customHeight="1">
      <c r="A287" s="204"/>
      <c r="B287" s="205"/>
      <c r="C287" s="206" t="s">
        <v>2274</v>
      </c>
      <c r="D287" s="925"/>
      <c r="E287" s="207">
        <f>(2.05*1+1.8*4+1.8*3+1.35*2+1.3*3+1.2*1+1.8*6+1.8*1+1.6*2+1*2)*1.1</f>
        <v>44.275000000000006</v>
      </c>
      <c r="F287" s="335"/>
      <c r="G287" s="335"/>
      <c r="H287" s="335"/>
      <c r="I287" s="336"/>
      <c r="J287" s="337"/>
      <c r="K287" s="672"/>
      <c r="L287" s="672"/>
      <c r="M287" s="672"/>
      <c r="N287" s="672"/>
      <c r="O287" s="672"/>
      <c r="P287" s="672"/>
      <c r="Q287" s="673"/>
      <c r="R287" s="508"/>
      <c r="S287" s="672"/>
      <c r="T287" s="508"/>
    </row>
    <row r="288" spans="1:20" s="22" customFormat="1" ht="20.25" customHeight="1">
      <c r="A288" s="196" t="s">
        <v>2275</v>
      </c>
      <c r="B288" s="197" t="s">
        <v>2276</v>
      </c>
      <c r="C288" s="197" t="s">
        <v>2277</v>
      </c>
      <c r="D288" s="919" t="s">
        <v>2762</v>
      </c>
      <c r="E288" s="198" t="s">
        <v>1826</v>
      </c>
      <c r="F288" s="332">
        <f>E289</f>
        <v>25.520000000000007</v>
      </c>
      <c r="G288" s="332"/>
      <c r="H288" s="332">
        <f>F288*G288</f>
        <v>0</v>
      </c>
      <c r="I288" s="333">
        <v>0.0078</v>
      </c>
      <c r="J288" s="334">
        <f>F288*I288</f>
        <v>0.19905600000000004</v>
      </c>
      <c r="K288" s="509"/>
      <c r="L288" s="509"/>
      <c r="M288" s="509"/>
      <c r="N288" s="509"/>
      <c r="O288" s="509"/>
      <c r="P288" s="509"/>
      <c r="Q288" s="509"/>
      <c r="R288" s="509"/>
      <c r="S288" s="509"/>
      <c r="T288" s="509"/>
    </row>
    <row r="289" spans="1:20" s="130" customFormat="1" ht="19.5" customHeight="1">
      <c r="A289" s="204"/>
      <c r="B289" s="205"/>
      <c r="C289" s="206" t="s">
        <v>2278</v>
      </c>
      <c r="D289" s="925"/>
      <c r="E289" s="207">
        <f>(1.6*1+1.6*12+1.2*2)*1.1</f>
        <v>25.520000000000007</v>
      </c>
      <c r="F289" s="335"/>
      <c r="G289" s="335"/>
      <c r="H289" s="335"/>
      <c r="I289" s="336"/>
      <c r="J289" s="337"/>
      <c r="K289" s="672"/>
      <c r="L289" s="672"/>
      <c r="M289" s="672"/>
      <c r="N289" s="672"/>
      <c r="O289" s="672"/>
      <c r="P289" s="672"/>
      <c r="Q289" s="673"/>
      <c r="R289" s="508"/>
      <c r="S289" s="672"/>
      <c r="T289" s="508"/>
    </row>
    <row r="290" spans="1:20" s="499" customFormat="1" ht="30" customHeight="1">
      <c r="A290" s="492" t="s">
        <v>2279</v>
      </c>
      <c r="B290" s="493" t="s">
        <v>2280</v>
      </c>
      <c r="C290" s="494" t="s">
        <v>2281</v>
      </c>
      <c r="D290" s="919"/>
      <c r="E290" s="495" t="s">
        <v>1826</v>
      </c>
      <c r="F290" s="496">
        <f>E291</f>
        <v>1685.82</v>
      </c>
      <c r="G290" s="496"/>
      <c r="H290" s="496">
        <f>F290*G290</f>
        <v>0</v>
      </c>
      <c r="I290" s="497">
        <v>4E-05</v>
      </c>
      <c r="J290" s="498">
        <f>F290*I290</f>
        <v>0.0674328</v>
      </c>
      <c r="K290" s="698"/>
      <c r="L290" s="698"/>
      <c r="M290" s="698"/>
      <c r="N290" s="698"/>
      <c r="O290" s="693"/>
      <c r="P290" s="698"/>
      <c r="Q290" s="699"/>
      <c r="R290" s="700"/>
      <c r="S290" s="700"/>
      <c r="T290" s="700"/>
    </row>
    <row r="291" spans="1:20" s="506" customFormat="1" ht="87" customHeight="1">
      <c r="A291" s="500"/>
      <c r="B291" s="501"/>
      <c r="C291" s="510" t="s">
        <v>2282</v>
      </c>
      <c r="D291" s="925"/>
      <c r="E291" s="502">
        <f>14.4+4.65+23.25+7.35+33.2+24.9+11.1+11.1+21.6+27+17.4+13.8+4.6+3.3+68.4+10.6+74+118.4+60+49+49+16.4+29.6+15.2+40+30+10+4.8+78.1+120.7+56.4+29.2+14.6+87.1+73.7+40.8+6.8+14.6+41.6+52+50.4+61.6+7.2+28.8+23.2+11.6+12+11.2+13.6+3.4+9.2+9.2+5.25+7.46+8.1+14.96</f>
        <v>1685.82</v>
      </c>
      <c r="F291" s="503"/>
      <c r="G291" s="503"/>
      <c r="H291" s="503"/>
      <c r="I291" s="504"/>
      <c r="J291" s="505"/>
      <c r="K291" s="701"/>
      <c r="L291" s="701"/>
      <c r="M291" s="701"/>
      <c r="N291" s="701"/>
      <c r="O291" s="693"/>
      <c r="P291" s="701"/>
      <c r="Q291" s="702"/>
      <c r="R291" s="703"/>
      <c r="S291" s="703"/>
      <c r="T291" s="703"/>
    </row>
    <row r="292" spans="1:20" s="499" customFormat="1" ht="41.25" customHeight="1">
      <c r="A292" s="492" t="s">
        <v>2283</v>
      </c>
      <c r="B292" s="493" t="s">
        <v>2284</v>
      </c>
      <c r="C292" s="494" t="s">
        <v>2285</v>
      </c>
      <c r="D292" s="919" t="s">
        <v>2761</v>
      </c>
      <c r="E292" s="495" t="s">
        <v>1826</v>
      </c>
      <c r="F292" s="496">
        <f>E293</f>
        <v>387.9100000000001</v>
      </c>
      <c r="G292" s="496"/>
      <c r="H292" s="496">
        <f>F292*G292</f>
        <v>0</v>
      </c>
      <c r="I292" s="497">
        <v>0.00016</v>
      </c>
      <c r="J292" s="498">
        <f>F292*I292</f>
        <v>0.06206560000000002</v>
      </c>
      <c r="K292" s="698"/>
      <c r="L292" s="698"/>
      <c r="M292" s="698"/>
      <c r="N292" s="698"/>
      <c r="O292" s="693"/>
      <c r="P292" s="693"/>
      <c r="Q292" s="699"/>
      <c r="R292" s="700"/>
      <c r="S292" s="700"/>
      <c r="T292" s="700"/>
    </row>
    <row r="293" spans="1:20" s="506" customFormat="1" ht="67.5" customHeight="1">
      <c r="A293" s="500"/>
      <c r="B293" s="501"/>
      <c r="C293" s="510" t="s">
        <v>2286</v>
      </c>
      <c r="D293" s="925"/>
      <c r="E293" s="502">
        <f>2.4+2.05+10.25+2.35+7.2+5.4+2.7+2.7+4.8+6+4.8+3.9+1.3+1.6+19.2+2.4+16+25.6+7.2+8.4+8.4+4.8+6.4+3.6+10.4+7.8+1.6+1.6+17.6+27.2+7.2+7.2+3.6+15.6+13.2+10.8+1.8+3.6+9.6+12+14.4+17.6+1.2+4.8+7.2+3.6+4+3.2+4.8+1.2+4.8+4.8+2.3+3.76</f>
        <v>387.9100000000001</v>
      </c>
      <c r="F293" s="503"/>
      <c r="G293" s="503"/>
      <c r="H293" s="503"/>
      <c r="I293" s="504"/>
      <c r="J293" s="505"/>
      <c r="K293" s="701"/>
      <c r="L293" s="701"/>
      <c r="M293" s="701"/>
      <c r="N293" s="701"/>
      <c r="O293" s="509"/>
      <c r="P293" s="509"/>
      <c r="Q293" s="702"/>
      <c r="R293" s="703"/>
      <c r="S293" s="703"/>
      <c r="T293" s="703"/>
    </row>
    <row r="294" spans="1:20" s="22" customFormat="1" ht="12" customHeight="1">
      <c r="A294" s="196"/>
      <c r="B294" s="197"/>
      <c r="C294" s="197"/>
      <c r="D294" s="1105"/>
      <c r="E294" s="198"/>
      <c r="F294" s="332"/>
      <c r="G294" s="332"/>
      <c r="H294" s="332"/>
      <c r="I294" s="333"/>
      <c r="J294" s="334"/>
      <c r="K294" s="509"/>
      <c r="L294" s="509"/>
      <c r="M294" s="509"/>
      <c r="N294" s="509"/>
      <c r="O294" s="509"/>
      <c r="P294" s="509"/>
      <c r="Q294" s="509"/>
      <c r="R294" s="509"/>
      <c r="S294" s="509"/>
      <c r="T294" s="509"/>
    </row>
    <row r="295" spans="1:19" s="1119" customFormat="1" ht="31.5" customHeight="1">
      <c r="A295" s="1110" t="s">
        <v>2889</v>
      </c>
      <c r="B295" s="1111" t="s">
        <v>2060</v>
      </c>
      <c r="C295" s="1112" t="s">
        <v>2890</v>
      </c>
      <c r="D295" s="1140" t="s">
        <v>2062</v>
      </c>
      <c r="E295" s="1113" t="s">
        <v>1748</v>
      </c>
      <c r="F295" s="1114">
        <v>2.67</v>
      </c>
      <c r="G295" s="1114"/>
      <c r="H295" s="1114">
        <f aca="true" t="shared" si="15" ref="H295:H310">F295*G295</f>
        <v>0</v>
      </c>
      <c r="I295" s="1115">
        <v>0.00196</v>
      </c>
      <c r="J295" s="1116">
        <f aca="true" t="shared" si="16" ref="J295:J310">F295*I295</f>
        <v>0.0052331999999999995</v>
      </c>
      <c r="K295" s="1117"/>
      <c r="L295" s="1117"/>
      <c r="M295" s="1117"/>
      <c r="N295" s="1117"/>
      <c r="O295" s="1117"/>
      <c r="P295" s="1117"/>
      <c r="Q295" s="1118"/>
      <c r="R295" s="1118"/>
      <c r="S295" s="1117"/>
    </row>
    <row r="296" spans="1:19" s="1119" customFormat="1" ht="27.75" customHeight="1">
      <c r="A296" s="1110" t="s">
        <v>2891</v>
      </c>
      <c r="B296" s="1111" t="s">
        <v>2066</v>
      </c>
      <c r="C296" s="1112" t="s">
        <v>2892</v>
      </c>
      <c r="D296" s="1140" t="s">
        <v>2062</v>
      </c>
      <c r="E296" s="1113" t="s">
        <v>1748</v>
      </c>
      <c r="F296" s="1114">
        <f>2.05*1.3*2</f>
        <v>5.33</v>
      </c>
      <c r="G296" s="1114"/>
      <c r="H296" s="1114">
        <f t="shared" si="15"/>
        <v>0</v>
      </c>
      <c r="I296" s="1115">
        <v>0.00196</v>
      </c>
      <c r="J296" s="1116">
        <f t="shared" si="16"/>
        <v>0.0104468</v>
      </c>
      <c r="K296" s="1117"/>
      <c r="L296" s="1117"/>
      <c r="M296" s="1117"/>
      <c r="N296" s="1117"/>
      <c r="O296" s="1117"/>
      <c r="P296" s="1117"/>
      <c r="Q296" s="1118"/>
      <c r="R296" s="1118"/>
      <c r="S296" s="1117"/>
    </row>
    <row r="297" spans="1:19" s="1119" customFormat="1" ht="31.5" customHeight="1">
      <c r="A297" s="1110" t="s">
        <v>2893</v>
      </c>
      <c r="B297" s="1111" t="s">
        <v>2070</v>
      </c>
      <c r="C297" s="1112" t="s">
        <v>2894</v>
      </c>
      <c r="D297" s="1140" t="s">
        <v>2072</v>
      </c>
      <c r="E297" s="1113" t="s">
        <v>1748</v>
      </c>
      <c r="F297" s="1114">
        <f>2.35*2.5*1</f>
        <v>5.875</v>
      </c>
      <c r="G297" s="1114"/>
      <c r="H297" s="1114">
        <f t="shared" si="15"/>
        <v>0</v>
      </c>
      <c r="I297" s="1115">
        <v>0.00196</v>
      </c>
      <c r="J297" s="1116">
        <f t="shared" si="16"/>
        <v>0.011515</v>
      </c>
      <c r="K297" s="1117"/>
      <c r="L297" s="1117"/>
      <c r="M297" s="1117"/>
      <c r="N297" s="1117"/>
      <c r="O297" s="1117"/>
      <c r="P297" s="1117"/>
      <c r="Q297" s="1118"/>
      <c r="R297" s="1118"/>
      <c r="S297" s="1117"/>
    </row>
    <row r="298" spans="1:19" s="1119" customFormat="1" ht="32.25" customHeight="1">
      <c r="A298" s="1110" t="s">
        <v>2895</v>
      </c>
      <c r="B298" s="1111" t="s">
        <v>2082</v>
      </c>
      <c r="C298" s="1112" t="s">
        <v>2892</v>
      </c>
      <c r="D298" s="1140" t="s">
        <v>2084</v>
      </c>
      <c r="E298" s="1113" t="s">
        <v>1748</v>
      </c>
      <c r="F298" s="1114">
        <f>1.35*2.1*2</f>
        <v>5.670000000000001</v>
      </c>
      <c r="G298" s="1114"/>
      <c r="H298" s="1114">
        <f t="shared" si="15"/>
        <v>0</v>
      </c>
      <c r="I298" s="1115">
        <v>0.00196</v>
      </c>
      <c r="J298" s="1116">
        <f t="shared" si="16"/>
        <v>0.011113200000000002</v>
      </c>
      <c r="K298" s="1117"/>
      <c r="L298" s="1117"/>
      <c r="M298" s="1117"/>
      <c r="N298" s="1117"/>
      <c r="O298" s="1117"/>
      <c r="P298" s="1117"/>
      <c r="Q298" s="1118"/>
      <c r="R298" s="1118"/>
      <c r="S298" s="1117"/>
    </row>
    <row r="299" spans="1:19" s="1119" customFormat="1" ht="37.5" customHeight="1">
      <c r="A299" s="1110" t="s">
        <v>2896</v>
      </c>
      <c r="B299" s="1111" t="s">
        <v>2090</v>
      </c>
      <c r="C299" s="1112" t="s">
        <v>2890</v>
      </c>
      <c r="D299" s="1140" t="s">
        <v>2092</v>
      </c>
      <c r="E299" s="1113" t="s">
        <v>1748</v>
      </c>
      <c r="F299" s="1114">
        <f>1.2*2.1*1</f>
        <v>2.52</v>
      </c>
      <c r="G299" s="1114"/>
      <c r="H299" s="1114">
        <f t="shared" si="15"/>
        <v>0</v>
      </c>
      <c r="I299" s="1115">
        <v>0.00196</v>
      </c>
      <c r="J299" s="1116">
        <f t="shared" si="16"/>
        <v>0.0049391999999999995</v>
      </c>
      <c r="K299" s="1117"/>
      <c r="L299" s="1117"/>
      <c r="M299" s="1117"/>
      <c r="N299" s="1117"/>
      <c r="O299" s="1117"/>
      <c r="P299" s="1117"/>
      <c r="Q299" s="1118"/>
      <c r="R299" s="1118"/>
      <c r="S299" s="1117"/>
    </row>
    <row r="300" spans="1:19" s="1119" customFormat="1" ht="38.25" customHeight="1">
      <c r="A300" s="1110" t="s">
        <v>2897</v>
      </c>
      <c r="B300" s="1111" t="s">
        <v>2094</v>
      </c>
      <c r="C300" s="1112" t="s">
        <v>2898</v>
      </c>
      <c r="D300" s="1140" t="s">
        <v>2092</v>
      </c>
      <c r="E300" s="1113" t="s">
        <v>1748</v>
      </c>
      <c r="F300" s="1114">
        <f>1.2*2.1*3</f>
        <v>7.5600000000000005</v>
      </c>
      <c r="G300" s="1114"/>
      <c r="H300" s="1114">
        <f t="shared" si="15"/>
        <v>0</v>
      </c>
      <c r="I300" s="1115">
        <v>0.00196</v>
      </c>
      <c r="J300" s="1116">
        <f t="shared" si="16"/>
        <v>0.0148176</v>
      </c>
      <c r="K300" s="1117"/>
      <c r="L300" s="1117"/>
      <c r="M300" s="1117"/>
      <c r="N300" s="1117"/>
      <c r="O300" s="1117"/>
      <c r="P300" s="1117"/>
      <c r="Q300" s="1118"/>
      <c r="R300" s="1118"/>
      <c r="S300" s="1117"/>
    </row>
    <row r="301" spans="1:19" s="1119" customFormat="1" ht="38.25" customHeight="1">
      <c r="A301" s="1110" t="s">
        <v>2899</v>
      </c>
      <c r="B301" s="1111" t="s">
        <v>2098</v>
      </c>
      <c r="C301" s="1112" t="s">
        <v>2900</v>
      </c>
      <c r="D301" s="1140" t="s">
        <v>2100</v>
      </c>
      <c r="E301" s="1113" t="s">
        <v>1748</v>
      </c>
      <c r="F301" s="1114">
        <f>1.6*2.1*2</f>
        <v>6.720000000000001</v>
      </c>
      <c r="G301" s="1114"/>
      <c r="H301" s="1114">
        <f t="shared" si="15"/>
        <v>0</v>
      </c>
      <c r="I301" s="1115">
        <v>0.00196</v>
      </c>
      <c r="J301" s="1116">
        <f t="shared" si="16"/>
        <v>0.013171200000000001</v>
      </c>
      <c r="K301" s="1117"/>
      <c r="L301" s="1117"/>
      <c r="M301" s="1117"/>
      <c r="N301" s="1117"/>
      <c r="O301" s="1117"/>
      <c r="P301" s="1117"/>
      <c r="Q301" s="1118"/>
      <c r="R301" s="1118"/>
      <c r="S301" s="1117"/>
    </row>
    <row r="302" spans="1:19" s="1119" customFormat="1" ht="42" customHeight="1">
      <c r="A302" s="1110" t="s">
        <v>2901</v>
      </c>
      <c r="B302" s="1111" t="s">
        <v>2123</v>
      </c>
      <c r="C302" s="1112" t="s">
        <v>2902</v>
      </c>
      <c r="D302" s="1140" t="s">
        <v>2125</v>
      </c>
      <c r="E302" s="1113" t="s">
        <v>1748</v>
      </c>
      <c r="F302" s="1114">
        <f>1.6*2.9*8</f>
        <v>37.12</v>
      </c>
      <c r="G302" s="1114"/>
      <c r="H302" s="1114">
        <f t="shared" si="15"/>
        <v>0</v>
      </c>
      <c r="I302" s="1115">
        <v>0.00196</v>
      </c>
      <c r="J302" s="1116">
        <f t="shared" si="16"/>
        <v>0.07275519999999999</v>
      </c>
      <c r="K302" s="1117"/>
      <c r="L302" s="1117"/>
      <c r="M302" s="1117"/>
      <c r="N302" s="1117"/>
      <c r="O302" s="1117"/>
      <c r="P302" s="1117"/>
      <c r="Q302" s="1118"/>
      <c r="R302" s="1118"/>
      <c r="S302" s="1117"/>
    </row>
    <row r="303" spans="1:19" s="1119" customFormat="1" ht="34.5" customHeight="1">
      <c r="A303" s="1110" t="s">
        <v>2903</v>
      </c>
      <c r="B303" s="1111" t="s">
        <v>2128</v>
      </c>
      <c r="C303" s="1112" t="s">
        <v>2904</v>
      </c>
      <c r="D303" s="1140" t="s">
        <v>2125</v>
      </c>
      <c r="E303" s="1113" t="s">
        <v>1748</v>
      </c>
      <c r="F303" s="1114">
        <f>1.6*2.9*14</f>
        <v>64.96</v>
      </c>
      <c r="G303" s="1114"/>
      <c r="H303" s="1114">
        <f t="shared" si="15"/>
        <v>0</v>
      </c>
      <c r="I303" s="1115">
        <v>0.00196</v>
      </c>
      <c r="J303" s="1116">
        <f t="shared" si="16"/>
        <v>0.12732159999999998</v>
      </c>
      <c r="K303" s="1117"/>
      <c r="L303" s="1117"/>
      <c r="M303" s="1117"/>
      <c r="N303" s="1117"/>
      <c r="O303" s="1117"/>
      <c r="P303" s="1117"/>
      <c r="Q303" s="1118"/>
      <c r="R303" s="1118"/>
      <c r="S303" s="1117"/>
    </row>
    <row r="304" spans="1:19" s="1119" customFormat="1" ht="35.25" customHeight="1">
      <c r="A304" s="1110" t="s">
        <v>2905</v>
      </c>
      <c r="B304" s="1111" t="s">
        <v>2135</v>
      </c>
      <c r="C304" s="1112" t="s">
        <v>2906</v>
      </c>
      <c r="D304" s="1140" t="s">
        <v>2137</v>
      </c>
      <c r="E304" s="1113" t="s">
        <v>1748</v>
      </c>
      <c r="F304" s="1114">
        <f>1.2*2.9*7</f>
        <v>24.36</v>
      </c>
      <c r="G304" s="1114"/>
      <c r="H304" s="1114">
        <f t="shared" si="15"/>
        <v>0</v>
      </c>
      <c r="I304" s="1115">
        <v>0.00196</v>
      </c>
      <c r="J304" s="1116">
        <f t="shared" si="16"/>
        <v>0.0477456</v>
      </c>
      <c r="K304" s="1117"/>
      <c r="L304" s="1117"/>
      <c r="M304" s="1117"/>
      <c r="N304" s="1117"/>
      <c r="O304" s="1117"/>
      <c r="P304" s="1117"/>
      <c r="Q304" s="1118"/>
      <c r="R304" s="1118"/>
      <c r="S304" s="1117"/>
    </row>
    <row r="305" spans="1:19" s="1119" customFormat="1" ht="32.25" customHeight="1">
      <c r="A305" s="1110" t="s">
        <v>2907</v>
      </c>
      <c r="B305" s="1111" t="s">
        <v>2140</v>
      </c>
      <c r="C305" s="1112" t="s">
        <v>2906</v>
      </c>
      <c r="D305" s="1140" t="s">
        <v>2137</v>
      </c>
      <c r="E305" s="1113" t="s">
        <v>1748</v>
      </c>
      <c r="F305" s="1114">
        <f>1.2*2.9*7</f>
        <v>24.36</v>
      </c>
      <c r="G305" s="1114"/>
      <c r="H305" s="1114">
        <f t="shared" si="15"/>
        <v>0</v>
      </c>
      <c r="I305" s="1115">
        <v>0.00196</v>
      </c>
      <c r="J305" s="1116">
        <f t="shared" si="16"/>
        <v>0.0477456</v>
      </c>
      <c r="K305" s="1117"/>
      <c r="L305" s="1117"/>
      <c r="M305" s="1117"/>
      <c r="N305" s="1117"/>
      <c r="O305" s="1117"/>
      <c r="P305" s="1117"/>
      <c r="Q305" s="1118"/>
      <c r="R305" s="1118"/>
      <c r="S305" s="1117"/>
    </row>
    <row r="306" spans="1:19" s="1119" customFormat="1" ht="27.75" customHeight="1">
      <c r="A306" s="1110" t="s">
        <v>2908</v>
      </c>
      <c r="B306" s="1111" t="s">
        <v>2153</v>
      </c>
      <c r="C306" s="1112" t="s">
        <v>2909</v>
      </c>
      <c r="D306" s="1140" t="s">
        <v>2155</v>
      </c>
      <c r="E306" s="1113" t="s">
        <v>1748</v>
      </c>
      <c r="F306" s="1114">
        <f>8*1.3*1.85</f>
        <v>19.240000000000002</v>
      </c>
      <c r="G306" s="1114"/>
      <c r="H306" s="1114">
        <f t="shared" si="15"/>
        <v>0</v>
      </c>
      <c r="I306" s="1115">
        <v>0.00196</v>
      </c>
      <c r="J306" s="1116">
        <f t="shared" si="16"/>
        <v>0.037710400000000005</v>
      </c>
      <c r="K306" s="1117"/>
      <c r="L306" s="1117"/>
      <c r="M306" s="1117"/>
      <c r="N306" s="1117"/>
      <c r="O306" s="1117"/>
      <c r="P306" s="1117"/>
      <c r="Q306" s="1118"/>
      <c r="R306" s="1118"/>
      <c r="S306" s="1117"/>
    </row>
    <row r="307" spans="1:19" s="1119" customFormat="1" ht="39" customHeight="1">
      <c r="A307" s="1110" t="s">
        <v>2910</v>
      </c>
      <c r="B307" s="1111" t="s">
        <v>2157</v>
      </c>
      <c r="C307" s="1112" t="s">
        <v>2911</v>
      </c>
      <c r="D307" s="1140" t="s">
        <v>2155</v>
      </c>
      <c r="E307" s="1113" t="s">
        <v>1748</v>
      </c>
      <c r="F307" s="1114">
        <f>1.3*1.85*6</f>
        <v>14.430000000000001</v>
      </c>
      <c r="G307" s="1114"/>
      <c r="H307" s="1114">
        <f t="shared" si="15"/>
        <v>0</v>
      </c>
      <c r="I307" s="1115">
        <v>0.00196</v>
      </c>
      <c r="J307" s="1116">
        <f t="shared" si="16"/>
        <v>0.0282828</v>
      </c>
      <c r="K307" s="1117"/>
      <c r="L307" s="1117"/>
      <c r="M307" s="1117"/>
      <c r="N307" s="1117"/>
      <c r="O307" s="1117"/>
      <c r="P307" s="1117"/>
      <c r="Q307" s="1118"/>
      <c r="R307" s="1118"/>
      <c r="S307" s="1117"/>
    </row>
    <row r="308" spans="1:19" s="1119" customFormat="1" ht="32.25" customHeight="1">
      <c r="A308" s="1110" t="s">
        <v>2912</v>
      </c>
      <c r="B308" s="1111" t="s">
        <v>2161</v>
      </c>
      <c r="C308" s="1112" t="s">
        <v>2913</v>
      </c>
      <c r="D308" s="1140" t="s">
        <v>2163</v>
      </c>
      <c r="E308" s="1113" t="s">
        <v>1748</v>
      </c>
      <c r="F308" s="1114">
        <f>0.8*2.1*2</f>
        <v>3.3600000000000003</v>
      </c>
      <c r="G308" s="1114"/>
      <c r="H308" s="1114">
        <f t="shared" si="15"/>
        <v>0</v>
      </c>
      <c r="I308" s="1115">
        <v>0.00196</v>
      </c>
      <c r="J308" s="1116">
        <f t="shared" si="16"/>
        <v>0.0065856000000000005</v>
      </c>
      <c r="K308" s="1117"/>
      <c r="L308" s="1117"/>
      <c r="M308" s="1117"/>
      <c r="N308" s="1117"/>
      <c r="O308" s="1117"/>
      <c r="P308" s="1117"/>
      <c r="Q308" s="1118"/>
      <c r="R308" s="1118"/>
      <c r="S308" s="1117"/>
    </row>
    <row r="309" spans="1:19" s="1119" customFormat="1" ht="36" customHeight="1">
      <c r="A309" s="1110" t="s">
        <v>2914</v>
      </c>
      <c r="B309" s="1111" t="s">
        <v>2165</v>
      </c>
      <c r="C309" s="1112" t="s">
        <v>2915</v>
      </c>
      <c r="D309" s="1140" t="s">
        <v>2167</v>
      </c>
      <c r="E309" s="1113" t="s">
        <v>1748</v>
      </c>
      <c r="F309" s="1114">
        <f>1.6*1.6*1</f>
        <v>2.5600000000000005</v>
      </c>
      <c r="G309" s="1114"/>
      <c r="H309" s="1114">
        <f t="shared" si="15"/>
        <v>0</v>
      </c>
      <c r="I309" s="1115">
        <v>0.00196</v>
      </c>
      <c r="J309" s="1116">
        <f t="shared" si="16"/>
        <v>0.0050176000000000005</v>
      </c>
      <c r="K309" s="1117"/>
      <c r="L309" s="1117"/>
      <c r="M309" s="1117"/>
      <c r="N309" s="1117"/>
      <c r="O309" s="1117"/>
      <c r="P309" s="1117"/>
      <c r="Q309" s="1118"/>
      <c r="R309" s="1118"/>
      <c r="S309" s="1117"/>
    </row>
    <row r="310" spans="1:19" s="1119" customFormat="1" ht="36" customHeight="1">
      <c r="A310" s="1110" t="s">
        <v>2916</v>
      </c>
      <c r="B310" s="1111" t="s">
        <v>2169</v>
      </c>
      <c r="C310" s="1112" t="s">
        <v>2917</v>
      </c>
      <c r="D310" s="1140" t="s">
        <v>2171</v>
      </c>
      <c r="E310" s="1113" t="s">
        <v>1748</v>
      </c>
      <c r="F310" s="1114">
        <f>1.6*2.75*10</f>
        <v>44</v>
      </c>
      <c r="G310" s="1114"/>
      <c r="H310" s="1114">
        <f t="shared" si="15"/>
        <v>0</v>
      </c>
      <c r="I310" s="1115">
        <v>0.00196</v>
      </c>
      <c r="J310" s="1116">
        <f t="shared" si="16"/>
        <v>0.08624</v>
      </c>
      <c r="K310" s="1117"/>
      <c r="L310" s="1117"/>
      <c r="M310" s="1117"/>
      <c r="N310" s="1117"/>
      <c r="O310" s="1117"/>
      <c r="P310" s="1117"/>
      <c r="Q310" s="1118"/>
      <c r="R310" s="1118"/>
      <c r="S310" s="1117"/>
    </row>
    <row r="311" spans="1:20" s="22" customFormat="1" ht="32.25" customHeight="1">
      <c r="A311" s="196" t="s">
        <v>2287</v>
      </c>
      <c r="B311" s="197" t="s">
        <v>2174</v>
      </c>
      <c r="C311" s="199" t="s">
        <v>2288</v>
      </c>
      <c r="D311" s="1105" t="s">
        <v>2171</v>
      </c>
      <c r="E311" s="198" t="s">
        <v>1748</v>
      </c>
      <c r="F311" s="332">
        <f>1.6*2.75*16</f>
        <v>70.4</v>
      </c>
      <c r="G311" s="332"/>
      <c r="H311" s="332">
        <f>F311*G311</f>
        <v>0</v>
      </c>
      <c r="I311" s="333">
        <v>0.00196</v>
      </c>
      <c r="J311" s="334">
        <f>F311*I311</f>
        <v>0.137984</v>
      </c>
      <c r="K311" s="693"/>
      <c r="L311" s="693"/>
      <c r="M311" s="693"/>
      <c r="N311" s="693"/>
      <c r="O311" s="693"/>
      <c r="P311" s="693"/>
      <c r="Q311" s="694"/>
      <c r="R311" s="694"/>
      <c r="S311" s="693"/>
      <c r="T311" s="509"/>
    </row>
    <row r="312" spans="1:19" s="1119" customFormat="1" ht="29.25" customHeight="1">
      <c r="A312" s="1110" t="s">
        <v>2918</v>
      </c>
      <c r="B312" s="1111" t="s">
        <v>2188</v>
      </c>
      <c r="C312" s="1112" t="s">
        <v>2919</v>
      </c>
      <c r="D312" s="1140" t="s">
        <v>2189</v>
      </c>
      <c r="E312" s="1113" t="s">
        <v>1748</v>
      </c>
      <c r="F312" s="1114">
        <f>1.2*2.75*13</f>
        <v>42.9</v>
      </c>
      <c r="G312" s="1114"/>
      <c r="H312" s="1114">
        <f aca="true" t="shared" si="17" ref="H312:H320">F312*G312</f>
        <v>0</v>
      </c>
      <c r="I312" s="1115">
        <v>0.00196</v>
      </c>
      <c r="J312" s="1116">
        <f aca="true" t="shared" si="18" ref="J312:J320">F312*I312</f>
        <v>0.08408399999999999</v>
      </c>
      <c r="K312" s="1117"/>
      <c r="L312" s="1117"/>
      <c r="M312" s="1117"/>
      <c r="N312" s="1117"/>
      <c r="O312" s="1117"/>
      <c r="P312" s="1117"/>
      <c r="Q312" s="1118"/>
      <c r="R312" s="1118"/>
      <c r="S312" s="1117"/>
    </row>
    <row r="313" spans="1:19" s="1119" customFormat="1" ht="32.25" customHeight="1">
      <c r="A313" s="1110" t="s">
        <v>2920</v>
      </c>
      <c r="B313" s="1111" t="s">
        <v>2192</v>
      </c>
      <c r="C313" s="1112" t="s">
        <v>2921</v>
      </c>
      <c r="D313" s="1140" t="s">
        <v>2189</v>
      </c>
      <c r="E313" s="1113" t="s">
        <v>1748</v>
      </c>
      <c r="F313" s="1114">
        <f>1.2*2.75*11</f>
        <v>36.3</v>
      </c>
      <c r="G313" s="1114"/>
      <c r="H313" s="1114">
        <f t="shared" si="17"/>
        <v>0</v>
      </c>
      <c r="I313" s="1115">
        <v>0.00196</v>
      </c>
      <c r="J313" s="1116">
        <f t="shared" si="18"/>
        <v>0.07114799999999999</v>
      </c>
      <c r="K313" s="1117"/>
      <c r="L313" s="1117"/>
      <c r="M313" s="1117"/>
      <c r="N313" s="1117"/>
      <c r="O313" s="1117"/>
      <c r="P313" s="1117"/>
      <c r="Q313" s="1118"/>
      <c r="R313" s="1118"/>
      <c r="S313" s="1117"/>
    </row>
    <row r="314" spans="1:19" s="1119" customFormat="1" ht="32.25" customHeight="1">
      <c r="A314" s="1110" t="s">
        <v>2922</v>
      </c>
      <c r="B314" s="1111" t="s">
        <v>2195</v>
      </c>
      <c r="C314" s="1112" t="s">
        <v>2923</v>
      </c>
      <c r="D314" s="1140" t="s">
        <v>2197</v>
      </c>
      <c r="E314" s="1113" t="s">
        <v>1748</v>
      </c>
      <c r="F314" s="1114">
        <f>1.8*2.5*6</f>
        <v>27</v>
      </c>
      <c r="G314" s="1114"/>
      <c r="H314" s="1114">
        <f t="shared" si="17"/>
        <v>0</v>
      </c>
      <c r="I314" s="1115">
        <v>0.00196</v>
      </c>
      <c r="J314" s="1116">
        <f t="shared" si="18"/>
        <v>0.052919999999999995</v>
      </c>
      <c r="K314" s="1117"/>
      <c r="L314" s="1117"/>
      <c r="M314" s="1117"/>
      <c r="N314" s="1117"/>
      <c r="O314" s="1117"/>
      <c r="P314" s="1117"/>
      <c r="Q314" s="1118"/>
      <c r="R314" s="1118"/>
      <c r="S314" s="1117"/>
    </row>
    <row r="315" spans="1:19" s="1119" customFormat="1" ht="38.25" customHeight="1">
      <c r="A315" s="1110" t="s">
        <v>2924</v>
      </c>
      <c r="B315" s="1111" t="s">
        <v>2199</v>
      </c>
      <c r="C315" s="1112" t="s">
        <v>2915</v>
      </c>
      <c r="D315" s="1140" t="s">
        <v>2197</v>
      </c>
      <c r="E315" s="1113" t="s">
        <v>1748</v>
      </c>
      <c r="F315" s="1114">
        <f>1.8*2.5*1</f>
        <v>4.5</v>
      </c>
      <c r="G315" s="1114"/>
      <c r="H315" s="1114">
        <f t="shared" si="17"/>
        <v>0</v>
      </c>
      <c r="I315" s="1115">
        <v>0.00196</v>
      </c>
      <c r="J315" s="1116">
        <f t="shared" si="18"/>
        <v>0.00882</v>
      </c>
      <c r="K315" s="1117"/>
      <c r="L315" s="1117"/>
      <c r="M315" s="1117"/>
      <c r="N315" s="1117"/>
      <c r="O315" s="1117"/>
      <c r="P315" s="1117"/>
      <c r="Q315" s="1118"/>
      <c r="R315" s="1118"/>
      <c r="S315" s="1117"/>
    </row>
    <row r="316" spans="1:19" s="1119" customFormat="1" ht="33.75" customHeight="1">
      <c r="A316" s="1110" t="s">
        <v>2925</v>
      </c>
      <c r="B316" s="1111" t="s">
        <v>2202</v>
      </c>
      <c r="C316" s="1112" t="s">
        <v>2926</v>
      </c>
      <c r="D316" s="1140" t="s">
        <v>2204</v>
      </c>
      <c r="E316" s="1113" t="s">
        <v>1748</v>
      </c>
      <c r="F316" s="1114">
        <f>1.8*3.65*2</f>
        <v>13.14</v>
      </c>
      <c r="G316" s="1114"/>
      <c r="H316" s="1114">
        <f t="shared" si="17"/>
        <v>0</v>
      </c>
      <c r="I316" s="1115">
        <v>0.00196</v>
      </c>
      <c r="J316" s="1116">
        <f t="shared" si="18"/>
        <v>0.0257544</v>
      </c>
      <c r="K316" s="1117"/>
      <c r="L316" s="1117"/>
      <c r="M316" s="1117"/>
      <c r="N316" s="1117"/>
      <c r="O316" s="1117"/>
      <c r="P316" s="1117"/>
      <c r="Q316" s="1118"/>
      <c r="R316" s="1118"/>
      <c r="S316" s="1117"/>
    </row>
    <row r="317" spans="1:19" s="1119" customFormat="1" ht="33.75" customHeight="1">
      <c r="A317" s="1110" t="s">
        <v>2927</v>
      </c>
      <c r="B317" s="1111" t="s">
        <v>2206</v>
      </c>
      <c r="C317" s="1112" t="s">
        <v>2909</v>
      </c>
      <c r="D317" s="1140" t="s">
        <v>2207</v>
      </c>
      <c r="E317" s="1113" t="s">
        <v>1748</v>
      </c>
      <c r="F317" s="1114">
        <f>1.2*2*8</f>
        <v>19.2</v>
      </c>
      <c r="G317" s="1114"/>
      <c r="H317" s="1114">
        <f t="shared" si="17"/>
        <v>0</v>
      </c>
      <c r="I317" s="1115">
        <v>0.00196</v>
      </c>
      <c r="J317" s="1116">
        <f t="shared" si="18"/>
        <v>0.037632</v>
      </c>
      <c r="K317" s="1117"/>
      <c r="L317" s="1117"/>
      <c r="M317" s="1117"/>
      <c r="N317" s="1117"/>
      <c r="O317" s="1117"/>
      <c r="P317" s="1117"/>
      <c r="Q317" s="1118"/>
      <c r="R317" s="1118"/>
      <c r="S317" s="1117"/>
    </row>
    <row r="318" spans="1:19" s="1119" customFormat="1" ht="30.75" customHeight="1">
      <c r="A318" s="1110" t="s">
        <v>2928</v>
      </c>
      <c r="B318" s="1111" t="s">
        <v>2209</v>
      </c>
      <c r="C318" s="1112" t="s">
        <v>2929</v>
      </c>
      <c r="D318" s="1140" t="s">
        <v>2207</v>
      </c>
      <c r="E318" s="1113" t="s">
        <v>1748</v>
      </c>
      <c r="F318" s="1114">
        <f>1.2*2*10</f>
        <v>24</v>
      </c>
      <c r="G318" s="1114"/>
      <c r="H318" s="1114">
        <f t="shared" si="17"/>
        <v>0</v>
      </c>
      <c r="I318" s="1115">
        <v>0.00196</v>
      </c>
      <c r="J318" s="1116">
        <f t="shared" si="18"/>
        <v>0.04704</v>
      </c>
      <c r="K318" s="1117"/>
      <c r="L318" s="1117"/>
      <c r="M318" s="1117"/>
      <c r="N318" s="1117"/>
      <c r="O318" s="1117"/>
      <c r="P318" s="1117"/>
      <c r="Q318" s="1118"/>
      <c r="R318" s="1118"/>
      <c r="S318" s="1117"/>
    </row>
    <row r="319" spans="1:19" s="1119" customFormat="1" ht="33.75" customHeight="1">
      <c r="A319" s="1110" t="s">
        <v>2930</v>
      </c>
      <c r="B319" s="1111" t="s">
        <v>2211</v>
      </c>
      <c r="C319" s="1112" t="s">
        <v>2931</v>
      </c>
      <c r="D319" s="1140" t="s">
        <v>2212</v>
      </c>
      <c r="E319" s="1113" t="s">
        <v>1748</v>
      </c>
      <c r="F319" s="1114">
        <f>1.6*2*7</f>
        <v>22.400000000000002</v>
      </c>
      <c r="G319" s="1114"/>
      <c r="H319" s="1114">
        <f t="shared" si="17"/>
        <v>0</v>
      </c>
      <c r="I319" s="1115">
        <v>0.00196</v>
      </c>
      <c r="J319" s="1116">
        <f t="shared" si="18"/>
        <v>0.043904000000000006</v>
      </c>
      <c r="K319" s="1117"/>
      <c r="L319" s="1117"/>
      <c r="M319" s="1117"/>
      <c r="N319" s="1117"/>
      <c r="O319" s="1117"/>
      <c r="P319" s="1117"/>
      <c r="Q319" s="1118"/>
      <c r="R319" s="1118"/>
      <c r="S319" s="1117"/>
    </row>
    <row r="320" spans="1:19" s="1119" customFormat="1" ht="36" customHeight="1">
      <c r="A320" s="1110" t="s">
        <v>2932</v>
      </c>
      <c r="B320" s="1111" t="s">
        <v>2215</v>
      </c>
      <c r="C320" s="1112" t="s">
        <v>2933</v>
      </c>
      <c r="D320" s="1140" t="s">
        <v>2212</v>
      </c>
      <c r="E320" s="1113" t="s">
        <v>1748</v>
      </c>
      <c r="F320" s="1114">
        <f>1.6*2*11</f>
        <v>35.2</v>
      </c>
      <c r="G320" s="1114"/>
      <c r="H320" s="1114">
        <f t="shared" si="17"/>
        <v>0</v>
      </c>
      <c r="I320" s="1115">
        <v>0.00196</v>
      </c>
      <c r="J320" s="1116">
        <f t="shared" si="18"/>
        <v>0.068992</v>
      </c>
      <c r="K320" s="1117"/>
      <c r="L320" s="1117"/>
      <c r="M320" s="1117"/>
      <c r="N320" s="1117"/>
      <c r="O320" s="1117"/>
      <c r="P320" s="1117"/>
      <c r="Q320" s="1118"/>
      <c r="R320" s="1118"/>
      <c r="S320" s="1117"/>
    </row>
    <row r="321" spans="1:20" s="22" customFormat="1" ht="20.25" customHeight="1">
      <c r="A321" s="196"/>
      <c r="B321" s="197"/>
      <c r="C321" s="197"/>
      <c r="D321" s="1105"/>
      <c r="E321" s="198"/>
      <c r="F321" s="332"/>
      <c r="G321" s="332"/>
      <c r="H321" s="332"/>
      <c r="I321" s="333"/>
      <c r="J321" s="334"/>
      <c r="K321" s="509"/>
      <c r="L321" s="509"/>
      <c r="M321" s="509"/>
      <c r="N321" s="509"/>
      <c r="O321" s="509"/>
      <c r="P321" s="509"/>
      <c r="Q321" s="509"/>
      <c r="R321" s="509"/>
      <c r="S321" s="509"/>
      <c r="T321" s="509"/>
    </row>
    <row r="322" spans="1:20" s="22" customFormat="1" ht="20.25" customHeight="1">
      <c r="A322" s="196"/>
      <c r="B322" s="197"/>
      <c r="C322" s="197" t="s">
        <v>2289</v>
      </c>
      <c r="D322" s="919"/>
      <c r="E322" s="198"/>
      <c r="F322" s="332"/>
      <c r="G322" s="332"/>
      <c r="H322" s="332"/>
      <c r="I322" s="333"/>
      <c r="J322" s="334"/>
      <c r="K322" s="509"/>
      <c r="L322" s="509"/>
      <c r="M322" s="509"/>
      <c r="N322" s="509"/>
      <c r="O322" s="509"/>
      <c r="P322" s="509"/>
      <c r="Q322" s="509"/>
      <c r="R322" s="509"/>
      <c r="S322" s="509"/>
      <c r="T322" s="509"/>
    </row>
    <row r="323" spans="1:20" s="22" customFormat="1" ht="20.25" customHeight="1">
      <c r="A323" s="196" t="s">
        <v>2290</v>
      </c>
      <c r="B323" s="197" t="s">
        <v>2086</v>
      </c>
      <c r="C323" s="197" t="s">
        <v>2291</v>
      </c>
      <c r="D323" s="919" t="s">
        <v>2292</v>
      </c>
      <c r="E323" s="198" t="s">
        <v>1831</v>
      </c>
      <c r="F323" s="332">
        <v>2</v>
      </c>
      <c r="G323" s="332"/>
      <c r="H323" s="332">
        <f>F323*G323</f>
        <v>0</v>
      </c>
      <c r="I323" s="333">
        <v>0.00168</v>
      </c>
      <c r="J323" s="334">
        <f>F323*I323</f>
        <v>0.00336</v>
      </c>
      <c r="K323" s="693"/>
      <c r="L323" s="693"/>
      <c r="M323" s="693"/>
      <c r="N323" s="693"/>
      <c r="O323" s="693"/>
      <c r="P323" s="693"/>
      <c r="Q323" s="694"/>
      <c r="R323" s="694"/>
      <c r="S323" s="693"/>
      <c r="T323" s="509"/>
    </row>
    <row r="324" spans="1:20" s="22" customFormat="1" ht="20.25" customHeight="1">
      <c r="A324" s="196" t="s">
        <v>2293</v>
      </c>
      <c r="B324" s="197" t="s">
        <v>2094</v>
      </c>
      <c r="C324" s="197" t="s">
        <v>2291</v>
      </c>
      <c r="D324" s="919" t="s">
        <v>2294</v>
      </c>
      <c r="E324" s="198" t="s">
        <v>1831</v>
      </c>
      <c r="F324" s="332">
        <v>2</v>
      </c>
      <c r="G324" s="332"/>
      <c r="H324" s="332">
        <f>F324*G324</f>
        <v>0</v>
      </c>
      <c r="I324" s="333">
        <v>0.00168</v>
      </c>
      <c r="J324" s="334">
        <f>F324*I324</f>
        <v>0.00336</v>
      </c>
      <c r="K324" s="693"/>
      <c r="L324" s="693"/>
      <c r="M324" s="693"/>
      <c r="N324" s="693"/>
      <c r="O324" s="693"/>
      <c r="P324" s="693"/>
      <c r="Q324" s="694"/>
      <c r="R324" s="694"/>
      <c r="S324" s="693"/>
      <c r="T324" s="509"/>
    </row>
    <row r="325" spans="1:20" s="22" customFormat="1" ht="11.25" customHeight="1">
      <c r="A325" s="196"/>
      <c r="B325" s="197"/>
      <c r="C325" s="197"/>
      <c r="D325" s="919"/>
      <c r="E325" s="198"/>
      <c r="F325" s="332"/>
      <c r="G325" s="332"/>
      <c r="H325" s="332"/>
      <c r="I325" s="333"/>
      <c r="J325" s="334"/>
      <c r="K325" s="509"/>
      <c r="L325" s="509"/>
      <c r="M325" s="509"/>
      <c r="N325" s="509"/>
      <c r="O325" s="509"/>
      <c r="P325" s="509"/>
      <c r="Q325" s="509"/>
      <c r="R325" s="509"/>
      <c r="S325" s="509"/>
      <c r="T325" s="509"/>
    </row>
    <row r="326" spans="1:20" s="22" customFormat="1" ht="20.25" customHeight="1">
      <c r="A326" s="196" t="s">
        <v>2295</v>
      </c>
      <c r="B326" s="197" t="s">
        <v>2296</v>
      </c>
      <c r="C326" s="197" t="s">
        <v>2297</v>
      </c>
      <c r="D326" s="919"/>
      <c r="E326" s="198" t="s">
        <v>1826</v>
      </c>
      <c r="F326" s="332">
        <f>E327</f>
        <v>18.68</v>
      </c>
      <c r="G326" s="332"/>
      <c r="H326" s="332">
        <f>F326*G326</f>
        <v>0</v>
      </c>
      <c r="I326" s="333">
        <v>8E-05</v>
      </c>
      <c r="J326" s="334">
        <f>F326*I326</f>
        <v>0.0014944000000000001</v>
      </c>
      <c r="K326" s="509"/>
      <c r="L326" s="509"/>
      <c r="M326" s="509"/>
      <c r="N326" s="509"/>
      <c r="O326" s="509"/>
      <c r="P326" s="509"/>
      <c r="Q326" s="704"/>
      <c r="R326" s="509"/>
      <c r="S326" s="509"/>
      <c r="T326" s="509"/>
    </row>
    <row r="327" spans="1:20" s="130" customFormat="1" ht="28.5" customHeight="1">
      <c r="A327" s="204"/>
      <c r="B327" s="205"/>
      <c r="C327" s="206" t="s">
        <v>2298</v>
      </c>
      <c r="D327" s="925"/>
      <c r="E327" s="207">
        <f>(1.6+2.1)*2*1+(0.8+1.97)*2*1+(0.9+1.97)*2*1</f>
        <v>18.68</v>
      </c>
      <c r="F327" s="335"/>
      <c r="G327" s="335"/>
      <c r="H327" s="335"/>
      <c r="I327" s="336"/>
      <c r="J327" s="337"/>
      <c r="K327" s="672"/>
      <c r="L327" s="672"/>
      <c r="M327" s="672"/>
      <c r="N327" s="672"/>
      <c r="O327" s="672"/>
      <c r="P327" s="672"/>
      <c r="Q327" s="673"/>
      <c r="R327" s="508"/>
      <c r="S327" s="672"/>
      <c r="T327" s="508"/>
    </row>
    <row r="328" spans="1:20" s="22" customFormat="1" ht="49.5" customHeight="1">
      <c r="A328" s="196"/>
      <c r="B328" s="197"/>
      <c r="C328" s="199" t="s">
        <v>2299</v>
      </c>
      <c r="D328" s="919"/>
      <c r="E328" s="198"/>
      <c r="F328" s="332"/>
      <c r="G328" s="332"/>
      <c r="H328" s="332"/>
      <c r="I328" s="333"/>
      <c r="J328" s="334"/>
      <c r="K328" s="693"/>
      <c r="L328" s="693"/>
      <c r="M328" s="693"/>
      <c r="N328" s="693"/>
      <c r="O328" s="693"/>
      <c r="P328" s="693"/>
      <c r="Q328" s="694"/>
      <c r="R328" s="509"/>
      <c r="S328" s="693"/>
      <c r="T328" s="509"/>
    </row>
    <row r="329" spans="1:20" s="22" customFormat="1" ht="20.25" customHeight="1">
      <c r="A329" s="196" t="s">
        <v>2300</v>
      </c>
      <c r="B329" s="197" t="s">
        <v>2301</v>
      </c>
      <c r="C329" s="197" t="s">
        <v>2302</v>
      </c>
      <c r="D329" s="919" t="s">
        <v>2303</v>
      </c>
      <c r="E329" s="198" t="s">
        <v>1831</v>
      </c>
      <c r="F329" s="332">
        <v>1</v>
      </c>
      <c r="G329" s="332"/>
      <c r="H329" s="332">
        <f aca="true" t="shared" si="19" ref="H329:H334">F329*G329</f>
        <v>0</v>
      </c>
      <c r="I329" s="333">
        <v>0.00168</v>
      </c>
      <c r="J329" s="334">
        <f>F329*I329</f>
        <v>0.00168</v>
      </c>
      <c r="K329" s="693">
        <v>1.25</v>
      </c>
      <c r="L329" s="693">
        <v>2</v>
      </c>
      <c r="M329" s="693">
        <f>K329*L329</f>
        <v>2.5</v>
      </c>
      <c r="N329" s="693">
        <f>F329*M329</f>
        <v>2.5</v>
      </c>
      <c r="O329" s="693">
        <f>(K329+L329*2)*F329</f>
        <v>5.25</v>
      </c>
      <c r="P329" s="693"/>
      <c r="Q329" s="694" t="s">
        <v>2073</v>
      </c>
      <c r="R329" s="509"/>
      <c r="S329" s="693"/>
      <c r="T329" s="509"/>
    </row>
    <row r="330" spans="1:20" s="22" customFormat="1" ht="32.25" customHeight="1">
      <c r="A330" s="196" t="s">
        <v>2304</v>
      </c>
      <c r="B330" s="197" t="s">
        <v>2305</v>
      </c>
      <c r="C330" s="199" t="s">
        <v>2306</v>
      </c>
      <c r="D330" s="919" t="s">
        <v>2307</v>
      </c>
      <c r="E330" s="198" t="s">
        <v>1831</v>
      </c>
      <c r="F330" s="332">
        <v>1</v>
      </c>
      <c r="G330" s="332"/>
      <c r="H330" s="332">
        <f t="shared" si="19"/>
        <v>0</v>
      </c>
      <c r="I330" s="333">
        <v>0.00168</v>
      </c>
      <c r="J330" s="334">
        <f>F330*I330</f>
        <v>0.00168</v>
      </c>
      <c r="K330" s="693">
        <v>1.46</v>
      </c>
      <c r="L330" s="693">
        <v>3</v>
      </c>
      <c r="M330" s="693">
        <f>K330*L330</f>
        <v>4.38</v>
      </c>
      <c r="N330" s="693">
        <f>F330*M330</f>
        <v>4.38</v>
      </c>
      <c r="O330" s="693">
        <f>(K330+L330*2)*F330</f>
        <v>7.46</v>
      </c>
      <c r="P330" s="693"/>
      <c r="Q330" s="694" t="s">
        <v>2073</v>
      </c>
      <c r="R330" s="509"/>
      <c r="S330" s="693"/>
      <c r="T330" s="509"/>
    </row>
    <row r="331" spans="1:20" s="22" customFormat="1" ht="20.25" customHeight="1">
      <c r="A331" s="196" t="s">
        <v>2308</v>
      </c>
      <c r="B331" s="197" t="s">
        <v>2309</v>
      </c>
      <c r="C331" s="197" t="s">
        <v>2310</v>
      </c>
      <c r="D331" s="919" t="s">
        <v>2311</v>
      </c>
      <c r="E331" s="198" t="s">
        <v>1831</v>
      </c>
      <c r="F331" s="332">
        <v>2</v>
      </c>
      <c r="G331" s="519"/>
      <c r="H331" s="332">
        <f t="shared" si="19"/>
        <v>0</v>
      </c>
      <c r="I331" s="333">
        <v>0.00168</v>
      </c>
      <c r="J331" s="334">
        <f>F331*I331</f>
        <v>0.00336</v>
      </c>
      <c r="K331" s="693">
        <v>1.15</v>
      </c>
      <c r="L331" s="693">
        <v>1.45</v>
      </c>
      <c r="M331" s="693">
        <f>K331*L331</f>
        <v>1.6674999999999998</v>
      </c>
      <c r="N331" s="693">
        <f>F331*M331</f>
        <v>3.3349999999999995</v>
      </c>
      <c r="O331" s="693">
        <f>(K331+L331*2)*F331</f>
        <v>8.1</v>
      </c>
      <c r="P331" s="693">
        <f>F331*K331</f>
        <v>2.3</v>
      </c>
      <c r="Q331" s="694" t="s">
        <v>2063</v>
      </c>
      <c r="R331" s="509"/>
      <c r="S331" s="693"/>
      <c r="T331" s="509"/>
    </row>
    <row r="332" spans="1:20" s="586" customFormat="1" ht="43.5" customHeight="1">
      <c r="A332" s="591" t="s">
        <v>2312</v>
      </c>
      <c r="B332" s="705" t="s">
        <v>2313</v>
      </c>
      <c r="C332" s="705" t="s">
        <v>2314</v>
      </c>
      <c r="D332" s="919"/>
      <c r="E332" s="706" t="s">
        <v>1718</v>
      </c>
      <c r="F332" s="594">
        <v>1</v>
      </c>
      <c r="G332" s="594"/>
      <c r="H332" s="594">
        <f t="shared" si="19"/>
        <v>0</v>
      </c>
      <c r="I332" s="595"/>
      <c r="J332" s="596"/>
      <c r="K332" s="707"/>
      <c r="L332" s="707"/>
      <c r="M332" s="707"/>
      <c r="N332" s="707"/>
      <c r="O332" s="707"/>
      <c r="P332" s="707"/>
      <c r="Q332" s="707"/>
      <c r="R332" s="707"/>
      <c r="S332" s="707"/>
      <c r="T332" s="707"/>
    </row>
    <row r="333" spans="1:20" s="22" customFormat="1" ht="20.25" customHeight="1">
      <c r="A333" s="196" t="s">
        <v>2315</v>
      </c>
      <c r="B333" s="197" t="s">
        <v>2316</v>
      </c>
      <c r="C333" s="197" t="s">
        <v>2317</v>
      </c>
      <c r="D333" s="919" t="s">
        <v>2763</v>
      </c>
      <c r="E333" s="198" t="s">
        <v>1718</v>
      </c>
      <c r="F333" s="332">
        <v>4</v>
      </c>
      <c r="G333" s="332"/>
      <c r="H333" s="332">
        <f t="shared" si="19"/>
        <v>0</v>
      </c>
      <c r="I333" s="333">
        <v>0.00028</v>
      </c>
      <c r="J333" s="334">
        <f>F333*I333</f>
        <v>0.00112</v>
      </c>
      <c r="K333" s="509"/>
      <c r="L333" s="509"/>
      <c r="M333" s="509"/>
      <c r="N333" s="509"/>
      <c r="O333" s="509"/>
      <c r="P333" s="509"/>
      <c r="Q333" s="509"/>
      <c r="R333" s="509"/>
      <c r="S333" s="509"/>
      <c r="T333" s="509"/>
    </row>
    <row r="334" spans="1:20" s="22" customFormat="1" ht="33.75" customHeight="1">
      <c r="A334" s="196" t="s">
        <v>2318</v>
      </c>
      <c r="B334" s="197" t="s">
        <v>2319</v>
      </c>
      <c r="C334" s="199" t="s">
        <v>2320</v>
      </c>
      <c r="D334" s="919" t="s">
        <v>2321</v>
      </c>
      <c r="E334" s="198" t="s">
        <v>1831</v>
      </c>
      <c r="F334" s="332">
        <v>4</v>
      </c>
      <c r="G334" s="332"/>
      <c r="H334" s="332">
        <f t="shared" si="19"/>
        <v>0</v>
      </c>
      <c r="I334" s="333">
        <v>0.00168</v>
      </c>
      <c r="J334" s="334">
        <f>F334*I334</f>
        <v>0.00672</v>
      </c>
      <c r="K334" s="693">
        <v>0.94</v>
      </c>
      <c r="L334" s="693">
        <v>1.4</v>
      </c>
      <c r="M334" s="693">
        <f>K334*L334</f>
        <v>1.3159999999999998</v>
      </c>
      <c r="N334" s="693">
        <f>F334*M334</f>
        <v>5.263999999999999</v>
      </c>
      <c r="O334" s="693">
        <f>(K334+L334*2)*F334</f>
        <v>14.959999999999999</v>
      </c>
      <c r="P334" s="693">
        <f>F334*K334</f>
        <v>3.76</v>
      </c>
      <c r="Q334" s="694" t="s">
        <v>2058</v>
      </c>
      <c r="R334" s="509"/>
      <c r="S334" s="693"/>
      <c r="T334" s="509"/>
    </row>
    <row r="335" spans="1:20" s="22" customFormat="1" ht="9.75" customHeight="1" thickBot="1">
      <c r="A335" s="255"/>
      <c r="B335" s="256"/>
      <c r="C335" s="256"/>
      <c r="D335" s="937"/>
      <c r="E335" s="257"/>
      <c r="F335" s="368"/>
      <c r="G335" s="368"/>
      <c r="H335" s="368"/>
      <c r="I335" s="369"/>
      <c r="J335" s="370"/>
      <c r="K335" s="509"/>
      <c r="L335" s="509"/>
      <c r="M335" s="509"/>
      <c r="N335" s="509"/>
      <c r="O335" s="509"/>
      <c r="P335" s="509"/>
      <c r="Q335" s="509"/>
      <c r="R335" s="509"/>
      <c r="S335" s="509"/>
      <c r="T335" s="509"/>
    </row>
    <row r="336" spans="1:20" ht="16.5" customHeight="1" thickBot="1">
      <c r="A336" s="266" t="s">
        <v>2322</v>
      </c>
      <c r="B336" s="175" t="s">
        <v>2323</v>
      </c>
      <c r="C336" s="176" t="s">
        <v>2324</v>
      </c>
      <c r="D336" s="175"/>
      <c r="E336" s="175"/>
      <c r="F336" s="341"/>
      <c r="G336" s="341"/>
      <c r="H336" s="342">
        <f>SUM(H337:H340)</f>
        <v>0</v>
      </c>
      <c r="I336" s="343"/>
      <c r="J336" s="1012">
        <f>SUM(J337:J340)</f>
        <v>2.6750499999999997</v>
      </c>
      <c r="K336" s="670"/>
      <c r="L336" s="670"/>
      <c r="M336" s="670"/>
      <c r="N336" s="670"/>
      <c r="O336" s="670"/>
      <c r="P336" s="670"/>
      <c r="Q336" s="670"/>
      <c r="R336" s="670"/>
      <c r="S336" s="670"/>
      <c r="T336" s="670"/>
    </row>
    <row r="337" spans="1:20" s="22" customFormat="1" ht="20.25" customHeight="1">
      <c r="A337" s="196" t="s">
        <v>2325</v>
      </c>
      <c r="B337" s="261" t="s">
        <v>2326</v>
      </c>
      <c r="C337" s="261" t="s">
        <v>2327</v>
      </c>
      <c r="D337" s="920" t="s">
        <v>2749</v>
      </c>
      <c r="E337" s="262" t="s">
        <v>1831</v>
      </c>
      <c r="F337" s="373">
        <v>35</v>
      </c>
      <c r="G337" s="373"/>
      <c r="H337" s="373">
        <f aca="true" t="shared" si="20" ref="H337:H351">F337*G337</f>
        <v>0</v>
      </c>
      <c r="I337" s="1010">
        <v>0.07643</v>
      </c>
      <c r="J337" s="374">
        <f aca="true" t="shared" si="21" ref="J337:J350">F337*I337</f>
        <v>2.6750499999999997</v>
      </c>
      <c r="K337" s="509"/>
      <c r="L337" s="509"/>
      <c r="M337" s="509"/>
      <c r="N337" s="509"/>
      <c r="O337" s="509"/>
      <c r="P337" s="509"/>
      <c r="Q337" s="509"/>
      <c r="R337" s="509"/>
      <c r="S337" s="509"/>
      <c r="T337" s="509"/>
    </row>
    <row r="338" spans="1:59" s="263" customFormat="1" ht="20.25" customHeight="1">
      <c r="A338" s="196" t="s">
        <v>2328</v>
      </c>
      <c r="B338" s="708" t="s">
        <v>2329</v>
      </c>
      <c r="C338" s="709" t="s">
        <v>2330</v>
      </c>
      <c r="D338" s="921" t="s">
        <v>2749</v>
      </c>
      <c r="E338" s="710" t="s">
        <v>2331</v>
      </c>
      <c r="F338" s="674">
        <v>8</v>
      </c>
      <c r="G338" s="674"/>
      <c r="H338" s="674">
        <f>F338*G338</f>
        <v>0</v>
      </c>
      <c r="I338" s="711"/>
      <c r="J338" s="712"/>
      <c r="K338" s="713"/>
      <c r="L338" s="713"/>
      <c r="M338" s="714"/>
      <c r="N338" s="715"/>
      <c r="O338" s="715"/>
      <c r="P338" s="715"/>
      <c r="Q338" s="715"/>
      <c r="R338" s="715"/>
      <c r="S338" s="715"/>
      <c r="T338" s="715"/>
      <c r="U338" s="716"/>
      <c r="V338" s="716"/>
      <c r="W338" s="716"/>
      <c r="X338" s="716"/>
      <c r="Y338" s="716"/>
      <c r="Z338" s="716"/>
      <c r="AA338" s="716"/>
      <c r="AB338" s="716"/>
      <c r="AC338" s="716"/>
      <c r="AD338" s="716"/>
      <c r="AE338" s="716"/>
      <c r="AF338" s="716"/>
      <c r="AG338" s="716"/>
      <c r="AH338" s="716"/>
      <c r="AI338" s="716"/>
      <c r="AJ338" s="716"/>
      <c r="AK338" s="716"/>
      <c r="AL338" s="716"/>
      <c r="AM338" s="716"/>
      <c r="AN338" s="716"/>
      <c r="AO338" s="716"/>
      <c r="AP338" s="716"/>
      <c r="AQ338" s="716"/>
      <c r="AR338" s="716"/>
      <c r="AS338" s="716"/>
      <c r="AT338" s="716"/>
      <c r="AU338" s="716"/>
      <c r="AV338" s="716"/>
      <c r="AW338" s="716"/>
      <c r="AX338" s="716"/>
      <c r="AY338" s="716"/>
      <c r="AZ338" s="716"/>
      <c r="BA338" s="716"/>
      <c r="BB338" s="716"/>
      <c r="BC338" s="716"/>
      <c r="BD338" s="716"/>
      <c r="BE338" s="716"/>
      <c r="BF338" s="716"/>
      <c r="BG338" s="716"/>
    </row>
    <row r="339" spans="1:59" s="263" customFormat="1" ht="30" customHeight="1">
      <c r="A339" s="196" t="s">
        <v>2332</v>
      </c>
      <c r="B339" s="708" t="s">
        <v>2333</v>
      </c>
      <c r="C339" s="709" t="s">
        <v>2334</v>
      </c>
      <c r="D339" s="921" t="s">
        <v>2749</v>
      </c>
      <c r="E339" s="710" t="s">
        <v>1718</v>
      </c>
      <c r="F339" s="674">
        <v>5</v>
      </c>
      <c r="G339" s="674"/>
      <c r="H339" s="674">
        <f>F339*G339</f>
        <v>0</v>
      </c>
      <c r="I339" s="711">
        <v>0</v>
      </c>
      <c r="J339" s="712">
        <f>F339*I339</f>
        <v>0</v>
      </c>
      <c r="K339" s="713">
        <v>0</v>
      </c>
      <c r="L339" s="713">
        <f>F339*K339</f>
        <v>0</v>
      </c>
      <c r="M339" s="714"/>
      <c r="N339" s="715"/>
      <c r="O339" s="715"/>
      <c r="P339" s="715"/>
      <c r="Q339" s="715">
        <v>2</v>
      </c>
      <c r="R339" s="715"/>
      <c r="S339" s="715"/>
      <c r="T339" s="715"/>
      <c r="U339" s="716"/>
      <c r="V339" s="716"/>
      <c r="W339" s="716"/>
      <c r="X339" s="716"/>
      <c r="Y339" s="716"/>
      <c r="Z339" s="716"/>
      <c r="AA339" s="716">
        <v>12</v>
      </c>
      <c r="AB339" s="716">
        <v>0</v>
      </c>
      <c r="AC339" s="716">
        <v>30</v>
      </c>
      <c r="AD339" s="716"/>
      <c r="AE339" s="716"/>
      <c r="AF339" s="716"/>
      <c r="AG339" s="716"/>
      <c r="AH339" s="716"/>
      <c r="AI339" s="716"/>
      <c r="AJ339" s="716"/>
      <c r="AK339" s="716"/>
      <c r="AL339" s="716"/>
      <c r="AM339" s="716"/>
      <c r="AN339" s="716"/>
      <c r="AO339" s="716"/>
      <c r="AP339" s="716"/>
      <c r="AQ339" s="716"/>
      <c r="AR339" s="716"/>
      <c r="AS339" s="716"/>
      <c r="AT339" s="716"/>
      <c r="AU339" s="716"/>
      <c r="AV339" s="716"/>
      <c r="AW339" s="716"/>
      <c r="AX339" s="716"/>
      <c r="AY339" s="716"/>
      <c r="AZ339" s="716"/>
      <c r="BA339" s="716"/>
      <c r="BB339" s="716">
        <v>1</v>
      </c>
      <c r="BC339" s="716">
        <f>IF(BB339=1,G339,0)</f>
        <v>0</v>
      </c>
      <c r="BD339" s="716">
        <f>IF(BB339=2,G339,0)</f>
        <v>0</v>
      </c>
      <c r="BE339" s="716">
        <f>IF(BB339=3,G339,0)</f>
        <v>0</v>
      </c>
      <c r="BF339" s="716">
        <f>IF(BB339=4,G339,0)</f>
        <v>0</v>
      </c>
      <c r="BG339" s="716">
        <f>IF(BB339=5,G339,0)</f>
        <v>0</v>
      </c>
    </row>
    <row r="340" spans="1:59" s="263" customFormat="1" ht="28.5" customHeight="1">
      <c r="A340" s="196" t="s">
        <v>2335</v>
      </c>
      <c r="B340" s="708" t="s">
        <v>2336</v>
      </c>
      <c r="C340" s="709" t="s">
        <v>2337</v>
      </c>
      <c r="D340" s="908" t="s">
        <v>2749</v>
      </c>
      <c r="E340" s="710" t="s">
        <v>1826</v>
      </c>
      <c r="F340" s="674">
        <v>150</v>
      </c>
      <c r="G340" s="674"/>
      <c r="H340" s="674">
        <f>F340*G340</f>
        <v>0</v>
      </c>
      <c r="I340" s="711"/>
      <c r="J340" s="712"/>
      <c r="K340" s="713"/>
      <c r="L340" s="713"/>
      <c r="M340" s="717"/>
      <c r="N340" s="714"/>
      <c r="O340" s="715"/>
      <c r="P340" s="715"/>
      <c r="Q340" s="715"/>
      <c r="R340" s="715"/>
      <c r="S340" s="715"/>
      <c r="T340" s="715"/>
      <c r="U340" s="716"/>
      <c r="V340" s="716"/>
      <c r="W340" s="716"/>
      <c r="X340" s="716"/>
      <c r="Y340" s="716"/>
      <c r="Z340" s="716"/>
      <c r="AA340" s="716"/>
      <c r="AB340" s="716"/>
      <c r="AC340" s="716"/>
      <c r="AD340" s="716"/>
      <c r="AE340" s="716"/>
      <c r="AF340" s="716"/>
      <c r="AG340" s="716"/>
      <c r="AH340" s="716"/>
      <c r="AI340" s="716"/>
      <c r="AJ340" s="716"/>
      <c r="AK340" s="716"/>
      <c r="AL340" s="716"/>
      <c r="AM340" s="716"/>
      <c r="AN340" s="716"/>
      <c r="AO340" s="716"/>
      <c r="AP340" s="716"/>
      <c r="AQ340" s="716"/>
      <c r="AR340" s="716"/>
      <c r="AS340" s="716"/>
      <c r="AT340" s="716"/>
      <c r="AU340" s="716"/>
      <c r="AV340" s="716"/>
      <c r="AW340" s="716"/>
      <c r="AX340" s="716"/>
      <c r="AY340" s="716"/>
      <c r="AZ340" s="716"/>
      <c r="BA340" s="716"/>
      <c r="BB340" s="716"/>
      <c r="BC340" s="716"/>
      <c r="BD340" s="716"/>
      <c r="BE340" s="716"/>
      <c r="BF340" s="716"/>
      <c r="BG340" s="716"/>
    </row>
    <row r="341" spans="1:20" s="22" customFormat="1" ht="9.75" customHeight="1" thickBot="1">
      <c r="A341" s="255"/>
      <c r="B341" s="256"/>
      <c r="C341" s="256"/>
      <c r="D341" s="937"/>
      <c r="E341" s="257"/>
      <c r="F341" s="368"/>
      <c r="G341" s="368"/>
      <c r="H341" s="368"/>
      <c r="I341" s="369"/>
      <c r="J341" s="370"/>
      <c r="K341" s="509"/>
      <c r="L341" s="509"/>
      <c r="M341" s="509"/>
      <c r="N341" s="509"/>
      <c r="O341" s="509"/>
      <c r="P341" s="509"/>
      <c r="Q341" s="509"/>
      <c r="R341" s="509"/>
      <c r="S341" s="509"/>
      <c r="T341" s="509"/>
    </row>
    <row r="342" spans="1:20" ht="16.5" customHeight="1" thickBot="1">
      <c r="A342" s="266" t="s">
        <v>2338</v>
      </c>
      <c r="B342" s="175" t="s">
        <v>2339</v>
      </c>
      <c r="C342" s="176" t="s">
        <v>2340</v>
      </c>
      <c r="D342" s="175"/>
      <c r="E342" s="175"/>
      <c r="F342" s="341"/>
      <c r="G342" s="341"/>
      <c r="H342" s="342">
        <f>SUM(H343:H351)</f>
        <v>0</v>
      </c>
      <c r="I342" s="343"/>
      <c r="J342" s="344">
        <f>SUM(J343:J350)</f>
        <v>129.20594440000002</v>
      </c>
      <c r="K342" s="670"/>
      <c r="L342" s="670"/>
      <c r="M342" s="670"/>
      <c r="N342" s="670"/>
      <c r="O342" s="670"/>
      <c r="P342" s="670"/>
      <c r="Q342" s="670"/>
      <c r="R342" s="670"/>
      <c r="S342" s="670"/>
      <c r="T342" s="670"/>
    </row>
    <row r="343" spans="1:20" s="22" customFormat="1" ht="23.25" customHeight="1">
      <c r="A343" s="190" t="s">
        <v>2341</v>
      </c>
      <c r="B343" s="191" t="s">
        <v>2342</v>
      </c>
      <c r="C343" s="265" t="s">
        <v>2343</v>
      </c>
      <c r="D343" s="920"/>
      <c r="E343" s="192" t="s">
        <v>1748</v>
      </c>
      <c r="F343" s="345">
        <f>(4369.5+886)*1.08</f>
        <v>5675.9400000000005</v>
      </c>
      <c r="G343" s="345"/>
      <c r="H343" s="345">
        <f t="shared" si="20"/>
        <v>0</v>
      </c>
      <c r="I343" s="346">
        <v>0.01838</v>
      </c>
      <c r="J343" s="347">
        <f t="shared" si="21"/>
        <v>104.32377720000001</v>
      </c>
      <c r="K343" s="509"/>
      <c r="L343" s="509"/>
      <c r="M343" s="509"/>
      <c r="N343" s="509"/>
      <c r="O343" s="509"/>
      <c r="P343" s="509"/>
      <c r="Q343" s="509"/>
      <c r="R343" s="509"/>
      <c r="S343" s="509"/>
      <c r="T343" s="509"/>
    </row>
    <row r="344" spans="1:20" s="22" customFormat="1" ht="23.25" customHeight="1">
      <c r="A344" s="196" t="s">
        <v>2344</v>
      </c>
      <c r="B344" s="197" t="s">
        <v>2345</v>
      </c>
      <c r="C344" s="199" t="s">
        <v>2346</v>
      </c>
      <c r="D344" s="919"/>
      <c r="E344" s="198" t="s">
        <v>1748</v>
      </c>
      <c r="F344" s="332">
        <f>F343*4</f>
        <v>22703.760000000002</v>
      </c>
      <c r="G344" s="332"/>
      <c r="H344" s="332">
        <f t="shared" si="20"/>
        <v>0</v>
      </c>
      <c r="I344" s="333">
        <v>0.00097</v>
      </c>
      <c r="J344" s="334">
        <f t="shared" si="21"/>
        <v>22.0226472</v>
      </c>
      <c r="K344" s="509"/>
      <c r="L344" s="509">
        <f>F344/F345</f>
        <v>4</v>
      </c>
      <c r="M344" s="509"/>
      <c r="N344" s="509"/>
      <c r="O344" s="509"/>
      <c r="P344" s="509"/>
      <c r="Q344" s="509"/>
      <c r="R344" s="509"/>
      <c r="S344" s="509"/>
      <c r="T344" s="509"/>
    </row>
    <row r="345" spans="1:20" s="22" customFormat="1" ht="23.25" customHeight="1">
      <c r="A345" s="196" t="s">
        <v>2347</v>
      </c>
      <c r="B345" s="197" t="s">
        <v>2348</v>
      </c>
      <c r="C345" s="199" t="s">
        <v>2349</v>
      </c>
      <c r="D345" s="919"/>
      <c r="E345" s="198" t="s">
        <v>1748</v>
      </c>
      <c r="F345" s="332">
        <f>F343</f>
        <v>5675.9400000000005</v>
      </c>
      <c r="G345" s="332"/>
      <c r="H345" s="332">
        <f t="shared" si="20"/>
        <v>0</v>
      </c>
      <c r="I345" s="333">
        <v>0</v>
      </c>
      <c r="J345" s="334">
        <f t="shared" si="21"/>
        <v>0</v>
      </c>
      <c r="K345" s="509"/>
      <c r="L345" s="509"/>
      <c r="M345" s="509"/>
      <c r="N345" s="509"/>
      <c r="O345" s="509"/>
      <c r="P345" s="509"/>
      <c r="Q345" s="509"/>
      <c r="R345" s="509"/>
      <c r="S345" s="509"/>
      <c r="T345" s="509"/>
    </row>
    <row r="346" spans="1:20" s="22" customFormat="1" ht="23.25" customHeight="1">
      <c r="A346" s="196" t="s">
        <v>2350</v>
      </c>
      <c r="B346" s="197" t="s">
        <v>2351</v>
      </c>
      <c r="C346" s="199" t="s">
        <v>2352</v>
      </c>
      <c r="D346" s="919"/>
      <c r="E346" s="198" t="s">
        <v>1748</v>
      </c>
      <c r="F346" s="332">
        <f>F343</f>
        <v>5675.9400000000005</v>
      </c>
      <c r="G346" s="332"/>
      <c r="H346" s="332">
        <f t="shared" si="20"/>
        <v>0</v>
      </c>
      <c r="I346" s="333">
        <v>0</v>
      </c>
      <c r="J346" s="334">
        <f t="shared" si="21"/>
        <v>0</v>
      </c>
      <c r="K346" s="509"/>
      <c r="L346" s="509"/>
      <c r="M346" s="509"/>
      <c r="N346" s="509"/>
      <c r="O346" s="509"/>
      <c r="P346" s="509"/>
      <c r="Q346" s="509"/>
      <c r="R346" s="509"/>
      <c r="S346" s="509"/>
      <c r="T346" s="509"/>
    </row>
    <row r="347" spans="1:20" s="22" customFormat="1" ht="23.25" customHeight="1">
      <c r="A347" s="196" t="s">
        <v>2353</v>
      </c>
      <c r="B347" s="197" t="s">
        <v>2354</v>
      </c>
      <c r="C347" s="199" t="s">
        <v>2355</v>
      </c>
      <c r="D347" s="919"/>
      <c r="E347" s="198" t="s">
        <v>1748</v>
      </c>
      <c r="F347" s="332">
        <f>F346*4</f>
        <v>22703.760000000002</v>
      </c>
      <c r="G347" s="332"/>
      <c r="H347" s="332">
        <f t="shared" si="20"/>
        <v>0</v>
      </c>
      <c r="I347" s="333">
        <v>0</v>
      </c>
      <c r="J347" s="334">
        <f t="shared" si="21"/>
        <v>0</v>
      </c>
      <c r="K347" s="509"/>
      <c r="L347" s="509"/>
      <c r="M347" s="509"/>
      <c r="N347" s="509"/>
      <c r="O347" s="509"/>
      <c r="P347" s="509"/>
      <c r="Q347" s="509"/>
      <c r="R347" s="509"/>
      <c r="S347" s="509"/>
      <c r="T347" s="509"/>
    </row>
    <row r="348" spans="1:20" s="22" customFormat="1" ht="23.25" customHeight="1">
      <c r="A348" s="196" t="s">
        <v>2356</v>
      </c>
      <c r="B348" s="197" t="s">
        <v>2357</v>
      </c>
      <c r="C348" s="199" t="s">
        <v>2358</v>
      </c>
      <c r="D348" s="919"/>
      <c r="E348" s="198" t="s">
        <v>1748</v>
      </c>
      <c r="F348" s="332">
        <f>F346</f>
        <v>5675.9400000000005</v>
      </c>
      <c r="G348" s="332"/>
      <c r="H348" s="332">
        <f t="shared" si="20"/>
        <v>0</v>
      </c>
      <c r="I348" s="333">
        <v>0</v>
      </c>
      <c r="J348" s="334">
        <f t="shared" si="21"/>
        <v>0</v>
      </c>
      <c r="K348" s="509"/>
      <c r="L348" s="509"/>
      <c r="M348" s="509"/>
      <c r="N348" s="509"/>
      <c r="O348" s="509"/>
      <c r="P348" s="509"/>
      <c r="Q348" s="509"/>
      <c r="R348" s="509"/>
      <c r="S348" s="509"/>
      <c r="T348" s="509"/>
    </row>
    <row r="349" spans="1:20" s="22" customFormat="1" ht="23.25" customHeight="1">
      <c r="A349" s="196" t="s">
        <v>2359</v>
      </c>
      <c r="B349" s="197" t="s">
        <v>2360</v>
      </c>
      <c r="C349" s="199" t="s">
        <v>2361</v>
      </c>
      <c r="D349" s="919"/>
      <c r="E349" s="198" t="s">
        <v>1748</v>
      </c>
      <c r="F349" s="332">
        <f>377.85*1.2+0.08</f>
        <v>453.5</v>
      </c>
      <c r="G349" s="332"/>
      <c r="H349" s="332">
        <f t="shared" si="20"/>
        <v>0</v>
      </c>
      <c r="I349" s="333">
        <v>0.00592</v>
      </c>
      <c r="J349" s="334">
        <f t="shared" si="21"/>
        <v>2.68472</v>
      </c>
      <c r="K349" s="509"/>
      <c r="L349" s="509"/>
      <c r="M349" s="509"/>
      <c r="N349" s="509"/>
      <c r="O349" s="509"/>
      <c r="P349" s="509"/>
      <c r="Q349" s="509"/>
      <c r="R349" s="509"/>
      <c r="S349" s="509"/>
      <c r="T349" s="509"/>
    </row>
    <row r="350" spans="1:20" s="22" customFormat="1" ht="23.25" customHeight="1">
      <c r="A350" s="196" t="s">
        <v>2362</v>
      </c>
      <c r="B350" s="197" t="s">
        <v>2363</v>
      </c>
      <c r="C350" s="199" t="s">
        <v>2364</v>
      </c>
      <c r="D350" s="919"/>
      <c r="E350" s="198" t="s">
        <v>1748</v>
      </c>
      <c r="F350" s="332">
        <v>4370</v>
      </c>
      <c r="G350" s="332"/>
      <c r="H350" s="332">
        <f t="shared" si="20"/>
        <v>0</v>
      </c>
      <c r="I350" s="333">
        <v>4E-05</v>
      </c>
      <c r="J350" s="334">
        <f t="shared" si="21"/>
        <v>0.1748</v>
      </c>
      <c r="K350" s="509"/>
      <c r="L350" s="509"/>
      <c r="M350" s="509"/>
      <c r="N350" s="509"/>
      <c r="O350" s="509"/>
      <c r="P350" s="509"/>
      <c r="Q350" s="509"/>
      <c r="R350" s="509"/>
      <c r="S350" s="509"/>
      <c r="T350" s="509"/>
    </row>
    <row r="351" spans="1:20" s="22" customFormat="1" ht="23.25" customHeight="1" thickBot="1">
      <c r="A351" s="255" t="s">
        <v>2365</v>
      </c>
      <c r="B351" s="256" t="s">
        <v>2366</v>
      </c>
      <c r="C351" s="264" t="s">
        <v>2367</v>
      </c>
      <c r="D351" s="919"/>
      <c r="E351" s="257" t="s">
        <v>1783</v>
      </c>
      <c r="F351" s="1120">
        <f>J342+J336+J213+J199+J128+J117+J96+J77+J72+J39+J18</f>
        <v>1458.8466172423082</v>
      </c>
      <c r="G351" s="368"/>
      <c r="H351" s="368">
        <f t="shared" si="20"/>
        <v>0</v>
      </c>
      <c r="I351" s="369">
        <v>0</v>
      </c>
      <c r="J351" s="370"/>
      <c r="K351" s="509"/>
      <c r="L351" s="509"/>
      <c r="M351" s="509"/>
      <c r="N351" s="509"/>
      <c r="O351" s="509"/>
      <c r="P351" s="509"/>
      <c r="Q351" s="509"/>
      <c r="R351" s="509"/>
      <c r="S351" s="509"/>
      <c r="T351" s="509"/>
    </row>
    <row r="352" spans="1:20" ht="16.5" customHeight="1" thickBot="1">
      <c r="A352" s="266" t="s">
        <v>2368</v>
      </c>
      <c r="B352" s="175" t="s">
        <v>2369</v>
      </c>
      <c r="C352" s="176" t="s">
        <v>2370</v>
      </c>
      <c r="D352" s="175"/>
      <c r="E352" s="175"/>
      <c r="F352" s="341"/>
      <c r="G352" s="341"/>
      <c r="H352" s="1011">
        <f>SUM(H353:H438)</f>
        <v>0</v>
      </c>
      <c r="I352" s="343"/>
      <c r="J352" s="344">
        <f>SUM(J353:J428)</f>
        <v>410.54967949999997</v>
      </c>
      <c r="K352" s="670"/>
      <c r="L352" s="670"/>
      <c r="M352" s="670"/>
      <c r="N352" s="670"/>
      <c r="O352" s="670"/>
      <c r="P352" s="670"/>
      <c r="Q352" s="670"/>
      <c r="R352" s="670"/>
      <c r="S352" s="670"/>
      <c r="T352" s="670"/>
    </row>
    <row r="353" spans="1:20" s="22" customFormat="1" ht="12" customHeight="1">
      <c r="A353" s="190"/>
      <c r="B353" s="191"/>
      <c r="C353" s="265"/>
      <c r="D353" s="920"/>
      <c r="E353" s="192"/>
      <c r="F353" s="345"/>
      <c r="G353" s="345"/>
      <c r="H353" s="345"/>
      <c r="I353" s="346"/>
      <c r="J353" s="347"/>
      <c r="K353" s="509"/>
      <c r="L353" s="509"/>
      <c r="M353" s="509"/>
      <c r="N353" s="509"/>
      <c r="O353" s="509"/>
      <c r="P353" s="509"/>
      <c r="Q353" s="509"/>
      <c r="R353" s="509"/>
      <c r="S353" s="509"/>
      <c r="T353" s="509"/>
    </row>
    <row r="354" spans="1:60" s="259" customFormat="1" ht="26.25" customHeight="1">
      <c r="A354" s="692" t="s">
        <v>2371</v>
      </c>
      <c r="B354" s="687" t="s">
        <v>2372</v>
      </c>
      <c r="C354" s="688" t="s">
        <v>2373</v>
      </c>
      <c r="D354" s="907" t="s">
        <v>2764</v>
      </c>
      <c r="E354" s="287" t="s">
        <v>1748</v>
      </c>
      <c r="F354" s="387">
        <f>SUM(E355:E355)</f>
        <v>49.80000000000001</v>
      </c>
      <c r="G354" s="387"/>
      <c r="H354" s="387">
        <f>F354*G354</f>
        <v>0</v>
      </c>
      <c r="I354" s="689">
        <v>0.046</v>
      </c>
      <c r="J354" s="690">
        <f>F354*I354</f>
        <v>2.2908000000000004</v>
      </c>
      <c r="K354" s="258"/>
      <c r="L354" s="258"/>
      <c r="M354" s="214"/>
      <c r="N354" s="691"/>
      <c r="O354" s="691"/>
      <c r="P354" s="258"/>
      <c r="Q354" s="258"/>
      <c r="R354" s="258">
        <v>2</v>
      </c>
      <c r="S354" s="258"/>
      <c r="T354" s="258"/>
      <c r="U354" s="258"/>
      <c r="V354" s="258"/>
      <c r="W354" s="258"/>
      <c r="X354" s="718"/>
      <c r="Y354" s="718"/>
      <c r="Z354" s="718"/>
      <c r="AA354" s="718"/>
      <c r="AB354" s="718">
        <v>12</v>
      </c>
      <c r="AC354" s="718">
        <v>0</v>
      </c>
      <c r="AD354" s="718">
        <v>24</v>
      </c>
      <c r="AE354" s="718"/>
      <c r="AF354" s="718"/>
      <c r="AG354" s="718"/>
      <c r="AH354" s="718"/>
      <c r="AI354" s="718"/>
      <c r="AJ354" s="718"/>
      <c r="AK354" s="718"/>
      <c r="AL354" s="718"/>
      <c r="AM354" s="718"/>
      <c r="AN354" s="718"/>
      <c r="AO354" s="718"/>
      <c r="AP354" s="718"/>
      <c r="AQ354" s="718"/>
      <c r="AR354" s="718"/>
      <c r="AS354" s="718"/>
      <c r="AT354" s="718"/>
      <c r="AU354" s="718"/>
      <c r="AV354" s="718"/>
      <c r="AW354" s="718"/>
      <c r="AX354" s="718"/>
      <c r="AY354" s="718"/>
      <c r="AZ354" s="718"/>
      <c r="BA354" s="718"/>
      <c r="BB354" s="718"/>
      <c r="BC354" s="718">
        <v>1</v>
      </c>
      <c r="BD354" s="718">
        <f>IF(BC354=1,H354,0)</f>
        <v>0</v>
      </c>
      <c r="BE354" s="718">
        <f>IF(BC354=2,H354,0)</f>
        <v>0</v>
      </c>
      <c r="BF354" s="718">
        <f>IF(BC354=3,H354,0)</f>
        <v>0</v>
      </c>
      <c r="BG354" s="718">
        <f>IF(BC354=4,H354,0)</f>
        <v>0</v>
      </c>
      <c r="BH354" s="718">
        <f>IF(BC354=5,H354,0)</f>
        <v>0</v>
      </c>
    </row>
    <row r="355" spans="1:20" s="130" customFormat="1" ht="30" customHeight="1">
      <c r="A355" s="204"/>
      <c r="B355" s="205" t="s">
        <v>1911</v>
      </c>
      <c r="C355" s="206" t="s">
        <v>1910</v>
      </c>
      <c r="D355" s="925"/>
      <c r="E355" s="260">
        <f>(16.8+0.8*12+2.2+0.5+2.5+1.2+2.5+0.5+16.8+0.8*12)*0.8+0.04</f>
        <v>49.80000000000001</v>
      </c>
      <c r="F355" s="335"/>
      <c r="G355" s="335"/>
      <c r="H355" s="335"/>
      <c r="I355" s="336"/>
      <c r="J355" s="337"/>
      <c r="K355" s="508"/>
      <c r="L355" s="508"/>
      <c r="M355" s="508"/>
      <c r="N355" s="508"/>
      <c r="O355" s="508"/>
      <c r="P355" s="508"/>
      <c r="Q355" s="508"/>
      <c r="R355" s="508"/>
      <c r="S355" s="508"/>
      <c r="T355" s="508"/>
    </row>
    <row r="356" spans="1:60" s="259" customFormat="1" ht="19.5" customHeight="1">
      <c r="A356" s="692" t="s">
        <v>2374</v>
      </c>
      <c r="B356" s="687" t="s">
        <v>2375</v>
      </c>
      <c r="C356" s="688" t="s">
        <v>2376</v>
      </c>
      <c r="D356" s="907" t="s">
        <v>2764</v>
      </c>
      <c r="E356" s="287" t="s">
        <v>1748</v>
      </c>
      <c r="F356" s="387">
        <f>SUM(E357:E359)</f>
        <v>140.22</v>
      </c>
      <c r="G356" s="387"/>
      <c r="H356" s="387">
        <f>F356*G356</f>
        <v>0</v>
      </c>
      <c r="I356" s="689">
        <v>0.059</v>
      </c>
      <c r="J356" s="690">
        <f>F356*I356</f>
        <v>8.272979999999999</v>
      </c>
      <c r="K356" s="258"/>
      <c r="L356" s="258"/>
      <c r="M356" s="214"/>
      <c r="N356" s="691"/>
      <c r="O356" s="691"/>
      <c r="P356" s="258"/>
      <c r="Q356" s="258"/>
      <c r="R356" s="258">
        <v>2</v>
      </c>
      <c r="S356" s="258"/>
      <c r="T356" s="258"/>
      <c r="U356" s="718"/>
      <c r="V356" s="718"/>
      <c r="W356" s="718"/>
      <c r="X356" s="718"/>
      <c r="Y356" s="718"/>
      <c r="Z356" s="718"/>
      <c r="AA356" s="718"/>
      <c r="AB356" s="718">
        <v>12</v>
      </c>
      <c r="AC356" s="718">
        <v>0</v>
      </c>
      <c r="AD356" s="718">
        <v>25</v>
      </c>
      <c r="AE356" s="718"/>
      <c r="AF356" s="718"/>
      <c r="AG356" s="718"/>
      <c r="AH356" s="718"/>
      <c r="AI356" s="718"/>
      <c r="AJ356" s="718"/>
      <c r="AK356" s="718"/>
      <c r="AL356" s="718"/>
      <c r="AM356" s="718"/>
      <c r="AN356" s="718"/>
      <c r="AO356" s="718"/>
      <c r="AP356" s="718"/>
      <c r="AQ356" s="718"/>
      <c r="AR356" s="718"/>
      <c r="AS356" s="718"/>
      <c r="AT356" s="718"/>
      <c r="AU356" s="718"/>
      <c r="AV356" s="718"/>
      <c r="AW356" s="718"/>
      <c r="AX356" s="718"/>
      <c r="AY356" s="718"/>
      <c r="AZ356" s="718"/>
      <c r="BA356" s="718"/>
      <c r="BB356" s="718"/>
      <c r="BC356" s="718">
        <v>1</v>
      </c>
      <c r="BD356" s="718">
        <f>IF(BC356=1,H356,0)</f>
        <v>0</v>
      </c>
      <c r="BE356" s="718">
        <f>IF(BC356=2,H356,0)</f>
        <v>0</v>
      </c>
      <c r="BF356" s="718">
        <f>IF(BC356=3,H356,0)</f>
        <v>0</v>
      </c>
      <c r="BG356" s="718">
        <f>IF(BC356=4,H356,0)</f>
        <v>0</v>
      </c>
      <c r="BH356" s="718">
        <f>IF(BC356=5,H356,0)</f>
        <v>0</v>
      </c>
    </row>
    <row r="357" spans="1:20" s="142" customFormat="1" ht="18" customHeight="1">
      <c r="A357" s="204"/>
      <c r="B357" s="222" t="s">
        <v>2377</v>
      </c>
      <c r="C357" s="212" t="s">
        <v>2378</v>
      </c>
      <c r="D357" s="929"/>
      <c r="E357" s="213">
        <f>2.9*0.7*2</f>
        <v>4.06</v>
      </c>
      <c r="F357" s="141"/>
      <c r="G357" s="141"/>
      <c r="H357" s="141"/>
      <c r="I357" s="350"/>
      <c r="J357" s="351"/>
      <c r="K357" s="215"/>
      <c r="L357" s="215"/>
      <c r="M357" s="214"/>
      <c r="N357" s="215"/>
      <c r="O357" s="215"/>
      <c r="P357" s="215"/>
      <c r="Q357" s="215"/>
      <c r="R357" s="215"/>
      <c r="S357" s="215"/>
      <c r="T357" s="215"/>
    </row>
    <row r="358" spans="1:20" s="142" customFormat="1" ht="19.5" customHeight="1">
      <c r="A358" s="204"/>
      <c r="B358" s="212" t="s">
        <v>1751</v>
      </c>
      <c r="C358" s="212" t="s">
        <v>1752</v>
      </c>
      <c r="D358" s="929"/>
      <c r="E358" s="213">
        <f>44.2*1.2*2</f>
        <v>106.08</v>
      </c>
      <c r="F358" s="141"/>
      <c r="G358" s="141"/>
      <c r="H358" s="141"/>
      <c r="I358" s="350"/>
      <c r="J358" s="351"/>
      <c r="K358" s="215"/>
      <c r="L358" s="215"/>
      <c r="M358" s="214"/>
      <c r="N358" s="215"/>
      <c r="O358" s="215"/>
      <c r="P358" s="215"/>
      <c r="Q358" s="215"/>
      <c r="R358" s="215"/>
      <c r="S358" s="215"/>
      <c r="T358" s="215"/>
    </row>
    <row r="359" spans="1:20" s="142" customFormat="1" ht="17.25" customHeight="1">
      <c r="A359" s="204"/>
      <c r="B359" s="212" t="s">
        <v>1913</v>
      </c>
      <c r="C359" s="212" t="s">
        <v>1912</v>
      </c>
      <c r="D359" s="929"/>
      <c r="E359" s="213">
        <f>3.2*4.7*2</f>
        <v>30.080000000000002</v>
      </c>
      <c r="F359" s="141"/>
      <c r="G359" s="141"/>
      <c r="H359" s="141"/>
      <c r="I359" s="350"/>
      <c r="J359" s="351"/>
      <c r="K359" s="215"/>
      <c r="L359" s="215"/>
      <c r="M359" s="214"/>
      <c r="N359" s="215"/>
      <c r="O359" s="215"/>
      <c r="P359" s="215"/>
      <c r="Q359" s="215"/>
      <c r="R359" s="215"/>
      <c r="S359" s="215"/>
      <c r="T359" s="215"/>
    </row>
    <row r="360" spans="1:60" s="259" customFormat="1" ht="25.5" customHeight="1">
      <c r="A360" s="692" t="s">
        <v>2379</v>
      </c>
      <c r="B360" s="687" t="s">
        <v>2380</v>
      </c>
      <c r="C360" s="688" t="s">
        <v>2381</v>
      </c>
      <c r="D360" s="907" t="s">
        <v>2759</v>
      </c>
      <c r="E360" s="287" t="s">
        <v>1748</v>
      </c>
      <c r="F360" s="387">
        <f>E361</f>
        <v>19.2</v>
      </c>
      <c r="G360" s="387"/>
      <c r="H360" s="387">
        <f>F360*G360</f>
        <v>0</v>
      </c>
      <c r="I360" s="689">
        <v>0.014</v>
      </c>
      <c r="J360" s="690">
        <f>F360*I360</f>
        <v>0.2688</v>
      </c>
      <c r="K360" s="258"/>
      <c r="L360" s="258"/>
      <c r="M360" s="214"/>
      <c r="N360" s="691"/>
      <c r="O360" s="691"/>
      <c r="P360" s="258"/>
      <c r="Q360" s="258"/>
      <c r="R360" s="258">
        <v>2</v>
      </c>
      <c r="S360" s="258"/>
      <c r="T360" s="258"/>
      <c r="U360" s="258"/>
      <c r="V360" s="258"/>
      <c r="W360" s="258"/>
      <c r="X360" s="718"/>
      <c r="Y360" s="718"/>
      <c r="Z360" s="718"/>
      <c r="AA360" s="718"/>
      <c r="AB360" s="718">
        <v>12</v>
      </c>
      <c r="AC360" s="718">
        <v>0</v>
      </c>
      <c r="AD360" s="718">
        <v>9</v>
      </c>
      <c r="AE360" s="718"/>
      <c r="AF360" s="718"/>
      <c r="AG360" s="718"/>
      <c r="AH360" s="718"/>
      <c r="AI360" s="718"/>
      <c r="AJ360" s="718"/>
      <c r="AK360" s="718"/>
      <c r="AL360" s="718"/>
      <c r="AM360" s="718"/>
      <c r="AN360" s="718"/>
      <c r="AO360" s="718"/>
      <c r="AP360" s="718"/>
      <c r="AQ360" s="718"/>
      <c r="AR360" s="718"/>
      <c r="AS360" s="718"/>
      <c r="AT360" s="718"/>
      <c r="AU360" s="718"/>
      <c r="AV360" s="718"/>
      <c r="AW360" s="718"/>
      <c r="AX360" s="718"/>
      <c r="AY360" s="718"/>
      <c r="AZ360" s="718"/>
      <c r="BA360" s="718"/>
      <c r="BB360" s="718"/>
      <c r="BC360" s="718">
        <v>1</v>
      </c>
      <c r="BD360" s="718">
        <f>IF(BC360=1,H360,0)</f>
        <v>0</v>
      </c>
      <c r="BE360" s="718">
        <f>IF(BC360=2,H360,0)</f>
        <v>0</v>
      </c>
      <c r="BF360" s="718">
        <f>IF(BC360=3,H360,0)</f>
        <v>0</v>
      </c>
      <c r="BG360" s="718">
        <f>IF(BC360=4,H360,0)</f>
        <v>0</v>
      </c>
      <c r="BH360" s="718">
        <f>IF(BC360=5,H360,0)</f>
        <v>0</v>
      </c>
    </row>
    <row r="361" spans="1:20" s="142" customFormat="1" ht="21" customHeight="1">
      <c r="A361" s="204"/>
      <c r="B361" s="217"/>
      <c r="C361" s="212" t="s">
        <v>2382</v>
      </c>
      <c r="D361" s="929"/>
      <c r="E361" s="213">
        <f>2.4*8</f>
        <v>19.2</v>
      </c>
      <c r="F361" s="141"/>
      <c r="G361" s="141"/>
      <c r="H361" s="141"/>
      <c r="I361" s="689"/>
      <c r="J361" s="690"/>
      <c r="K361" s="215"/>
      <c r="L361" s="215"/>
      <c r="M361" s="214"/>
      <c r="N361" s="215"/>
      <c r="O361" s="215"/>
      <c r="P361" s="215"/>
      <c r="Q361" s="215"/>
      <c r="R361" s="215"/>
      <c r="S361" s="215"/>
      <c r="T361" s="215"/>
    </row>
    <row r="362" spans="1:60" s="259" customFormat="1" ht="25.5" customHeight="1">
      <c r="A362" s="692" t="s">
        <v>2383</v>
      </c>
      <c r="B362" s="687" t="s">
        <v>2384</v>
      </c>
      <c r="C362" s="688" t="s">
        <v>2385</v>
      </c>
      <c r="D362" s="907" t="s">
        <v>2765</v>
      </c>
      <c r="E362" s="287" t="s">
        <v>1748</v>
      </c>
      <c r="F362" s="387">
        <f>SUM(E363:E364)</f>
        <v>291.84</v>
      </c>
      <c r="G362" s="387"/>
      <c r="H362" s="387">
        <f>F362*G362</f>
        <v>0</v>
      </c>
      <c r="I362" s="689">
        <v>0.014</v>
      </c>
      <c r="J362" s="690">
        <f>F362*I362</f>
        <v>4.08576</v>
      </c>
      <c r="K362" s="258"/>
      <c r="L362" s="258"/>
      <c r="M362" s="214"/>
      <c r="N362" s="691"/>
      <c r="O362" s="691"/>
      <c r="P362" s="258"/>
      <c r="Q362" s="258"/>
      <c r="R362" s="258">
        <v>2</v>
      </c>
      <c r="S362" s="258"/>
      <c r="T362" s="258"/>
      <c r="U362" s="258"/>
      <c r="V362" s="258"/>
      <c r="W362" s="258"/>
      <c r="X362" s="718"/>
      <c r="Y362" s="718"/>
      <c r="Z362" s="718"/>
      <c r="AA362" s="718"/>
      <c r="AB362" s="718">
        <v>12</v>
      </c>
      <c r="AC362" s="718">
        <v>0</v>
      </c>
      <c r="AD362" s="718">
        <v>9</v>
      </c>
      <c r="AE362" s="718"/>
      <c r="AF362" s="718"/>
      <c r="AG362" s="718"/>
      <c r="AH362" s="718"/>
      <c r="AI362" s="718"/>
      <c r="AJ362" s="718"/>
      <c r="AK362" s="718"/>
      <c r="AL362" s="718"/>
      <c r="AM362" s="718"/>
      <c r="AN362" s="718"/>
      <c r="AO362" s="718"/>
      <c r="AP362" s="718"/>
      <c r="AQ362" s="718"/>
      <c r="AR362" s="718"/>
      <c r="AS362" s="718"/>
      <c r="AT362" s="718"/>
      <c r="AU362" s="718"/>
      <c r="AV362" s="718"/>
      <c r="AW362" s="718"/>
      <c r="AX362" s="718"/>
      <c r="AY362" s="718"/>
      <c r="AZ362" s="718"/>
      <c r="BA362" s="718"/>
      <c r="BB362" s="718"/>
      <c r="BC362" s="718">
        <v>1</v>
      </c>
      <c r="BD362" s="718">
        <f>IF(BC362=1,H362,0)</f>
        <v>0</v>
      </c>
      <c r="BE362" s="718">
        <f>IF(BC362=2,H362,0)</f>
        <v>0</v>
      </c>
      <c r="BF362" s="718">
        <f>IF(BC362=3,H362,0)</f>
        <v>0</v>
      </c>
      <c r="BG362" s="718">
        <f>IF(BC362=4,H362,0)</f>
        <v>0</v>
      </c>
      <c r="BH362" s="718">
        <f>IF(BC362=5,H362,0)</f>
        <v>0</v>
      </c>
    </row>
    <row r="363" spans="1:24" s="211" customFormat="1" ht="20.25" customHeight="1">
      <c r="A363" s="223"/>
      <c r="B363" s="224" t="s">
        <v>1749</v>
      </c>
      <c r="C363" s="224" t="s">
        <v>1750</v>
      </c>
      <c r="D363" s="928"/>
      <c r="E363" s="220">
        <f>(250.1-11.9-6)*0.8</f>
        <v>185.76</v>
      </c>
      <c r="F363" s="225"/>
      <c r="G363" s="674"/>
      <c r="H363" s="225"/>
      <c r="I363" s="348"/>
      <c r="J363" s="349"/>
      <c r="K363" s="675"/>
      <c r="L363" s="675"/>
      <c r="M363" s="675"/>
      <c r="N363" s="675"/>
      <c r="O363" s="676"/>
      <c r="P363" s="676"/>
      <c r="Q363" s="676"/>
      <c r="R363" s="676"/>
      <c r="S363" s="515"/>
      <c r="T363" s="515"/>
      <c r="U363" s="210"/>
      <c r="V363" s="210"/>
      <c r="W363" s="210"/>
      <c r="X363" s="210"/>
    </row>
    <row r="364" spans="1:20" s="142" customFormat="1" ht="24.75" customHeight="1">
      <c r="A364" s="204"/>
      <c r="B364" s="212" t="s">
        <v>1751</v>
      </c>
      <c r="C364" s="212" t="s">
        <v>1752</v>
      </c>
      <c r="D364" s="929"/>
      <c r="E364" s="213">
        <f>44.2*1.2*2</f>
        <v>106.08</v>
      </c>
      <c r="F364" s="141"/>
      <c r="G364" s="141"/>
      <c r="H364" s="141"/>
      <c r="I364" s="350"/>
      <c r="J364" s="351"/>
      <c r="K364" s="215"/>
      <c r="L364" s="215"/>
      <c r="M364" s="214"/>
      <c r="N364" s="215"/>
      <c r="O364" s="215"/>
      <c r="P364" s="215"/>
      <c r="Q364" s="215"/>
      <c r="R364" s="215"/>
      <c r="S364" s="215"/>
      <c r="T364" s="215"/>
    </row>
    <row r="365" spans="1:20" s="22" customFormat="1" ht="21.75" customHeight="1">
      <c r="A365" s="196" t="s">
        <v>2386</v>
      </c>
      <c r="B365" s="197" t="s">
        <v>2387</v>
      </c>
      <c r="C365" s="199" t="s">
        <v>2388</v>
      </c>
      <c r="D365" s="919" t="s">
        <v>2761</v>
      </c>
      <c r="E365" s="198" t="s">
        <v>1748</v>
      </c>
      <c r="F365" s="332">
        <v>4370</v>
      </c>
      <c r="G365" s="332"/>
      <c r="H365" s="332">
        <f>F365*G365</f>
        <v>0</v>
      </c>
      <c r="I365" s="333">
        <v>0.023</v>
      </c>
      <c r="J365" s="334">
        <f>F365*I365</f>
        <v>100.51</v>
      </c>
      <c r="K365" s="509"/>
      <c r="L365" s="509"/>
      <c r="M365" s="509"/>
      <c r="N365" s="509"/>
      <c r="O365" s="509"/>
      <c r="P365" s="509"/>
      <c r="Q365" s="509"/>
      <c r="R365" s="509"/>
      <c r="S365" s="509"/>
      <c r="T365" s="509"/>
    </row>
    <row r="366" spans="1:20" s="22" customFormat="1" ht="21.75" customHeight="1">
      <c r="A366" s="196" t="s">
        <v>2389</v>
      </c>
      <c r="B366" s="197" t="s">
        <v>2390</v>
      </c>
      <c r="C366" s="199" t="s">
        <v>2391</v>
      </c>
      <c r="D366" s="919" t="s">
        <v>2756</v>
      </c>
      <c r="E366" s="198" t="s">
        <v>1709</v>
      </c>
      <c r="F366" s="332">
        <f>E367</f>
        <v>4.278</v>
      </c>
      <c r="G366" s="332"/>
      <c r="H366" s="332">
        <f>F366*G366</f>
        <v>0</v>
      </c>
      <c r="I366" s="333">
        <v>1.8</v>
      </c>
      <c r="J366" s="334">
        <f>F366*I366</f>
        <v>7.700399999999999</v>
      </c>
      <c r="K366" s="509"/>
      <c r="L366" s="509"/>
      <c r="M366" s="509"/>
      <c r="N366" s="509"/>
      <c r="O366" s="509"/>
      <c r="P366" s="509"/>
      <c r="Q366" s="509"/>
      <c r="R366" s="509"/>
      <c r="S366" s="509"/>
      <c r="T366" s="509"/>
    </row>
    <row r="367" spans="1:20" s="130" customFormat="1" ht="18.75" customHeight="1">
      <c r="A367" s="204"/>
      <c r="B367" s="205"/>
      <c r="C367" s="206" t="s">
        <v>2392</v>
      </c>
      <c r="D367" s="925"/>
      <c r="E367" s="207">
        <f>(1.7+2.9)*0.3*(13*0.2+0.5)</f>
        <v>4.278</v>
      </c>
      <c r="F367" s="335"/>
      <c r="G367" s="335"/>
      <c r="H367" s="335"/>
      <c r="I367" s="336"/>
      <c r="J367" s="337"/>
      <c r="K367" s="672"/>
      <c r="L367" s="672"/>
      <c r="M367" s="672"/>
      <c r="N367" s="672"/>
      <c r="O367" s="672"/>
      <c r="P367" s="672"/>
      <c r="Q367" s="673"/>
      <c r="R367" s="508"/>
      <c r="S367" s="672"/>
      <c r="T367" s="508"/>
    </row>
    <row r="368" spans="1:20" s="22" customFormat="1" ht="21.75" customHeight="1">
      <c r="A368" s="196" t="s">
        <v>2393</v>
      </c>
      <c r="B368" s="197" t="s">
        <v>2394</v>
      </c>
      <c r="C368" s="199" t="s">
        <v>2395</v>
      </c>
      <c r="D368" s="919" t="s">
        <v>2756</v>
      </c>
      <c r="E368" s="198" t="s">
        <v>1709</v>
      </c>
      <c r="F368" s="332">
        <f>E369</f>
        <v>12.049040000000002</v>
      </c>
      <c r="G368" s="332"/>
      <c r="H368" s="332">
        <f>F368*G368</f>
        <v>0</v>
      </c>
      <c r="I368" s="333">
        <v>2.4</v>
      </c>
      <c r="J368" s="334">
        <f>F368*I368</f>
        <v>28.917696000000003</v>
      </c>
      <c r="K368" s="509"/>
      <c r="L368" s="509"/>
      <c r="M368" s="509"/>
      <c r="N368" s="509"/>
      <c r="O368" s="509"/>
      <c r="P368" s="509"/>
      <c r="Q368" s="509"/>
      <c r="R368" s="509"/>
      <c r="S368" s="509"/>
      <c r="T368" s="509"/>
    </row>
    <row r="369" spans="1:20" s="130" customFormat="1" ht="28.5" customHeight="1">
      <c r="A369" s="204"/>
      <c r="B369" s="205"/>
      <c r="C369" s="206" t="s">
        <v>2396</v>
      </c>
      <c r="D369" s="925"/>
      <c r="E369" s="207">
        <f>(12.5+45.3+12.5+4.3+10.2)*0.5*0.2+3.95*0.9*0.56+1.92*1.37*0.6</f>
        <v>12.049040000000002</v>
      </c>
      <c r="F369" s="335"/>
      <c r="G369" s="335"/>
      <c r="H369" s="335"/>
      <c r="I369" s="336"/>
      <c r="J369" s="337"/>
      <c r="K369" s="672"/>
      <c r="L369" s="672"/>
      <c r="M369" s="672"/>
      <c r="N369" s="672"/>
      <c r="O369" s="672"/>
      <c r="P369" s="672"/>
      <c r="Q369" s="673"/>
      <c r="R369" s="508"/>
      <c r="S369" s="672"/>
      <c r="T369" s="508"/>
    </row>
    <row r="370" spans="1:20" s="22" customFormat="1" ht="21.75" customHeight="1">
      <c r="A370" s="196" t="s">
        <v>2397</v>
      </c>
      <c r="B370" s="197" t="s">
        <v>2398</v>
      </c>
      <c r="C370" s="199" t="s">
        <v>2399</v>
      </c>
      <c r="D370" s="919" t="s">
        <v>2766</v>
      </c>
      <c r="E370" s="198" t="s">
        <v>1748</v>
      </c>
      <c r="F370" s="332">
        <f>E371</f>
        <v>52</v>
      </c>
      <c r="G370" s="332"/>
      <c r="H370" s="332">
        <f>F370*G370</f>
        <v>0</v>
      </c>
      <c r="I370" s="333">
        <v>0</v>
      </c>
      <c r="J370" s="334">
        <f>F370*I370</f>
        <v>0</v>
      </c>
      <c r="K370" s="509"/>
      <c r="L370" s="509"/>
      <c r="M370" s="509"/>
      <c r="N370" s="509"/>
      <c r="O370" s="509"/>
      <c r="P370" s="509"/>
      <c r="Q370" s="509"/>
      <c r="R370" s="509"/>
      <c r="S370" s="509"/>
      <c r="T370" s="509"/>
    </row>
    <row r="371" spans="1:20" s="22" customFormat="1" ht="15.75" customHeight="1">
      <c r="A371" s="196"/>
      <c r="B371" s="197"/>
      <c r="C371" s="206" t="s">
        <v>2400</v>
      </c>
      <c r="D371" s="919"/>
      <c r="E371" s="207">
        <v>52</v>
      </c>
      <c r="F371" s="332"/>
      <c r="G371" s="332"/>
      <c r="H371" s="332"/>
      <c r="I371" s="333"/>
      <c r="J371" s="334"/>
      <c r="K371" s="509"/>
      <c r="L371" s="509"/>
      <c r="M371" s="509"/>
      <c r="N371" s="509"/>
      <c r="O371" s="509"/>
      <c r="P371" s="509"/>
      <c r="Q371" s="509"/>
      <c r="R371" s="509"/>
      <c r="S371" s="509"/>
      <c r="T371" s="509"/>
    </row>
    <row r="372" spans="1:20" s="22" customFormat="1" ht="21.75" customHeight="1">
      <c r="A372" s="196" t="s">
        <v>2401</v>
      </c>
      <c r="B372" s="197" t="s">
        <v>2402</v>
      </c>
      <c r="C372" s="199" t="s">
        <v>2403</v>
      </c>
      <c r="D372" s="919" t="s">
        <v>2766</v>
      </c>
      <c r="E372" s="198" t="s">
        <v>1748</v>
      </c>
      <c r="F372" s="332">
        <f>E373</f>
        <v>3.2512000000000003</v>
      </c>
      <c r="G372" s="332"/>
      <c r="H372" s="332">
        <f>F372*G372</f>
        <v>0</v>
      </c>
      <c r="I372" s="333">
        <v>0.48</v>
      </c>
      <c r="J372" s="334">
        <f>F372*I372</f>
        <v>1.5605760000000002</v>
      </c>
      <c r="K372" s="509"/>
      <c r="L372" s="509"/>
      <c r="M372" s="509"/>
      <c r="N372" s="509"/>
      <c r="O372" s="509"/>
      <c r="P372" s="509"/>
      <c r="Q372" s="509"/>
      <c r="R372" s="509"/>
      <c r="S372" s="509"/>
      <c r="T372" s="509"/>
    </row>
    <row r="373" spans="1:20" s="130" customFormat="1" ht="18" customHeight="1">
      <c r="A373" s="204"/>
      <c r="B373" s="205"/>
      <c r="C373" s="206" t="s">
        <v>2404</v>
      </c>
      <c r="D373" s="925"/>
      <c r="E373" s="207">
        <f>2.54*1.28</f>
        <v>3.2512000000000003</v>
      </c>
      <c r="F373" s="335"/>
      <c r="G373" s="335"/>
      <c r="H373" s="335"/>
      <c r="I373" s="336"/>
      <c r="J373" s="337"/>
      <c r="K373" s="672"/>
      <c r="L373" s="672"/>
      <c r="M373" s="672"/>
      <c r="N373" s="672"/>
      <c r="O373" s="672"/>
      <c r="P373" s="672"/>
      <c r="Q373" s="673"/>
      <c r="R373" s="508"/>
      <c r="S373" s="672"/>
      <c r="T373" s="508"/>
    </row>
    <row r="374" spans="1:20" s="22" customFormat="1" ht="17.25" customHeight="1">
      <c r="A374" s="196" t="s">
        <v>2405</v>
      </c>
      <c r="B374" s="197" t="s">
        <v>2406</v>
      </c>
      <c r="C374" s="199" t="s">
        <v>2407</v>
      </c>
      <c r="D374" s="919" t="s">
        <v>2759</v>
      </c>
      <c r="E374" s="198" t="s">
        <v>1826</v>
      </c>
      <c r="F374" s="332">
        <f>E375</f>
        <v>12.7</v>
      </c>
      <c r="G374" s="332"/>
      <c r="H374" s="332">
        <f>F374*G374</f>
        <v>0</v>
      </c>
      <c r="I374" s="333">
        <v>0.07</v>
      </c>
      <c r="J374" s="334">
        <f>F374*I374</f>
        <v>0.889</v>
      </c>
      <c r="K374" s="509"/>
      <c r="L374" s="509"/>
      <c r="M374" s="509"/>
      <c r="N374" s="509"/>
      <c r="O374" s="509"/>
      <c r="P374" s="509"/>
      <c r="Q374" s="509"/>
      <c r="R374" s="509"/>
      <c r="S374" s="509"/>
      <c r="T374" s="509"/>
    </row>
    <row r="375" spans="1:20" s="130" customFormat="1" ht="18" customHeight="1">
      <c r="A375" s="204"/>
      <c r="B375" s="205"/>
      <c r="C375" s="206" t="s">
        <v>2408</v>
      </c>
      <c r="D375" s="925"/>
      <c r="E375" s="207">
        <f>2.54*5</f>
        <v>12.7</v>
      </c>
      <c r="F375" s="335"/>
      <c r="G375" s="335"/>
      <c r="H375" s="335"/>
      <c r="I375" s="336"/>
      <c r="J375" s="337"/>
      <c r="K375" s="672"/>
      <c r="L375" s="672"/>
      <c r="M375" s="672"/>
      <c r="N375" s="672"/>
      <c r="O375" s="672"/>
      <c r="P375" s="672"/>
      <c r="Q375" s="673"/>
      <c r="R375" s="508"/>
      <c r="S375" s="672"/>
      <c r="T375" s="508"/>
    </row>
    <row r="376" spans="1:20" s="22" customFormat="1" ht="21.75" customHeight="1">
      <c r="A376" s="196" t="s">
        <v>2409</v>
      </c>
      <c r="B376" s="197" t="s">
        <v>2410</v>
      </c>
      <c r="C376" s="199" t="s">
        <v>2411</v>
      </c>
      <c r="D376" s="919" t="s">
        <v>2761</v>
      </c>
      <c r="E376" s="198" t="s">
        <v>1826</v>
      </c>
      <c r="F376" s="332">
        <v>1.9</v>
      </c>
      <c r="G376" s="332"/>
      <c r="H376" s="332">
        <f>F376*G376</f>
        <v>0</v>
      </c>
      <c r="I376" s="333">
        <v>0.187</v>
      </c>
      <c r="J376" s="334">
        <f>F376*I376</f>
        <v>0.3553</v>
      </c>
      <c r="K376" s="509"/>
      <c r="L376" s="509"/>
      <c r="M376" s="509"/>
      <c r="N376" s="509"/>
      <c r="O376" s="509"/>
      <c r="P376" s="509"/>
      <c r="Q376" s="509"/>
      <c r="R376" s="509"/>
      <c r="S376" s="509"/>
      <c r="T376" s="509"/>
    </row>
    <row r="377" spans="1:20" s="22" customFormat="1" ht="31.5" customHeight="1">
      <c r="A377" s="196" t="s">
        <v>2412</v>
      </c>
      <c r="B377" s="197" t="s">
        <v>1720</v>
      </c>
      <c r="C377" s="199" t="s">
        <v>2413</v>
      </c>
      <c r="D377" s="919" t="s">
        <v>2761</v>
      </c>
      <c r="E377" s="198" t="s">
        <v>2331</v>
      </c>
      <c r="F377" s="332">
        <v>1</v>
      </c>
      <c r="G377" s="332"/>
      <c r="H377" s="332">
        <f>F377*G377</f>
        <v>0</v>
      </c>
      <c r="I377" s="333"/>
      <c r="J377" s="334"/>
      <c r="K377" s="693"/>
      <c r="L377" s="693"/>
      <c r="M377" s="693"/>
      <c r="N377" s="693"/>
      <c r="O377" s="693"/>
      <c r="P377" s="693"/>
      <c r="Q377" s="694"/>
      <c r="R377" s="509"/>
      <c r="S377" s="693"/>
      <c r="T377" s="509"/>
    </row>
    <row r="378" spans="1:20" s="22" customFormat="1" ht="21.75" customHeight="1">
      <c r="A378" s="196" t="s">
        <v>2414</v>
      </c>
      <c r="B378" s="197" t="s">
        <v>2415</v>
      </c>
      <c r="C378" s="199" t="s">
        <v>2416</v>
      </c>
      <c r="D378" s="919" t="s">
        <v>2761</v>
      </c>
      <c r="E378" s="198" t="s">
        <v>1831</v>
      </c>
      <c r="F378" s="332">
        <f>E379</f>
        <v>1261</v>
      </c>
      <c r="G378" s="332"/>
      <c r="H378" s="332">
        <f>F378*G378</f>
        <v>0</v>
      </c>
      <c r="I378" s="333">
        <v>0</v>
      </c>
      <c r="J378" s="334">
        <f>F378*I378</f>
        <v>0</v>
      </c>
      <c r="K378" s="693"/>
      <c r="L378" s="693"/>
      <c r="M378" s="693"/>
      <c r="N378" s="693"/>
      <c r="O378" s="693"/>
      <c r="P378" s="693"/>
      <c r="Q378" s="694"/>
      <c r="R378" s="509"/>
      <c r="S378" s="693"/>
      <c r="T378" s="509"/>
    </row>
    <row r="379" spans="1:20" s="130" customFormat="1" ht="59.25" customHeight="1">
      <c r="A379" s="204"/>
      <c r="B379" s="205"/>
      <c r="C379" s="206" t="s">
        <v>2417</v>
      </c>
      <c r="D379" s="925"/>
      <c r="E379" s="207">
        <f>8+4+20+2+24+18+8+8+16+20+18+12+1+3+72+8+60+96+24+28+28+8+24+12+32+24+4+3+66+102+24+24+12+52+44+36+6+12+32+40+54+66+4+16+24+12+8+12+8+2+8+8+4</f>
        <v>1261</v>
      </c>
      <c r="F379" s="335"/>
      <c r="G379" s="335"/>
      <c r="H379" s="335"/>
      <c r="I379" s="336"/>
      <c r="J379" s="337"/>
      <c r="K379" s="672"/>
      <c r="L379" s="672"/>
      <c r="M379" s="672"/>
      <c r="N379" s="672"/>
      <c r="O379" s="672"/>
      <c r="P379" s="672"/>
      <c r="Q379" s="673"/>
      <c r="R379" s="508"/>
      <c r="S379" s="672"/>
      <c r="T379" s="508"/>
    </row>
    <row r="380" spans="1:20" s="22" customFormat="1" ht="21.75" customHeight="1">
      <c r="A380" s="196" t="s">
        <v>2418</v>
      </c>
      <c r="B380" s="197" t="s">
        <v>2419</v>
      </c>
      <c r="C380" s="199" t="s">
        <v>2420</v>
      </c>
      <c r="D380" s="919" t="s">
        <v>2761</v>
      </c>
      <c r="E380" s="198" t="s">
        <v>1748</v>
      </c>
      <c r="F380" s="332">
        <f>E381</f>
        <v>13.84</v>
      </c>
      <c r="G380" s="332"/>
      <c r="H380" s="332">
        <f>F380*G380</f>
        <v>0</v>
      </c>
      <c r="I380" s="333">
        <v>0.031</v>
      </c>
      <c r="J380" s="334">
        <f>F380*I380</f>
        <v>0.42904</v>
      </c>
      <c r="K380" s="693"/>
      <c r="L380" s="693"/>
      <c r="M380" s="693"/>
      <c r="N380" s="693"/>
      <c r="O380" s="693"/>
      <c r="P380" s="693"/>
      <c r="Q380" s="694"/>
      <c r="R380" s="509"/>
      <c r="S380" s="693"/>
      <c r="T380" s="509"/>
    </row>
    <row r="381" spans="1:20" s="130" customFormat="1" ht="22.5" customHeight="1">
      <c r="A381" s="204"/>
      <c r="B381" s="205"/>
      <c r="C381" s="206" t="s">
        <v>2421</v>
      </c>
      <c r="D381" s="925"/>
      <c r="E381" s="207">
        <f>2.64+0.66+2.64+2.64+5.26</f>
        <v>13.84</v>
      </c>
      <c r="F381" s="335"/>
      <c r="G381" s="335"/>
      <c r="H381" s="335"/>
      <c r="I381" s="336"/>
      <c r="J381" s="337"/>
      <c r="K381" s="672"/>
      <c r="L381" s="672"/>
      <c r="M381" s="672"/>
      <c r="N381" s="672"/>
      <c r="O381" s="672"/>
      <c r="P381" s="672"/>
      <c r="Q381" s="673"/>
      <c r="R381" s="508"/>
      <c r="S381" s="672"/>
      <c r="T381" s="508"/>
    </row>
    <row r="382" spans="1:20" s="22" customFormat="1" ht="21.75" customHeight="1">
      <c r="A382" s="196" t="s">
        <v>2422</v>
      </c>
      <c r="B382" s="197" t="s">
        <v>2423</v>
      </c>
      <c r="C382" s="199" t="s">
        <v>2424</v>
      </c>
      <c r="D382" s="919" t="s">
        <v>2761</v>
      </c>
      <c r="E382" s="198" t="s">
        <v>1748</v>
      </c>
      <c r="F382" s="332">
        <f>E383</f>
        <v>22.4</v>
      </c>
      <c r="G382" s="332"/>
      <c r="H382" s="332">
        <f>F382*G382</f>
        <v>0</v>
      </c>
      <c r="I382" s="333">
        <v>0.027</v>
      </c>
      <c r="J382" s="334">
        <f>F382*I382</f>
        <v>0.6048</v>
      </c>
      <c r="K382" s="693"/>
      <c r="L382" s="693"/>
      <c r="M382" s="693"/>
      <c r="N382" s="693"/>
      <c r="O382" s="693"/>
      <c r="P382" s="693"/>
      <c r="Q382" s="694"/>
      <c r="R382" s="509"/>
      <c r="S382" s="693"/>
      <c r="T382" s="509"/>
    </row>
    <row r="383" spans="1:20" s="130" customFormat="1" ht="22.5" customHeight="1">
      <c r="A383" s="204"/>
      <c r="B383" s="205"/>
      <c r="C383" s="206" t="s">
        <v>2425</v>
      </c>
      <c r="D383" s="925"/>
      <c r="E383" s="207">
        <f>6.4+2.67+13.33</f>
        <v>22.4</v>
      </c>
      <c r="F383" s="335"/>
      <c r="G383" s="335"/>
      <c r="H383" s="335"/>
      <c r="I383" s="336"/>
      <c r="J383" s="337"/>
      <c r="K383" s="672"/>
      <c r="L383" s="672"/>
      <c r="M383" s="672"/>
      <c r="N383" s="672"/>
      <c r="O383" s="672"/>
      <c r="P383" s="672"/>
      <c r="Q383" s="673"/>
      <c r="R383" s="508"/>
      <c r="S383" s="672"/>
      <c r="T383" s="508"/>
    </row>
    <row r="384" spans="1:20" s="22" customFormat="1" ht="33.75" customHeight="1">
      <c r="A384" s="196" t="s">
        <v>2426</v>
      </c>
      <c r="B384" s="197" t="s">
        <v>2427</v>
      </c>
      <c r="C384" s="199" t="s">
        <v>2428</v>
      </c>
      <c r="D384" s="919" t="s">
        <v>2761</v>
      </c>
      <c r="E384" s="198" t="s">
        <v>1748</v>
      </c>
      <c r="F384" s="332">
        <f>E385</f>
        <v>55.28</v>
      </c>
      <c r="G384" s="332"/>
      <c r="H384" s="332">
        <f>F384*G384</f>
        <v>0</v>
      </c>
      <c r="I384" s="333">
        <v>0.062</v>
      </c>
      <c r="J384" s="334">
        <f>F384*I384</f>
        <v>3.42736</v>
      </c>
      <c r="K384" s="693"/>
      <c r="L384" s="693"/>
      <c r="M384" s="693"/>
      <c r="N384" s="693"/>
      <c r="O384" s="693"/>
      <c r="P384" s="693"/>
      <c r="Q384" s="694"/>
      <c r="R384" s="509"/>
      <c r="S384" s="693"/>
      <c r="T384" s="509"/>
    </row>
    <row r="385" spans="1:20" s="130" customFormat="1" ht="22.5" customHeight="1">
      <c r="A385" s="204"/>
      <c r="B385" s="205"/>
      <c r="C385" s="206" t="s">
        <v>2429</v>
      </c>
      <c r="D385" s="925"/>
      <c r="E385" s="207">
        <f>1.36+15.84+6.96+3.36+14.76+1.8+7.2+4</f>
        <v>55.28</v>
      </c>
      <c r="F385" s="335"/>
      <c r="G385" s="335"/>
      <c r="H385" s="335"/>
      <c r="I385" s="336"/>
      <c r="J385" s="337"/>
      <c r="K385" s="672"/>
      <c r="L385" s="672"/>
      <c r="M385" s="672"/>
      <c r="N385" s="672"/>
      <c r="O385" s="672"/>
      <c r="P385" s="672"/>
      <c r="Q385" s="673"/>
      <c r="R385" s="508"/>
      <c r="S385" s="672"/>
      <c r="T385" s="508"/>
    </row>
    <row r="386" spans="1:20" s="22" customFormat="1" ht="29.25" customHeight="1">
      <c r="A386" s="196" t="s">
        <v>2430</v>
      </c>
      <c r="B386" s="197" t="s">
        <v>2431</v>
      </c>
      <c r="C386" s="199" t="s">
        <v>2432</v>
      </c>
      <c r="D386" s="919" t="s">
        <v>2761</v>
      </c>
      <c r="E386" s="198" t="s">
        <v>1748</v>
      </c>
      <c r="F386" s="332">
        <f>E387</f>
        <v>389.91999999999996</v>
      </c>
      <c r="G386" s="332"/>
      <c r="H386" s="332">
        <f>F386*G386</f>
        <v>0</v>
      </c>
      <c r="I386" s="333">
        <v>0.054</v>
      </c>
      <c r="J386" s="334">
        <f>F386*I386</f>
        <v>21.05568</v>
      </c>
      <c r="K386" s="693"/>
      <c r="L386" s="693"/>
      <c r="M386" s="693"/>
      <c r="N386" s="693"/>
      <c r="O386" s="693"/>
      <c r="P386" s="693"/>
      <c r="Q386" s="694"/>
      <c r="R386" s="509"/>
      <c r="S386" s="693"/>
      <c r="T386" s="509"/>
    </row>
    <row r="387" spans="1:20" s="130" customFormat="1" ht="45" customHeight="1">
      <c r="A387" s="204"/>
      <c r="B387" s="205"/>
      <c r="C387" s="206" t="s">
        <v>2433</v>
      </c>
      <c r="D387" s="925"/>
      <c r="E387" s="207">
        <f>5.67+5.67+10.08+12.6+10.08+6.44+2.15+39.36+4.92+24.36+24.36+19.24+14.43+2.56+42.9+36.3+19.2+24+28.8+35.2+14.4+7.2</f>
        <v>389.91999999999996</v>
      </c>
      <c r="F387" s="335"/>
      <c r="G387" s="335"/>
      <c r="H387" s="335"/>
      <c r="I387" s="336"/>
      <c r="J387" s="337"/>
      <c r="K387" s="672"/>
      <c r="L387" s="672"/>
      <c r="M387" s="672"/>
      <c r="N387" s="672"/>
      <c r="O387" s="672"/>
      <c r="P387" s="672"/>
      <c r="Q387" s="673"/>
      <c r="R387" s="508"/>
      <c r="S387" s="672"/>
      <c r="T387" s="508"/>
    </row>
    <row r="388" spans="1:20" s="22" customFormat="1" ht="30" customHeight="1">
      <c r="A388" s="196" t="s">
        <v>2434</v>
      </c>
      <c r="B388" s="197" t="s">
        <v>2435</v>
      </c>
      <c r="C388" s="199" t="s">
        <v>2436</v>
      </c>
      <c r="D388" s="919" t="s">
        <v>2761</v>
      </c>
      <c r="E388" s="198" t="s">
        <v>1748</v>
      </c>
      <c r="F388" s="332">
        <f>E389</f>
        <v>390.7699999999999</v>
      </c>
      <c r="G388" s="332"/>
      <c r="H388" s="332">
        <f>F388*G388</f>
        <v>0</v>
      </c>
      <c r="I388" s="333">
        <v>0.047</v>
      </c>
      <c r="J388" s="334">
        <f>F388*I388</f>
        <v>18.366189999999996</v>
      </c>
      <c r="K388" s="693"/>
      <c r="L388" s="693"/>
      <c r="M388" s="693"/>
      <c r="N388" s="693"/>
      <c r="O388" s="693"/>
      <c r="P388" s="693"/>
      <c r="Q388" s="694"/>
      <c r="R388" s="509"/>
      <c r="S388" s="693"/>
      <c r="T388" s="509"/>
    </row>
    <row r="389" spans="1:20" s="130" customFormat="1" ht="33" customHeight="1">
      <c r="A389" s="204"/>
      <c r="B389" s="205"/>
      <c r="C389" s="206" t="s">
        <v>2437</v>
      </c>
      <c r="D389" s="925"/>
      <c r="E389" s="207">
        <f>5.88+23.4+17.55+46.4+74.24+18.56+10.44+48.4+74.8+19.8+9.9+27+4.5+9.9</f>
        <v>390.7699999999999</v>
      </c>
      <c r="F389" s="335"/>
      <c r="G389" s="335"/>
      <c r="H389" s="335"/>
      <c r="I389" s="336"/>
      <c r="J389" s="337"/>
      <c r="K389" s="672"/>
      <c r="L389" s="672"/>
      <c r="M389" s="672"/>
      <c r="N389" s="672"/>
      <c r="O389" s="672"/>
      <c r="P389" s="672"/>
      <c r="Q389" s="673"/>
      <c r="R389" s="508"/>
      <c r="S389" s="672"/>
      <c r="T389" s="508"/>
    </row>
    <row r="390" spans="1:20" s="22" customFormat="1" ht="12" customHeight="1">
      <c r="A390" s="196"/>
      <c r="B390" s="197"/>
      <c r="C390" s="197"/>
      <c r="D390" s="919"/>
      <c r="E390" s="198"/>
      <c r="F390" s="332"/>
      <c r="G390" s="332"/>
      <c r="H390" s="332"/>
      <c r="I390" s="333"/>
      <c r="J390" s="334"/>
      <c r="K390" s="509"/>
      <c r="L390" s="509"/>
      <c r="M390" s="509"/>
      <c r="N390" s="509"/>
      <c r="O390" s="509"/>
      <c r="P390" s="509"/>
      <c r="Q390" s="509"/>
      <c r="R390" s="509"/>
      <c r="S390" s="509"/>
      <c r="T390" s="509"/>
    </row>
    <row r="391" spans="1:20" s="22" customFormat="1" ht="21.75" customHeight="1">
      <c r="A391" s="196" t="s">
        <v>2438</v>
      </c>
      <c r="B391" s="197" t="s">
        <v>2439</v>
      </c>
      <c r="C391" s="199" t="s">
        <v>2440</v>
      </c>
      <c r="D391" s="919" t="s">
        <v>2761</v>
      </c>
      <c r="E391" s="198" t="s">
        <v>1718</v>
      </c>
      <c r="F391" s="332">
        <v>6</v>
      </c>
      <c r="G391" s="332"/>
      <c r="H391" s="332">
        <f>F391*G391</f>
        <v>0</v>
      </c>
      <c r="I391" s="333">
        <v>0</v>
      </c>
      <c r="J391" s="334">
        <f>F391*I391</f>
        <v>0</v>
      </c>
      <c r="K391" s="693"/>
      <c r="L391" s="693"/>
      <c r="M391" s="693"/>
      <c r="N391" s="693"/>
      <c r="O391" s="693"/>
      <c r="P391" s="693"/>
      <c r="Q391" s="694"/>
      <c r="R391" s="509"/>
      <c r="S391" s="693"/>
      <c r="T391" s="509"/>
    </row>
    <row r="392" spans="1:20" s="22" customFormat="1" ht="21.75" customHeight="1">
      <c r="A392" s="196" t="s">
        <v>2441</v>
      </c>
      <c r="B392" s="197" t="s">
        <v>2442</v>
      </c>
      <c r="C392" s="199" t="s">
        <v>2443</v>
      </c>
      <c r="D392" s="919" t="s">
        <v>2761</v>
      </c>
      <c r="E392" s="198" t="s">
        <v>1748</v>
      </c>
      <c r="F392" s="332">
        <f>1.15*1.45*2</f>
        <v>3.3349999999999995</v>
      </c>
      <c r="G392" s="332"/>
      <c r="H392" s="332">
        <f>F392*G392</f>
        <v>0</v>
      </c>
      <c r="I392" s="333">
        <v>0.088</v>
      </c>
      <c r="J392" s="334">
        <f>F392*I392</f>
        <v>0.29347999999999996</v>
      </c>
      <c r="K392" s="693"/>
      <c r="L392" s="693"/>
      <c r="M392" s="693"/>
      <c r="N392" s="693"/>
      <c r="O392" s="693"/>
      <c r="P392" s="693"/>
      <c r="Q392" s="694"/>
      <c r="R392" s="509"/>
      <c r="S392" s="693"/>
      <c r="T392" s="509"/>
    </row>
    <row r="393" spans="1:20" s="22" customFormat="1" ht="21.75" customHeight="1">
      <c r="A393" s="196" t="s">
        <v>2444</v>
      </c>
      <c r="B393" s="197" t="s">
        <v>2445</v>
      </c>
      <c r="C393" s="199" t="s">
        <v>2446</v>
      </c>
      <c r="D393" s="919" t="s">
        <v>2761</v>
      </c>
      <c r="E393" s="198" t="s">
        <v>1748</v>
      </c>
      <c r="F393" s="332">
        <f>E394</f>
        <v>6.88</v>
      </c>
      <c r="G393" s="332"/>
      <c r="H393" s="332">
        <f>F393*G393</f>
        <v>0</v>
      </c>
      <c r="I393" s="333">
        <v>0.067</v>
      </c>
      <c r="J393" s="334">
        <f>F393*I393</f>
        <v>0.46096000000000004</v>
      </c>
      <c r="K393" s="693"/>
      <c r="L393" s="693"/>
      <c r="M393" s="693"/>
      <c r="N393" s="693"/>
      <c r="O393" s="693"/>
      <c r="P393" s="693"/>
      <c r="Q393" s="694"/>
      <c r="R393" s="509"/>
      <c r="S393" s="693"/>
      <c r="T393" s="509"/>
    </row>
    <row r="394" spans="1:20" s="130" customFormat="1" ht="22.5" customHeight="1">
      <c r="A394" s="204"/>
      <c r="B394" s="205"/>
      <c r="C394" s="206" t="s">
        <v>2447</v>
      </c>
      <c r="D394" s="925"/>
      <c r="E394" s="207">
        <f>2.5+4.38</f>
        <v>6.88</v>
      </c>
      <c r="F394" s="335"/>
      <c r="G394" s="335"/>
      <c r="H394" s="335"/>
      <c r="I394" s="336"/>
      <c r="J394" s="337"/>
      <c r="K394" s="672"/>
      <c r="L394" s="672"/>
      <c r="M394" s="672"/>
      <c r="N394" s="672"/>
      <c r="O394" s="672"/>
      <c r="P394" s="672"/>
      <c r="Q394" s="673"/>
      <c r="R394" s="508"/>
      <c r="S394" s="672"/>
      <c r="T394" s="508"/>
    </row>
    <row r="395" spans="1:20" s="22" customFormat="1" ht="10.5" customHeight="1">
      <c r="A395" s="196"/>
      <c r="B395" s="197"/>
      <c r="C395" s="199"/>
      <c r="D395" s="919"/>
      <c r="E395" s="198"/>
      <c r="F395" s="332"/>
      <c r="G395" s="332"/>
      <c r="H395" s="332"/>
      <c r="I395" s="333"/>
      <c r="J395" s="334"/>
      <c r="K395" s="693"/>
      <c r="L395" s="693"/>
      <c r="M395" s="693"/>
      <c r="N395" s="693"/>
      <c r="O395" s="693"/>
      <c r="P395" s="693"/>
      <c r="Q395" s="694"/>
      <c r="R395" s="509"/>
      <c r="S395" s="693"/>
      <c r="T395" s="509"/>
    </row>
    <row r="396" spans="1:20" s="22" customFormat="1" ht="30" customHeight="1">
      <c r="A396" s="196" t="s">
        <v>2448</v>
      </c>
      <c r="B396" s="197" t="s">
        <v>2449</v>
      </c>
      <c r="C396" s="199" t="s">
        <v>2450</v>
      </c>
      <c r="D396" s="919" t="s">
        <v>2761</v>
      </c>
      <c r="E396" s="198" t="s">
        <v>1748</v>
      </c>
      <c r="F396" s="332">
        <f>E397</f>
        <v>8.370000000000001</v>
      </c>
      <c r="G396" s="332"/>
      <c r="H396" s="332">
        <f>F396*G396</f>
        <v>0</v>
      </c>
      <c r="I396" s="333">
        <v>0.065</v>
      </c>
      <c r="J396" s="334">
        <f>F396*I396</f>
        <v>0.54405</v>
      </c>
      <c r="K396" s="693"/>
      <c r="L396" s="693"/>
      <c r="M396" s="693"/>
      <c r="N396" s="693"/>
      <c r="O396" s="693"/>
      <c r="P396" s="693"/>
      <c r="Q396" s="694"/>
      <c r="R396" s="509"/>
      <c r="S396" s="693"/>
      <c r="T396" s="509"/>
    </row>
    <row r="397" spans="1:20" s="130" customFormat="1" ht="15.75" customHeight="1">
      <c r="A397" s="204"/>
      <c r="B397" s="205"/>
      <c r="C397" s="206" t="s">
        <v>2451</v>
      </c>
      <c r="D397" s="925"/>
      <c r="E397" s="207">
        <f>3.51+4.86</f>
        <v>8.370000000000001</v>
      </c>
      <c r="F397" s="335"/>
      <c r="G397" s="335"/>
      <c r="H397" s="335"/>
      <c r="I397" s="336"/>
      <c r="J397" s="337"/>
      <c r="K397" s="672"/>
      <c r="L397" s="672"/>
      <c r="M397" s="672"/>
      <c r="N397" s="672"/>
      <c r="O397" s="672"/>
      <c r="P397" s="672"/>
      <c r="Q397" s="673"/>
      <c r="R397" s="508"/>
      <c r="S397" s="672"/>
      <c r="T397" s="508"/>
    </row>
    <row r="398" spans="1:20" s="22" customFormat="1" ht="20.25" customHeight="1">
      <c r="A398" s="196" t="s">
        <v>2452</v>
      </c>
      <c r="B398" s="197" t="s">
        <v>2453</v>
      </c>
      <c r="C398" s="197" t="s">
        <v>2454</v>
      </c>
      <c r="D398" s="919" t="s">
        <v>2760</v>
      </c>
      <c r="E398" s="198" t="s">
        <v>1748</v>
      </c>
      <c r="F398" s="332">
        <f>0.7*1.8</f>
        <v>1.26</v>
      </c>
      <c r="G398" s="332"/>
      <c r="H398" s="332">
        <f>F398*G398</f>
        <v>0</v>
      </c>
      <c r="I398" s="333">
        <v>0.076</v>
      </c>
      <c r="J398" s="334">
        <f>F398*I398</f>
        <v>0.09576</v>
      </c>
      <c r="K398" s="509"/>
      <c r="L398" s="509"/>
      <c r="M398" s="509"/>
      <c r="N398" s="509"/>
      <c r="O398" s="509"/>
      <c r="P398" s="509"/>
      <c r="Q398" s="509"/>
      <c r="R398" s="509"/>
      <c r="S398" s="509"/>
      <c r="T398" s="509"/>
    </row>
    <row r="399" spans="1:20" s="22" customFormat="1" ht="21.75" customHeight="1">
      <c r="A399" s="196" t="s">
        <v>2455</v>
      </c>
      <c r="B399" s="197" t="s">
        <v>2456</v>
      </c>
      <c r="C399" s="199" t="s">
        <v>2457</v>
      </c>
      <c r="D399" s="919"/>
      <c r="E399" s="198" t="s">
        <v>1709</v>
      </c>
      <c r="F399" s="332">
        <f>SUM(E400:E403)</f>
        <v>106.2772</v>
      </c>
      <c r="G399" s="332"/>
      <c r="H399" s="332">
        <f>F399*G399</f>
        <v>0</v>
      </c>
      <c r="I399" s="333">
        <v>1.6</v>
      </c>
      <c r="J399" s="334">
        <f>F399*I399</f>
        <v>170.04352</v>
      </c>
      <c r="K399" s="509"/>
      <c r="L399" s="509"/>
      <c r="M399" s="509"/>
      <c r="N399" s="509"/>
      <c r="O399" s="509"/>
      <c r="P399" s="509"/>
      <c r="Q399" s="509"/>
      <c r="R399" s="509"/>
      <c r="S399" s="509"/>
      <c r="T399" s="509"/>
    </row>
    <row r="400" spans="1:20" s="130" customFormat="1" ht="18.75" customHeight="1">
      <c r="A400" s="204"/>
      <c r="B400" s="205" t="s">
        <v>2458</v>
      </c>
      <c r="C400" s="206" t="s">
        <v>2459</v>
      </c>
      <c r="D400" s="925" t="s">
        <v>2767</v>
      </c>
      <c r="E400" s="207">
        <f>91.9*0.15</f>
        <v>13.785</v>
      </c>
      <c r="F400" s="335"/>
      <c r="G400" s="335"/>
      <c r="H400" s="335"/>
      <c r="I400" s="336"/>
      <c r="J400" s="337"/>
      <c r="K400" s="672"/>
      <c r="L400" s="672"/>
      <c r="M400" s="672"/>
      <c r="N400" s="672"/>
      <c r="O400" s="672"/>
      <c r="P400" s="672"/>
      <c r="Q400" s="673"/>
      <c r="R400" s="508"/>
      <c r="S400" s="672"/>
      <c r="T400" s="508"/>
    </row>
    <row r="401" spans="1:20" s="130" customFormat="1" ht="18.75" customHeight="1">
      <c r="A401" s="204"/>
      <c r="B401" s="205" t="s">
        <v>2460</v>
      </c>
      <c r="C401" s="206" t="s">
        <v>2461</v>
      </c>
      <c r="D401" s="925" t="s">
        <v>2768</v>
      </c>
      <c r="E401" s="207">
        <f>(58.2+58.2)*0.15</f>
        <v>17.46</v>
      </c>
      <c r="F401" s="335"/>
      <c r="G401" s="335"/>
      <c r="H401" s="335"/>
      <c r="I401" s="336"/>
      <c r="J401" s="337"/>
      <c r="K401" s="672"/>
      <c r="L401" s="672"/>
      <c r="M401" s="672"/>
      <c r="N401" s="672"/>
      <c r="O401" s="672"/>
      <c r="P401" s="672"/>
      <c r="Q401" s="673"/>
      <c r="R401" s="508"/>
      <c r="S401" s="672"/>
      <c r="T401" s="508"/>
    </row>
    <row r="402" spans="1:20" s="130" customFormat="1" ht="18.75" customHeight="1">
      <c r="A402" s="204"/>
      <c r="B402" s="205" t="s">
        <v>2462</v>
      </c>
      <c r="C402" s="206" t="s">
        <v>2463</v>
      </c>
      <c r="D402" s="925" t="s">
        <v>2769</v>
      </c>
      <c r="E402" s="207">
        <f>(167.6+78.11+78.11)*0.15</f>
        <v>48.573</v>
      </c>
      <c r="F402" s="335"/>
      <c r="G402" s="335"/>
      <c r="H402" s="335"/>
      <c r="I402" s="336"/>
      <c r="J402" s="337"/>
      <c r="K402" s="672"/>
      <c r="L402" s="672"/>
      <c r="M402" s="672"/>
      <c r="N402" s="672"/>
      <c r="O402" s="672"/>
      <c r="P402" s="672"/>
      <c r="Q402" s="673"/>
      <c r="R402" s="508"/>
      <c r="S402" s="672"/>
      <c r="T402" s="508"/>
    </row>
    <row r="403" spans="1:20" s="130" customFormat="1" ht="18.75" customHeight="1">
      <c r="A403" s="204"/>
      <c r="B403" s="205" t="s">
        <v>2022</v>
      </c>
      <c r="C403" s="206" t="s">
        <v>2464</v>
      </c>
      <c r="D403" s="925" t="s">
        <v>2770</v>
      </c>
      <c r="E403" s="207">
        <f>(165.37+165.37)*0.08</f>
        <v>26.459200000000003</v>
      </c>
      <c r="F403" s="335"/>
      <c r="G403" s="335"/>
      <c r="H403" s="335"/>
      <c r="I403" s="336"/>
      <c r="J403" s="337"/>
      <c r="K403" s="672"/>
      <c r="L403" s="672"/>
      <c r="M403" s="672"/>
      <c r="N403" s="672"/>
      <c r="O403" s="672"/>
      <c r="P403" s="672"/>
      <c r="Q403" s="673"/>
      <c r="R403" s="508"/>
      <c r="S403" s="672"/>
      <c r="T403" s="508"/>
    </row>
    <row r="404" spans="1:20" s="22" customFormat="1" ht="21.75" customHeight="1">
      <c r="A404" s="196" t="s">
        <v>2465</v>
      </c>
      <c r="B404" s="197" t="s">
        <v>2466</v>
      </c>
      <c r="C404" s="199" t="s">
        <v>2467</v>
      </c>
      <c r="D404" s="919" t="s">
        <v>2756</v>
      </c>
      <c r="E404" s="198" t="s">
        <v>1709</v>
      </c>
      <c r="F404" s="332">
        <f>E405</f>
        <v>6.6879</v>
      </c>
      <c r="G404" s="332"/>
      <c r="H404" s="332">
        <f>F404*G404</f>
        <v>0</v>
      </c>
      <c r="I404" s="333">
        <v>1.671</v>
      </c>
      <c r="J404" s="334">
        <f>F404*I404</f>
        <v>11.1754809</v>
      </c>
      <c r="K404" s="509"/>
      <c r="L404" s="509"/>
      <c r="M404" s="509"/>
      <c r="N404" s="509"/>
      <c r="O404" s="509"/>
      <c r="P404" s="509"/>
      <c r="Q404" s="509"/>
      <c r="R404" s="509"/>
      <c r="S404" s="509"/>
      <c r="T404" s="509"/>
    </row>
    <row r="405" spans="1:20" s="130" customFormat="1" ht="33.75" customHeight="1">
      <c r="A405" s="204"/>
      <c r="B405" s="205" t="s">
        <v>1788</v>
      </c>
      <c r="C405" s="206" t="s">
        <v>1789</v>
      </c>
      <c r="D405" s="925"/>
      <c r="E405" s="207">
        <f>1.385*0.45*1.2+1*0.45*1.2+1.5*0.45*1.2*2+1.5*0.45*2.8*2</f>
        <v>6.6879</v>
      </c>
      <c r="F405" s="335"/>
      <c r="G405" s="335"/>
      <c r="H405" s="335"/>
      <c r="I405" s="336"/>
      <c r="J405" s="337"/>
      <c r="K405" s="672"/>
      <c r="L405" s="672"/>
      <c r="M405" s="672"/>
      <c r="N405" s="672"/>
      <c r="O405" s="672"/>
      <c r="P405" s="672"/>
      <c r="Q405" s="673"/>
      <c r="R405" s="508"/>
      <c r="S405" s="672"/>
      <c r="T405" s="508"/>
    </row>
    <row r="406" spans="1:20" s="22" customFormat="1" ht="21.75" customHeight="1">
      <c r="A406" s="196" t="s">
        <v>2468</v>
      </c>
      <c r="B406" s="197" t="s">
        <v>2469</v>
      </c>
      <c r="C406" s="199" t="s">
        <v>2470</v>
      </c>
      <c r="D406" s="919"/>
      <c r="E406" s="198" t="s">
        <v>1748</v>
      </c>
      <c r="F406" s="332">
        <f>SUM(E407:E408)</f>
        <v>440.22</v>
      </c>
      <c r="G406" s="332"/>
      <c r="H406" s="332">
        <f>F406*G406</f>
        <v>0</v>
      </c>
      <c r="I406" s="333">
        <v>0.014</v>
      </c>
      <c r="J406" s="334">
        <f>F406*I406</f>
        <v>6.163080000000001</v>
      </c>
      <c r="K406" s="509"/>
      <c r="L406" s="509"/>
      <c r="M406" s="509"/>
      <c r="N406" s="509"/>
      <c r="O406" s="509"/>
      <c r="P406" s="509"/>
      <c r="Q406" s="509"/>
      <c r="R406" s="509"/>
      <c r="S406" s="509"/>
      <c r="T406" s="509"/>
    </row>
    <row r="407" spans="1:20" s="130" customFormat="1" ht="18.75" customHeight="1">
      <c r="A407" s="204"/>
      <c r="B407" s="205" t="s">
        <v>2460</v>
      </c>
      <c r="C407" s="206" t="s">
        <v>2471</v>
      </c>
      <c r="D407" s="925" t="s">
        <v>2768</v>
      </c>
      <c r="E407" s="207">
        <f>58.2+58.2</f>
        <v>116.4</v>
      </c>
      <c r="F407" s="335"/>
      <c r="G407" s="335"/>
      <c r="H407" s="335"/>
      <c r="I407" s="336"/>
      <c r="J407" s="337"/>
      <c r="K407" s="672"/>
      <c r="L407" s="672"/>
      <c r="M407" s="672"/>
      <c r="N407" s="672"/>
      <c r="O407" s="672"/>
      <c r="P407" s="672"/>
      <c r="Q407" s="673"/>
      <c r="R407" s="508"/>
      <c r="S407" s="672"/>
      <c r="T407" s="508"/>
    </row>
    <row r="408" spans="1:20" s="130" customFormat="1" ht="18.75" customHeight="1">
      <c r="A408" s="204"/>
      <c r="B408" s="205" t="s">
        <v>2462</v>
      </c>
      <c r="C408" s="206" t="s">
        <v>2472</v>
      </c>
      <c r="D408" s="925" t="s">
        <v>2769</v>
      </c>
      <c r="E408" s="207">
        <f>167.6+78.11+78.11</f>
        <v>323.82</v>
      </c>
      <c r="F408" s="335"/>
      <c r="G408" s="335"/>
      <c r="H408" s="335"/>
      <c r="I408" s="336"/>
      <c r="J408" s="337"/>
      <c r="K408" s="672"/>
      <c r="L408" s="672"/>
      <c r="M408" s="672"/>
      <c r="N408" s="672"/>
      <c r="O408" s="672"/>
      <c r="P408" s="672"/>
      <c r="Q408" s="673"/>
      <c r="R408" s="508"/>
      <c r="S408" s="672"/>
      <c r="T408" s="508"/>
    </row>
    <row r="409" spans="1:20" s="22" customFormat="1" ht="20.25" customHeight="1">
      <c r="A409" s="196" t="s">
        <v>2473</v>
      </c>
      <c r="B409" s="197" t="s">
        <v>2474</v>
      </c>
      <c r="C409" s="199" t="s">
        <v>2475</v>
      </c>
      <c r="D409" s="919" t="s">
        <v>2770</v>
      </c>
      <c r="E409" s="198" t="s">
        <v>1748</v>
      </c>
      <c r="F409" s="332">
        <f>SUM(E410)</f>
        <v>330.74</v>
      </c>
      <c r="G409" s="332"/>
      <c r="H409" s="332">
        <f>F409*G409</f>
        <v>0</v>
      </c>
      <c r="I409" s="333">
        <v>0.045</v>
      </c>
      <c r="J409" s="334">
        <f>F409*I409</f>
        <v>14.8833</v>
      </c>
      <c r="K409" s="509"/>
      <c r="L409" s="509"/>
      <c r="M409" s="509"/>
      <c r="N409" s="509"/>
      <c r="O409" s="509"/>
      <c r="P409" s="509"/>
      <c r="Q409" s="509"/>
      <c r="R409" s="509"/>
      <c r="S409" s="509"/>
      <c r="T409" s="509"/>
    </row>
    <row r="410" spans="1:20" s="130" customFormat="1" ht="18.75" customHeight="1">
      <c r="A410" s="204"/>
      <c r="B410" s="205" t="s">
        <v>2022</v>
      </c>
      <c r="C410" s="206" t="s">
        <v>2023</v>
      </c>
      <c r="D410" s="925"/>
      <c r="E410" s="207">
        <f>165.37+165.37</f>
        <v>330.74</v>
      </c>
      <c r="F410" s="335"/>
      <c r="G410" s="335"/>
      <c r="H410" s="335"/>
      <c r="I410" s="336"/>
      <c r="J410" s="337"/>
      <c r="K410" s="672"/>
      <c r="L410" s="672"/>
      <c r="M410" s="672"/>
      <c r="N410" s="672"/>
      <c r="O410" s="672"/>
      <c r="P410" s="672"/>
      <c r="Q410" s="673"/>
      <c r="R410" s="508"/>
      <c r="S410" s="672"/>
      <c r="T410" s="508"/>
    </row>
    <row r="411" spans="1:20" s="22" customFormat="1" ht="30.75" customHeight="1">
      <c r="A411" s="196" t="s">
        <v>2476</v>
      </c>
      <c r="B411" s="197" t="s">
        <v>2477</v>
      </c>
      <c r="C411" s="199" t="s">
        <v>2478</v>
      </c>
      <c r="D411" s="919"/>
      <c r="E411" s="198" t="s">
        <v>1748</v>
      </c>
      <c r="F411" s="332">
        <f>SUM(E412:E413)</f>
        <v>19.099999999999998</v>
      </c>
      <c r="G411" s="332"/>
      <c r="H411" s="332">
        <f>F411*G411</f>
        <v>0</v>
      </c>
      <c r="I411" s="333">
        <v>0.02</v>
      </c>
      <c r="J411" s="334">
        <f>F411*I411</f>
        <v>0.38199999999999995</v>
      </c>
      <c r="K411" s="509"/>
      <c r="L411" s="509"/>
      <c r="M411" s="509"/>
      <c r="N411" s="509"/>
      <c r="O411" s="509"/>
      <c r="P411" s="509"/>
      <c r="Q411" s="509"/>
      <c r="R411" s="509"/>
      <c r="S411" s="509"/>
      <c r="T411" s="509"/>
    </row>
    <row r="412" spans="1:20" s="130" customFormat="1" ht="18.75" customHeight="1">
      <c r="A412" s="204"/>
      <c r="B412" s="205" t="s">
        <v>2479</v>
      </c>
      <c r="C412" s="206" t="s">
        <v>2480</v>
      </c>
      <c r="D412" s="925" t="s">
        <v>2759</v>
      </c>
      <c r="E412" s="207">
        <v>3.9</v>
      </c>
      <c r="F412" s="335"/>
      <c r="G412" s="335"/>
      <c r="H412" s="335"/>
      <c r="I412" s="336"/>
      <c r="J412" s="337"/>
      <c r="K412" s="672"/>
      <c r="L412" s="672"/>
      <c r="M412" s="672"/>
      <c r="N412" s="672"/>
      <c r="O412" s="672"/>
      <c r="P412" s="672"/>
      <c r="Q412" s="673"/>
      <c r="R412" s="508"/>
      <c r="S412" s="672"/>
      <c r="T412" s="508"/>
    </row>
    <row r="413" spans="1:20" s="130" customFormat="1" ht="18.75" customHeight="1">
      <c r="A413" s="204"/>
      <c r="B413" s="205" t="s">
        <v>2481</v>
      </c>
      <c r="C413" s="206" t="s">
        <v>2025</v>
      </c>
      <c r="D413" s="925" t="s">
        <v>2763</v>
      </c>
      <c r="E413" s="207">
        <v>15.2</v>
      </c>
      <c r="F413" s="335"/>
      <c r="G413" s="335"/>
      <c r="H413" s="335"/>
      <c r="I413" s="336"/>
      <c r="J413" s="337"/>
      <c r="K413" s="672"/>
      <c r="L413" s="672"/>
      <c r="M413" s="672"/>
      <c r="N413" s="672"/>
      <c r="O413" s="672"/>
      <c r="P413" s="672"/>
      <c r="Q413" s="673"/>
      <c r="R413" s="508"/>
      <c r="S413" s="672"/>
      <c r="T413" s="508"/>
    </row>
    <row r="414" spans="1:20" s="22" customFormat="1" ht="21.75" customHeight="1">
      <c r="A414" s="196" t="s">
        <v>2482</v>
      </c>
      <c r="B414" s="197" t="s">
        <v>2483</v>
      </c>
      <c r="C414" s="199" t="s">
        <v>2484</v>
      </c>
      <c r="D414" s="919" t="s">
        <v>2760</v>
      </c>
      <c r="E414" s="198" t="s">
        <v>1831</v>
      </c>
      <c r="F414" s="332">
        <v>4</v>
      </c>
      <c r="G414" s="332"/>
      <c r="H414" s="332">
        <f aca="true" t="shared" si="22" ref="H414:H425">F414*G414</f>
        <v>0</v>
      </c>
      <c r="I414" s="333">
        <v>0.037</v>
      </c>
      <c r="J414" s="334">
        <f aca="true" t="shared" si="23" ref="J414:J425">F414*I414</f>
        <v>0.148</v>
      </c>
      <c r="K414" s="509"/>
      <c r="L414" s="509"/>
      <c r="M414" s="509"/>
      <c r="N414" s="509"/>
      <c r="O414" s="509"/>
      <c r="P414" s="509"/>
      <c r="Q414" s="509"/>
      <c r="R414" s="509"/>
      <c r="S414" s="509"/>
      <c r="T414" s="509"/>
    </row>
    <row r="415" spans="1:20" s="22" customFormat="1" ht="21.75" customHeight="1">
      <c r="A415" s="196" t="s">
        <v>2485</v>
      </c>
      <c r="B415" s="197" t="s">
        <v>2486</v>
      </c>
      <c r="C415" s="199" t="s">
        <v>2487</v>
      </c>
      <c r="D415" s="919" t="s">
        <v>2760</v>
      </c>
      <c r="E415" s="198" t="s">
        <v>2488</v>
      </c>
      <c r="F415" s="332">
        <v>72</v>
      </c>
      <c r="G415" s="332"/>
      <c r="H415" s="332">
        <f t="shared" si="22"/>
        <v>0</v>
      </c>
      <c r="I415" s="333">
        <v>0.001</v>
      </c>
      <c r="J415" s="334">
        <f t="shared" si="23"/>
        <v>0.07200000000000001</v>
      </c>
      <c r="K415" s="509"/>
      <c r="L415" s="509"/>
      <c r="M415" s="509"/>
      <c r="N415" s="509"/>
      <c r="O415" s="509"/>
      <c r="P415" s="509"/>
      <c r="Q415" s="509"/>
      <c r="R415" s="509"/>
      <c r="S415" s="509"/>
      <c r="T415" s="509"/>
    </row>
    <row r="416" spans="1:20" s="22" customFormat="1" ht="26.25" customHeight="1">
      <c r="A416" s="196" t="s">
        <v>2489</v>
      </c>
      <c r="B416" s="197" t="s">
        <v>2490</v>
      </c>
      <c r="C416" s="199" t="s">
        <v>2491</v>
      </c>
      <c r="D416" s="919" t="s">
        <v>2760</v>
      </c>
      <c r="E416" s="198" t="s">
        <v>1826</v>
      </c>
      <c r="F416" s="332">
        <f>76+190+42.5</f>
        <v>308.5</v>
      </c>
      <c r="G416" s="332"/>
      <c r="H416" s="332">
        <f t="shared" si="22"/>
        <v>0</v>
      </c>
      <c r="I416" s="333">
        <v>0.00135</v>
      </c>
      <c r="J416" s="334">
        <f t="shared" si="23"/>
        <v>0.41647500000000004</v>
      </c>
      <c r="K416" s="509"/>
      <c r="L416" s="509"/>
      <c r="M416" s="509"/>
      <c r="N416" s="509"/>
      <c r="O416" s="509"/>
      <c r="P416" s="509"/>
      <c r="Q416" s="509"/>
      <c r="R416" s="509"/>
      <c r="S416" s="509"/>
      <c r="T416" s="509"/>
    </row>
    <row r="417" spans="1:20" s="22" customFormat="1" ht="21.75" customHeight="1">
      <c r="A417" s="196" t="s">
        <v>2492</v>
      </c>
      <c r="B417" s="197" t="s">
        <v>2493</v>
      </c>
      <c r="C417" s="199" t="s">
        <v>2494</v>
      </c>
      <c r="D417" s="919" t="s">
        <v>2760</v>
      </c>
      <c r="E417" s="198" t="s">
        <v>1826</v>
      </c>
      <c r="F417" s="332">
        <f>102.7+13.2+482.5</f>
        <v>598.4</v>
      </c>
      <c r="G417" s="332"/>
      <c r="H417" s="332">
        <f t="shared" si="22"/>
        <v>0</v>
      </c>
      <c r="I417" s="333">
        <v>0.00175</v>
      </c>
      <c r="J417" s="334">
        <f t="shared" si="23"/>
        <v>1.0472</v>
      </c>
      <c r="K417" s="509"/>
      <c r="L417" s="509"/>
      <c r="M417" s="509"/>
      <c r="N417" s="509"/>
      <c r="O417" s="509"/>
      <c r="P417" s="509"/>
      <c r="Q417" s="509"/>
      <c r="R417" s="509"/>
      <c r="S417" s="509"/>
      <c r="T417" s="509"/>
    </row>
    <row r="418" spans="1:20" s="22" customFormat="1" ht="21.75" customHeight="1">
      <c r="A418" s="196" t="s">
        <v>2495</v>
      </c>
      <c r="B418" s="197" t="s">
        <v>2496</v>
      </c>
      <c r="C418" s="199" t="s">
        <v>2497</v>
      </c>
      <c r="D418" s="919" t="s">
        <v>2760</v>
      </c>
      <c r="E418" s="198" t="s">
        <v>1826</v>
      </c>
      <c r="F418" s="332">
        <f>13.9+87.3</f>
        <v>101.2</v>
      </c>
      <c r="G418" s="332"/>
      <c r="H418" s="332">
        <f t="shared" si="22"/>
        <v>0</v>
      </c>
      <c r="I418" s="333">
        <v>0.00395</v>
      </c>
      <c r="J418" s="334">
        <f t="shared" si="23"/>
        <v>0.39974000000000004</v>
      </c>
      <c r="K418" s="509"/>
      <c r="L418" s="509"/>
      <c r="M418" s="509"/>
      <c r="N418" s="509"/>
      <c r="O418" s="509"/>
      <c r="P418" s="509"/>
      <c r="Q418" s="509"/>
      <c r="R418" s="509"/>
      <c r="S418" s="509"/>
      <c r="T418" s="509"/>
    </row>
    <row r="419" spans="1:20" s="22" customFormat="1" ht="21.75" customHeight="1">
      <c r="A419" s="196" t="s">
        <v>2498</v>
      </c>
      <c r="B419" s="197" t="s">
        <v>2499</v>
      </c>
      <c r="C419" s="199" t="s">
        <v>2500</v>
      </c>
      <c r="D419" s="919" t="s">
        <v>2760</v>
      </c>
      <c r="E419" s="198" t="s">
        <v>1826</v>
      </c>
      <c r="F419" s="332">
        <f>301+268.5</f>
        <v>569.5</v>
      </c>
      <c r="G419" s="332"/>
      <c r="H419" s="332">
        <f t="shared" si="22"/>
        <v>0</v>
      </c>
      <c r="I419" s="333">
        <v>0.0023</v>
      </c>
      <c r="J419" s="334">
        <f t="shared" si="23"/>
        <v>1.30985</v>
      </c>
      <c r="K419" s="509"/>
      <c r="L419" s="509"/>
      <c r="M419" s="509"/>
      <c r="N419" s="509"/>
      <c r="O419" s="509"/>
      <c r="P419" s="509"/>
      <c r="Q419" s="509"/>
      <c r="R419" s="509"/>
      <c r="S419" s="509"/>
      <c r="T419" s="509"/>
    </row>
    <row r="420" spans="1:20" s="22" customFormat="1" ht="21.75" customHeight="1">
      <c r="A420" s="196" t="s">
        <v>2501</v>
      </c>
      <c r="B420" s="197" t="s">
        <v>2502</v>
      </c>
      <c r="C420" s="199" t="s">
        <v>2503</v>
      </c>
      <c r="D420" s="919" t="s">
        <v>2760</v>
      </c>
      <c r="E420" s="198" t="s">
        <v>1826</v>
      </c>
      <c r="F420" s="332">
        <v>121.8</v>
      </c>
      <c r="G420" s="332"/>
      <c r="H420" s="332">
        <f t="shared" si="22"/>
        <v>0</v>
      </c>
      <c r="I420" s="333">
        <v>0.00435</v>
      </c>
      <c r="J420" s="334">
        <f t="shared" si="23"/>
        <v>0.5298299999999999</v>
      </c>
      <c r="K420" s="509"/>
      <c r="L420" s="509"/>
      <c r="M420" s="509"/>
      <c r="N420" s="509"/>
      <c r="O420" s="509"/>
      <c r="P420" s="509"/>
      <c r="Q420" s="509"/>
      <c r="R420" s="509"/>
      <c r="S420" s="509"/>
      <c r="T420" s="509"/>
    </row>
    <row r="421" spans="1:20" s="22" customFormat="1" ht="21.75" customHeight="1">
      <c r="A421" s="196" t="s">
        <v>2504</v>
      </c>
      <c r="B421" s="197" t="s">
        <v>2505</v>
      </c>
      <c r="C421" s="199" t="s">
        <v>2506</v>
      </c>
      <c r="D421" s="919" t="s">
        <v>2760</v>
      </c>
      <c r="E421" s="198" t="s">
        <v>1826</v>
      </c>
      <c r="F421" s="332">
        <f>98.6+166</f>
        <v>264.6</v>
      </c>
      <c r="G421" s="332"/>
      <c r="H421" s="332">
        <f t="shared" si="22"/>
        <v>0</v>
      </c>
      <c r="I421" s="333">
        <v>0.00591</v>
      </c>
      <c r="J421" s="334">
        <f t="shared" si="23"/>
        <v>1.5637860000000001</v>
      </c>
      <c r="K421" s="509"/>
      <c r="L421" s="509"/>
      <c r="M421" s="509"/>
      <c r="N421" s="509"/>
      <c r="O421" s="509"/>
      <c r="P421" s="509"/>
      <c r="Q421" s="509"/>
      <c r="R421" s="509"/>
      <c r="S421" s="509"/>
      <c r="T421" s="509"/>
    </row>
    <row r="422" spans="1:20" s="22" customFormat="1" ht="21.75" customHeight="1">
      <c r="A422" s="196" t="s">
        <v>2507</v>
      </c>
      <c r="B422" s="197" t="s">
        <v>2508</v>
      </c>
      <c r="C422" s="199" t="s">
        <v>2509</v>
      </c>
      <c r="D422" s="919" t="s">
        <v>2760</v>
      </c>
      <c r="E422" s="198" t="s">
        <v>1826</v>
      </c>
      <c r="F422" s="332">
        <v>126</v>
      </c>
      <c r="G422" s="332"/>
      <c r="H422" s="332">
        <f t="shared" si="22"/>
        <v>0</v>
      </c>
      <c r="I422" s="333">
        <v>0.00324</v>
      </c>
      <c r="J422" s="334">
        <f t="shared" si="23"/>
        <v>0.40824</v>
      </c>
      <c r="K422" s="509"/>
      <c r="L422" s="509"/>
      <c r="M422" s="509"/>
      <c r="N422" s="509"/>
      <c r="O422" s="509"/>
      <c r="P422" s="509"/>
      <c r="Q422" s="509"/>
      <c r="R422" s="509"/>
      <c r="S422" s="509"/>
      <c r="T422" s="509"/>
    </row>
    <row r="423" spans="1:20" s="22" customFormat="1" ht="21.75" customHeight="1">
      <c r="A423" s="196" t="s">
        <v>2510</v>
      </c>
      <c r="B423" s="197" t="s">
        <v>2511</v>
      </c>
      <c r="C423" s="199" t="s">
        <v>2512</v>
      </c>
      <c r="D423" s="919" t="s">
        <v>2760</v>
      </c>
      <c r="E423" s="198" t="s">
        <v>2513</v>
      </c>
      <c r="F423" s="332">
        <f>11*16+29</f>
        <v>205</v>
      </c>
      <c r="G423" s="332"/>
      <c r="H423" s="332">
        <f t="shared" si="22"/>
        <v>0</v>
      </c>
      <c r="I423" s="333">
        <v>0.00285</v>
      </c>
      <c r="J423" s="334">
        <f t="shared" si="23"/>
        <v>0.58425</v>
      </c>
      <c r="K423" s="509"/>
      <c r="L423" s="509"/>
      <c r="M423" s="509"/>
      <c r="N423" s="509"/>
      <c r="O423" s="509"/>
      <c r="P423" s="509"/>
      <c r="Q423" s="509"/>
      <c r="R423" s="509"/>
      <c r="S423" s="509"/>
      <c r="T423" s="509"/>
    </row>
    <row r="424" spans="1:20" s="22" customFormat="1" ht="21.75" customHeight="1">
      <c r="A424" s="196" t="s">
        <v>2514</v>
      </c>
      <c r="B424" s="197" t="s">
        <v>2515</v>
      </c>
      <c r="C424" s="199" t="s">
        <v>2516</v>
      </c>
      <c r="D424" s="919" t="s">
        <v>2760</v>
      </c>
      <c r="E424" s="198" t="s">
        <v>1831</v>
      </c>
      <c r="F424" s="332">
        <v>11</v>
      </c>
      <c r="G424" s="332"/>
      <c r="H424" s="332">
        <f t="shared" si="22"/>
        <v>0</v>
      </c>
      <c r="I424" s="333">
        <v>0.03522</v>
      </c>
      <c r="J424" s="334">
        <f t="shared" si="23"/>
        <v>0.38742</v>
      </c>
      <c r="K424" s="509"/>
      <c r="L424" s="509"/>
      <c r="M424" s="509"/>
      <c r="N424" s="509"/>
      <c r="O424" s="509"/>
      <c r="P424" s="509"/>
      <c r="Q424" s="509"/>
      <c r="R424" s="509"/>
      <c r="S424" s="509"/>
      <c r="T424" s="509"/>
    </row>
    <row r="425" spans="1:20" s="22" customFormat="1" ht="21.75" customHeight="1">
      <c r="A425" s="196" t="s">
        <v>2517</v>
      </c>
      <c r="B425" s="197" t="s">
        <v>2518</v>
      </c>
      <c r="C425" s="199" t="s">
        <v>2519</v>
      </c>
      <c r="D425" s="919" t="s">
        <v>2756</v>
      </c>
      <c r="E425" s="198" t="s">
        <v>1748</v>
      </c>
      <c r="F425" s="332">
        <f>SUM(E426:E427)</f>
        <v>118.83</v>
      </c>
      <c r="G425" s="332"/>
      <c r="H425" s="332">
        <f t="shared" si="22"/>
        <v>0</v>
      </c>
      <c r="I425" s="333">
        <v>0.00732</v>
      </c>
      <c r="J425" s="334">
        <f t="shared" si="23"/>
        <v>0.8698356</v>
      </c>
      <c r="K425" s="509"/>
      <c r="L425" s="509"/>
      <c r="M425" s="509"/>
      <c r="N425" s="509"/>
      <c r="O425" s="509"/>
      <c r="P425" s="509"/>
      <c r="Q425" s="509"/>
      <c r="R425" s="509"/>
      <c r="S425" s="509"/>
      <c r="T425" s="509"/>
    </row>
    <row r="426" spans="1:20" s="130" customFormat="1" ht="21.75" customHeight="1">
      <c r="A426" s="204"/>
      <c r="B426" s="205"/>
      <c r="C426" s="206" t="s">
        <v>2520</v>
      </c>
      <c r="D426" s="925"/>
      <c r="E426" s="207">
        <v>7.1</v>
      </c>
      <c r="F426" s="335"/>
      <c r="G426" s="335"/>
      <c r="H426" s="335"/>
      <c r="I426" s="336"/>
      <c r="J426" s="337"/>
      <c r="K426" s="508"/>
      <c r="L426" s="508"/>
      <c r="M426" s="508"/>
      <c r="N426" s="508"/>
      <c r="O426" s="508"/>
      <c r="P426" s="508"/>
      <c r="Q426" s="508"/>
      <c r="R426" s="508"/>
      <c r="S426" s="508"/>
      <c r="T426" s="508"/>
    </row>
    <row r="427" spans="1:20" s="130" customFormat="1" ht="21.75" customHeight="1">
      <c r="A427" s="204"/>
      <c r="B427" s="205" t="s">
        <v>1807</v>
      </c>
      <c r="C427" s="206" t="s">
        <v>2521</v>
      </c>
      <c r="D427" s="925"/>
      <c r="E427" s="207">
        <f>91.9+19.83</f>
        <v>111.73</v>
      </c>
      <c r="F427" s="335"/>
      <c r="G427" s="335"/>
      <c r="H427" s="335"/>
      <c r="I427" s="336"/>
      <c r="J427" s="337"/>
      <c r="K427" s="508"/>
      <c r="L427" s="508"/>
      <c r="M427" s="508"/>
      <c r="N427" s="508"/>
      <c r="O427" s="508"/>
      <c r="P427" s="508"/>
      <c r="Q427" s="508"/>
      <c r="R427" s="508"/>
      <c r="S427" s="508"/>
      <c r="T427" s="508"/>
    </row>
    <row r="428" spans="1:20" s="22" customFormat="1" ht="27" customHeight="1">
      <c r="A428" s="196" t="s">
        <v>2522</v>
      </c>
      <c r="B428" s="197" t="s">
        <v>2523</v>
      </c>
      <c r="C428" s="199" t="s">
        <v>2524</v>
      </c>
      <c r="D428" s="919" t="s">
        <v>2771</v>
      </c>
      <c r="E428" s="198" t="s">
        <v>1831</v>
      </c>
      <c r="F428" s="332">
        <v>8</v>
      </c>
      <c r="G428" s="332"/>
      <c r="H428" s="332">
        <f>F428*G428</f>
        <v>0</v>
      </c>
      <c r="I428" s="333">
        <v>0.00463</v>
      </c>
      <c r="J428" s="334">
        <f>F428*I428</f>
        <v>0.03704</v>
      </c>
      <c r="K428" s="509"/>
      <c r="L428" s="509"/>
      <c r="M428" s="509"/>
      <c r="N428" s="509"/>
      <c r="O428" s="509"/>
      <c r="P428" s="509"/>
      <c r="Q428" s="509"/>
      <c r="R428" s="509"/>
      <c r="S428" s="509"/>
      <c r="T428" s="509"/>
    </row>
    <row r="429" spans="1:20" s="22" customFormat="1" ht="21.75" customHeight="1">
      <c r="A429" s="196" t="s">
        <v>2526</v>
      </c>
      <c r="B429" s="197" t="s">
        <v>2527</v>
      </c>
      <c r="C429" s="199" t="s">
        <v>2528</v>
      </c>
      <c r="D429" s="919"/>
      <c r="E429" s="198" t="s">
        <v>1783</v>
      </c>
      <c r="F429" s="332">
        <f>F430*0.8</f>
        <v>328.4397436</v>
      </c>
      <c r="G429" s="332"/>
      <c r="H429" s="332">
        <f aca="true" t="shared" si="24" ref="H429:H437">F429*G429</f>
        <v>0</v>
      </c>
      <c r="I429" s="333"/>
      <c r="J429" s="334"/>
      <c r="K429" s="509"/>
      <c r="L429" s="509"/>
      <c r="M429" s="509"/>
      <c r="N429" s="509"/>
      <c r="O429" s="509"/>
      <c r="P429" s="509"/>
      <c r="Q429" s="509"/>
      <c r="R429" s="509"/>
      <c r="S429" s="509"/>
      <c r="T429" s="509"/>
    </row>
    <row r="430" spans="1:20" s="22" customFormat="1" ht="21.75" customHeight="1">
      <c r="A430" s="196" t="s">
        <v>2529</v>
      </c>
      <c r="B430" s="197" t="s">
        <v>2530</v>
      </c>
      <c r="C430" s="199" t="s">
        <v>2531</v>
      </c>
      <c r="D430" s="919"/>
      <c r="E430" s="198" t="s">
        <v>1783</v>
      </c>
      <c r="F430" s="332">
        <f>J352</f>
        <v>410.54967949999997</v>
      </c>
      <c r="G430" s="332"/>
      <c r="H430" s="332">
        <f t="shared" si="24"/>
        <v>0</v>
      </c>
      <c r="I430" s="333"/>
      <c r="J430" s="334"/>
      <c r="K430" s="509"/>
      <c r="L430" s="509"/>
      <c r="M430" s="509"/>
      <c r="N430" s="509"/>
      <c r="O430" s="509"/>
      <c r="P430" s="509"/>
      <c r="Q430" s="509"/>
      <c r="R430" s="509"/>
      <c r="S430" s="509"/>
      <c r="T430" s="509"/>
    </row>
    <row r="431" spans="1:20" s="22" customFormat="1" ht="21.75" customHeight="1">
      <c r="A431" s="196" t="s">
        <v>2532</v>
      </c>
      <c r="B431" s="197" t="s">
        <v>2533</v>
      </c>
      <c r="C431" s="199" t="s">
        <v>2534</v>
      </c>
      <c r="D431" s="919"/>
      <c r="E431" s="198" t="s">
        <v>1783</v>
      </c>
      <c r="F431" s="332">
        <f>F430</f>
        <v>410.54967949999997</v>
      </c>
      <c r="G431" s="332"/>
      <c r="H431" s="332">
        <f t="shared" si="24"/>
        <v>0</v>
      </c>
      <c r="I431" s="333"/>
      <c r="J431" s="334"/>
      <c r="K431" s="509"/>
      <c r="L431" s="509"/>
      <c r="M431" s="509"/>
      <c r="N431" s="509"/>
      <c r="O431" s="509"/>
      <c r="P431" s="509"/>
      <c r="Q431" s="509"/>
      <c r="R431" s="509"/>
      <c r="S431" s="509"/>
      <c r="T431" s="509"/>
    </row>
    <row r="432" spans="1:20" s="22" customFormat="1" ht="21.75" customHeight="1">
      <c r="A432" s="196" t="s">
        <v>2535</v>
      </c>
      <c r="B432" s="197" t="s">
        <v>2536</v>
      </c>
      <c r="C432" s="199" t="s">
        <v>2537</v>
      </c>
      <c r="D432" s="919"/>
      <c r="E432" s="198" t="s">
        <v>1783</v>
      </c>
      <c r="F432" s="332">
        <f>F430</f>
        <v>410.54967949999997</v>
      </c>
      <c r="G432" s="332"/>
      <c r="H432" s="332">
        <f t="shared" si="24"/>
        <v>0</v>
      </c>
      <c r="I432" s="333"/>
      <c r="J432" s="334"/>
      <c r="K432" s="509"/>
      <c r="L432" s="509"/>
      <c r="M432" s="509"/>
      <c r="N432" s="509"/>
      <c r="O432" s="509"/>
      <c r="P432" s="509"/>
      <c r="Q432" s="509"/>
      <c r="R432" s="509"/>
      <c r="S432" s="509"/>
      <c r="T432" s="509"/>
    </row>
    <row r="433" spans="1:20" s="22" customFormat="1" ht="21.75" customHeight="1">
      <c r="A433" s="196" t="s">
        <v>2538</v>
      </c>
      <c r="B433" s="197" t="s">
        <v>2539</v>
      </c>
      <c r="C433" s="199" t="s">
        <v>2540</v>
      </c>
      <c r="D433" s="919"/>
      <c r="E433" s="198" t="s">
        <v>1783</v>
      </c>
      <c r="F433" s="332">
        <f>F430*14</f>
        <v>5747.695513</v>
      </c>
      <c r="G433" s="332"/>
      <c r="H433" s="332">
        <f t="shared" si="24"/>
        <v>0</v>
      </c>
      <c r="I433" s="333"/>
      <c r="J433" s="334"/>
      <c r="K433" s="509"/>
      <c r="L433" s="509"/>
      <c r="M433" s="509"/>
      <c r="N433" s="509"/>
      <c r="O433" s="509"/>
      <c r="P433" s="509"/>
      <c r="Q433" s="509"/>
      <c r="R433" s="509"/>
      <c r="S433" s="509"/>
      <c r="T433" s="509"/>
    </row>
    <row r="434" spans="1:20" s="22" customFormat="1" ht="21.75" customHeight="1">
      <c r="A434" s="196" t="s">
        <v>2541</v>
      </c>
      <c r="B434" s="197" t="s">
        <v>2542</v>
      </c>
      <c r="C434" s="199" t="s">
        <v>2543</v>
      </c>
      <c r="D434" s="919"/>
      <c r="E434" s="198" t="s">
        <v>1783</v>
      </c>
      <c r="F434" s="332">
        <f>F431-F435-F436+F437</f>
        <v>351.3356129</v>
      </c>
      <c r="G434" s="332"/>
      <c r="H434" s="332">
        <f t="shared" si="24"/>
        <v>0</v>
      </c>
      <c r="I434" s="333"/>
      <c r="J434" s="334"/>
      <c r="K434" s="509"/>
      <c r="L434" s="509"/>
      <c r="M434" s="509"/>
      <c r="N434" s="509"/>
      <c r="O434" s="509"/>
      <c r="P434" s="509"/>
      <c r="Q434" s="509"/>
      <c r="R434" s="509"/>
      <c r="S434" s="509"/>
      <c r="T434" s="509"/>
    </row>
    <row r="435" spans="1:20" s="22" customFormat="1" ht="21.75" customHeight="1">
      <c r="A435" s="196" t="s">
        <v>2544</v>
      </c>
      <c r="B435" s="197" t="s">
        <v>2545</v>
      </c>
      <c r="C435" s="199" t="s">
        <v>2546</v>
      </c>
      <c r="D435" s="919"/>
      <c r="E435" s="198" t="s">
        <v>1783</v>
      </c>
      <c r="F435" s="332">
        <f>J406</f>
        <v>6.163080000000001</v>
      </c>
      <c r="G435" s="332"/>
      <c r="H435" s="332">
        <f t="shared" si="24"/>
        <v>0</v>
      </c>
      <c r="I435" s="333"/>
      <c r="J435" s="334"/>
      <c r="K435" s="509"/>
      <c r="L435" s="509"/>
      <c r="M435" s="509"/>
      <c r="N435" s="509"/>
      <c r="O435" s="509"/>
      <c r="P435" s="509"/>
      <c r="Q435" s="509"/>
      <c r="R435" s="509"/>
      <c r="S435" s="509"/>
      <c r="T435" s="509"/>
    </row>
    <row r="436" spans="1:10" s="847" customFormat="1" ht="21.75" customHeight="1">
      <c r="A436" s="840" t="s">
        <v>2741</v>
      </c>
      <c r="B436" s="841" t="s">
        <v>2743</v>
      </c>
      <c r="C436" s="842" t="s">
        <v>2744</v>
      </c>
      <c r="D436" s="919"/>
      <c r="E436" s="843" t="s">
        <v>1783</v>
      </c>
      <c r="F436" s="844">
        <f>J392+J393+J388+J386+J384+J382+J380+J396*0.5</f>
        <v>44.90953499999999</v>
      </c>
      <c r="G436" s="844"/>
      <c r="H436" s="844">
        <f t="shared" si="24"/>
        <v>0</v>
      </c>
      <c r="I436" s="845"/>
      <c r="J436" s="846"/>
    </row>
    <row r="437" spans="1:10" s="847" customFormat="1" ht="21.75" customHeight="1">
      <c r="A437" s="840" t="s">
        <v>2742</v>
      </c>
      <c r="B437" s="848" t="s">
        <v>2745</v>
      </c>
      <c r="C437" s="849" t="s">
        <v>2746</v>
      </c>
      <c r="D437" s="938"/>
      <c r="E437" s="850" t="s">
        <v>1783</v>
      </c>
      <c r="F437" s="851">
        <f>(J428+J425+J424+J423+J422+J421+J420+J419+J418+J417+J416+J415+J414+J398+J396*0.5)*-1</f>
        <v>-8.1414516</v>
      </c>
      <c r="G437" s="851"/>
      <c r="H437" s="844">
        <f t="shared" si="24"/>
        <v>0</v>
      </c>
      <c r="I437" s="852"/>
      <c r="J437" s="853"/>
    </row>
    <row r="438" spans="1:20" s="22" customFormat="1" ht="21.75" customHeight="1" thickBot="1">
      <c r="A438" s="255"/>
      <c r="B438" s="256"/>
      <c r="C438" s="264"/>
      <c r="D438" s="937"/>
      <c r="E438" s="257"/>
      <c r="F438" s="368"/>
      <c r="G438" s="368"/>
      <c r="H438" s="368"/>
      <c r="I438" s="369"/>
      <c r="J438" s="370"/>
      <c r="K438" s="509"/>
      <c r="L438" s="509"/>
      <c r="M438" s="509"/>
      <c r="N438" s="509"/>
      <c r="O438" s="509"/>
      <c r="P438" s="509"/>
      <c r="Q438" s="509"/>
      <c r="R438" s="509"/>
      <c r="S438" s="509"/>
      <c r="T438" s="509"/>
    </row>
    <row r="439" spans="1:20" ht="16.5" customHeight="1" thickBot="1">
      <c r="A439" s="266" t="s">
        <v>2547</v>
      </c>
      <c r="B439" s="175" t="s">
        <v>2548</v>
      </c>
      <c r="C439" s="176" t="s">
        <v>2549</v>
      </c>
      <c r="D439" s="175"/>
      <c r="E439" s="175"/>
      <c r="F439" s="341"/>
      <c r="G439" s="341"/>
      <c r="H439" s="342">
        <f>SUM(H440:H471)</f>
        <v>0</v>
      </c>
      <c r="I439" s="343"/>
      <c r="J439" s="344">
        <f>SUM(J440:J468)</f>
        <v>5.08594464</v>
      </c>
      <c r="K439" s="670"/>
      <c r="L439" s="670"/>
      <c r="M439" s="670"/>
      <c r="N439" s="670"/>
      <c r="O439" s="670"/>
      <c r="P439" s="670"/>
      <c r="Q439" s="670"/>
      <c r="R439" s="670"/>
      <c r="S439" s="670"/>
      <c r="T439" s="670"/>
    </row>
    <row r="440" spans="1:20" s="22" customFormat="1" ht="16.5" customHeight="1">
      <c r="A440" s="190"/>
      <c r="B440" s="191"/>
      <c r="C440" s="265"/>
      <c r="D440" s="920"/>
      <c r="E440" s="192"/>
      <c r="F440" s="345"/>
      <c r="G440" s="345"/>
      <c r="H440" s="345"/>
      <c r="I440" s="346"/>
      <c r="J440" s="347"/>
      <c r="K440" s="509"/>
      <c r="L440" s="509"/>
      <c r="M440" s="509"/>
      <c r="N440" s="509"/>
      <c r="O440" s="509"/>
      <c r="P440" s="509"/>
      <c r="Q440" s="509"/>
      <c r="R440" s="509"/>
      <c r="S440" s="509"/>
      <c r="T440" s="509"/>
    </row>
    <row r="441" spans="1:20" s="22" customFormat="1" ht="29.25" customHeight="1">
      <c r="A441" s="196" t="s">
        <v>2550</v>
      </c>
      <c r="B441" s="197" t="s">
        <v>2551</v>
      </c>
      <c r="C441" s="199" t="s">
        <v>2552</v>
      </c>
      <c r="D441" s="919" t="s">
        <v>2772</v>
      </c>
      <c r="E441" s="198" t="s">
        <v>1748</v>
      </c>
      <c r="F441" s="332">
        <f>E442</f>
        <v>301.86</v>
      </c>
      <c r="G441" s="332"/>
      <c r="H441" s="332">
        <f>F441*G441</f>
        <v>0</v>
      </c>
      <c r="I441" s="333">
        <v>0.00052</v>
      </c>
      <c r="J441" s="334">
        <f>F441*I441</f>
        <v>0.1569672</v>
      </c>
      <c r="K441" s="509"/>
      <c r="L441" s="509"/>
      <c r="M441" s="509"/>
      <c r="N441" s="509"/>
      <c r="O441" s="509"/>
      <c r="P441" s="509"/>
      <c r="Q441" s="509"/>
      <c r="R441" s="509"/>
      <c r="S441" s="509"/>
      <c r="T441" s="509"/>
    </row>
    <row r="442" spans="1:24" s="211" customFormat="1" ht="27" customHeight="1">
      <c r="A442" s="223"/>
      <c r="B442" s="216" t="s">
        <v>950</v>
      </c>
      <c r="C442" s="224" t="s">
        <v>2553</v>
      </c>
      <c r="D442" s="928" t="s">
        <v>2772</v>
      </c>
      <c r="E442" s="220">
        <f>(250.1-11.9-6)*1.3</f>
        <v>301.86</v>
      </c>
      <c r="F442" s="225"/>
      <c r="G442" s="674"/>
      <c r="H442" s="225"/>
      <c r="I442" s="348"/>
      <c r="J442" s="349"/>
      <c r="K442" s="675"/>
      <c r="L442" s="675"/>
      <c r="M442" s="675"/>
      <c r="N442" s="675"/>
      <c r="O442" s="676"/>
      <c r="P442" s="676"/>
      <c r="Q442" s="676"/>
      <c r="R442" s="676"/>
      <c r="S442" s="515"/>
      <c r="T442" s="515"/>
      <c r="U442" s="210"/>
      <c r="V442" s="210"/>
      <c r="W442" s="210"/>
      <c r="X442" s="210"/>
    </row>
    <row r="443" spans="1:20" s="22" customFormat="1" ht="13.5" customHeight="1">
      <c r="A443" s="196"/>
      <c r="B443" s="197"/>
      <c r="C443" s="199"/>
      <c r="D443" s="919"/>
      <c r="E443" s="198"/>
      <c r="F443" s="332"/>
      <c r="G443" s="332"/>
      <c r="H443" s="332"/>
      <c r="I443" s="333"/>
      <c r="J443" s="334"/>
      <c r="K443" s="509"/>
      <c r="L443" s="509"/>
      <c r="M443" s="509"/>
      <c r="N443" s="509"/>
      <c r="O443" s="509"/>
      <c r="P443" s="509"/>
      <c r="Q443" s="509"/>
      <c r="R443" s="509"/>
      <c r="S443" s="509"/>
      <c r="T443" s="509"/>
    </row>
    <row r="444" spans="1:20" s="22" customFormat="1" ht="22.5" customHeight="1">
      <c r="A444" s="196" t="s">
        <v>2554</v>
      </c>
      <c r="B444" s="197" t="s">
        <v>2555</v>
      </c>
      <c r="C444" s="199" t="s">
        <v>2556</v>
      </c>
      <c r="D444" s="919" t="s">
        <v>2772</v>
      </c>
      <c r="E444" s="198" t="s">
        <v>1748</v>
      </c>
      <c r="F444" s="332">
        <f>E445</f>
        <v>301.86</v>
      </c>
      <c r="G444" s="332"/>
      <c r="H444" s="332">
        <f>F444*G444</f>
        <v>0</v>
      </c>
      <c r="I444" s="333">
        <v>0.00058</v>
      </c>
      <c r="J444" s="334">
        <f>F444*I444</f>
        <v>0.1750788</v>
      </c>
      <c r="K444" s="509"/>
      <c r="L444" s="509"/>
      <c r="M444" s="509"/>
      <c r="N444" s="509"/>
      <c r="O444" s="509"/>
      <c r="P444" s="509"/>
      <c r="Q444" s="509"/>
      <c r="R444" s="509"/>
      <c r="S444" s="509"/>
      <c r="T444" s="509"/>
    </row>
    <row r="445" spans="1:24" s="211" customFormat="1" ht="20.25" customHeight="1">
      <c r="A445" s="223"/>
      <c r="B445" s="216" t="s">
        <v>950</v>
      </c>
      <c r="C445" s="224" t="s">
        <v>2553</v>
      </c>
      <c r="D445" s="928"/>
      <c r="E445" s="220">
        <f>(250.1-11.9-6)*1.3</f>
        <v>301.86</v>
      </c>
      <c r="F445" s="225"/>
      <c r="G445" s="674"/>
      <c r="H445" s="225"/>
      <c r="I445" s="348"/>
      <c r="J445" s="349"/>
      <c r="K445" s="675"/>
      <c r="L445" s="675"/>
      <c r="M445" s="675"/>
      <c r="N445" s="675"/>
      <c r="O445" s="676"/>
      <c r="P445" s="676"/>
      <c r="Q445" s="676"/>
      <c r="R445" s="676"/>
      <c r="S445" s="515"/>
      <c r="T445" s="515"/>
      <c r="U445" s="210"/>
      <c r="V445" s="210"/>
      <c r="W445" s="210"/>
      <c r="X445" s="210"/>
    </row>
    <row r="446" spans="1:20" s="22" customFormat="1" ht="22.5" customHeight="1">
      <c r="A446" s="196" t="s">
        <v>2557</v>
      </c>
      <c r="B446" s="197" t="s">
        <v>2558</v>
      </c>
      <c r="C446" s="199" t="s">
        <v>2559</v>
      </c>
      <c r="D446" s="919" t="s">
        <v>2772</v>
      </c>
      <c r="E446" s="198" t="s">
        <v>1748</v>
      </c>
      <c r="F446" s="332">
        <f>E447</f>
        <v>362.002</v>
      </c>
      <c r="G446" s="332"/>
      <c r="H446" s="332">
        <f>F446*G446</f>
        <v>0</v>
      </c>
      <c r="I446" s="333">
        <v>0.0045</v>
      </c>
      <c r="J446" s="334">
        <f>F446*I446</f>
        <v>1.629009</v>
      </c>
      <c r="K446" s="509"/>
      <c r="L446" s="509"/>
      <c r="M446" s="509"/>
      <c r="N446" s="509"/>
      <c r="O446" s="509"/>
      <c r="P446" s="509"/>
      <c r="Q446" s="509"/>
      <c r="R446" s="509"/>
      <c r="S446" s="509"/>
      <c r="T446" s="509"/>
    </row>
    <row r="447" spans="1:24" s="211" customFormat="1" ht="20.25" customHeight="1">
      <c r="A447" s="223"/>
      <c r="B447" s="216"/>
      <c r="C447" s="224" t="s">
        <v>2846</v>
      </c>
      <c r="D447" s="928"/>
      <c r="E447" s="220">
        <f>(250.1-11.9-6)*1.3*1.2-0.23</f>
        <v>362.002</v>
      </c>
      <c r="F447" s="225"/>
      <c r="G447" s="674"/>
      <c r="H447" s="225"/>
      <c r="I447" s="348"/>
      <c r="J447" s="349"/>
      <c r="K447" s="675"/>
      <c r="L447" s="675"/>
      <c r="M447" s="675"/>
      <c r="N447" s="675"/>
      <c r="O447" s="676"/>
      <c r="P447" s="676"/>
      <c r="Q447" s="676"/>
      <c r="R447" s="676"/>
      <c r="S447" s="515"/>
      <c r="T447" s="515"/>
      <c r="U447" s="210"/>
      <c r="V447" s="210"/>
      <c r="W447" s="210"/>
      <c r="X447" s="210"/>
    </row>
    <row r="448" spans="1:24" s="269" customFormat="1" ht="27.75" customHeight="1">
      <c r="A448" s="719" t="s">
        <v>2560</v>
      </c>
      <c r="B448" s="720" t="s">
        <v>2561</v>
      </c>
      <c r="C448" s="683" t="s">
        <v>2562</v>
      </c>
      <c r="D448" s="919" t="s">
        <v>2772</v>
      </c>
      <c r="E448" s="287" t="s">
        <v>1748</v>
      </c>
      <c r="F448" s="387">
        <f>E449</f>
        <v>301.86</v>
      </c>
      <c r="G448" s="387"/>
      <c r="H448" s="387">
        <f>F448*G448</f>
        <v>0</v>
      </c>
      <c r="I448" s="721">
        <v>0.00017</v>
      </c>
      <c r="J448" s="722">
        <f>F448*I448</f>
        <v>0.051316200000000006</v>
      </c>
      <c r="K448" s="723"/>
      <c r="L448" s="723"/>
      <c r="M448" s="724"/>
      <c r="N448" s="725"/>
      <c r="O448" s="268"/>
      <c r="P448" s="268"/>
      <c r="Q448" s="268"/>
      <c r="R448" s="268"/>
      <c r="S448" s="268"/>
      <c r="T448" s="268"/>
      <c r="U448" s="268"/>
      <c r="V448" s="268"/>
      <c r="W448" s="726"/>
      <c r="X448" s="726"/>
    </row>
    <row r="449" spans="1:24" s="211" customFormat="1" ht="20.25" customHeight="1">
      <c r="A449" s="223"/>
      <c r="B449" s="216" t="s">
        <v>950</v>
      </c>
      <c r="C449" s="224" t="s">
        <v>2553</v>
      </c>
      <c r="D449" s="928"/>
      <c r="E449" s="220">
        <f>(250.1-11.9-6)*1.3</f>
        <v>301.86</v>
      </c>
      <c r="F449" s="225"/>
      <c r="G449" s="674"/>
      <c r="H449" s="225"/>
      <c r="I449" s="727"/>
      <c r="J449" s="728"/>
      <c r="K449" s="675"/>
      <c r="L449" s="675"/>
      <c r="M449" s="675"/>
      <c r="N449" s="675"/>
      <c r="O449" s="676"/>
      <c r="P449" s="676"/>
      <c r="Q449" s="676"/>
      <c r="R449" s="676"/>
      <c r="S449" s="515"/>
      <c r="T449" s="515"/>
      <c r="U449" s="210"/>
      <c r="V449" s="210"/>
      <c r="W449" s="210"/>
      <c r="X449" s="210"/>
    </row>
    <row r="450" spans="1:24" s="1096" customFormat="1" ht="27" customHeight="1">
      <c r="A450" s="719" t="s">
        <v>2563</v>
      </c>
      <c r="B450" s="720" t="s">
        <v>2564</v>
      </c>
      <c r="C450" s="683" t="s">
        <v>2565</v>
      </c>
      <c r="D450" s="919"/>
      <c r="E450" s="287" t="s">
        <v>1748</v>
      </c>
      <c r="F450" s="1070">
        <f>E451</f>
        <v>362.232</v>
      </c>
      <c r="G450" s="387"/>
      <c r="H450" s="387">
        <f>F450*G450</f>
        <v>0</v>
      </c>
      <c r="I450" s="721">
        <v>0.001</v>
      </c>
      <c r="J450" s="722">
        <f>F450*I450</f>
        <v>0.36223200000000005</v>
      </c>
      <c r="K450" s="1091"/>
      <c r="L450" s="1091"/>
      <c r="M450" s="1092"/>
      <c r="N450" s="1093"/>
      <c r="O450" s="1094"/>
      <c r="P450" s="1094"/>
      <c r="Q450" s="1094"/>
      <c r="R450" s="1094"/>
      <c r="S450" s="1094"/>
      <c r="T450" s="1094"/>
      <c r="U450" s="1094"/>
      <c r="V450" s="1094"/>
      <c r="W450" s="1095"/>
      <c r="X450" s="1095"/>
    </row>
    <row r="451" spans="1:24" s="1089" customFormat="1" ht="19.5" customHeight="1">
      <c r="A451" s="223"/>
      <c r="B451" s="216" t="s">
        <v>950</v>
      </c>
      <c r="C451" s="224" t="s">
        <v>2846</v>
      </c>
      <c r="D451" s="919" t="s">
        <v>2772</v>
      </c>
      <c r="E451" s="1084">
        <f>(250.1-11.9-6)*1.3*1.2</f>
        <v>362.232</v>
      </c>
      <c r="F451" s="225"/>
      <c r="G451" s="674"/>
      <c r="H451" s="225"/>
      <c r="I451" s="727"/>
      <c r="J451" s="728"/>
      <c r="K451" s="1085"/>
      <c r="L451" s="1085"/>
      <c r="M451" s="1085"/>
      <c r="N451" s="1085"/>
      <c r="O451" s="1086"/>
      <c r="P451" s="1086"/>
      <c r="Q451" s="1086"/>
      <c r="R451" s="1086"/>
      <c r="S451" s="1087"/>
      <c r="T451" s="1087"/>
      <c r="U451" s="1088"/>
      <c r="V451" s="1088"/>
      <c r="W451" s="1088"/>
      <c r="X451" s="1088"/>
    </row>
    <row r="452" spans="1:24" s="1096" customFormat="1" ht="26.25" customHeight="1">
      <c r="A452" s="719" t="s">
        <v>2566</v>
      </c>
      <c r="B452" s="720" t="s">
        <v>2567</v>
      </c>
      <c r="C452" s="683" t="s">
        <v>2568</v>
      </c>
      <c r="D452" s="919"/>
      <c r="E452" s="287" t="s">
        <v>1826</v>
      </c>
      <c r="F452" s="1070">
        <f>SUM(E453)</f>
        <v>232.2</v>
      </c>
      <c r="G452" s="387"/>
      <c r="H452" s="387">
        <f>F452*G452</f>
        <v>0</v>
      </c>
      <c r="I452" s="721">
        <v>0.00096</v>
      </c>
      <c r="J452" s="722">
        <f>F452*I452</f>
        <v>0.222912</v>
      </c>
      <c r="K452" s="1091"/>
      <c r="L452" s="1091"/>
      <c r="M452" s="1092"/>
      <c r="N452" s="1093"/>
      <c r="O452" s="1094"/>
      <c r="P452" s="1094"/>
      <c r="Q452" s="1094"/>
      <c r="R452" s="1094"/>
      <c r="S452" s="1094"/>
      <c r="T452" s="1094"/>
      <c r="U452" s="1094"/>
      <c r="V452" s="1094"/>
      <c r="W452" s="1095"/>
      <c r="X452" s="1095"/>
    </row>
    <row r="453" spans="1:24" s="1089" customFormat="1" ht="17.25" customHeight="1">
      <c r="A453" s="223"/>
      <c r="B453" s="216" t="s">
        <v>950</v>
      </c>
      <c r="C453" s="224" t="s">
        <v>2847</v>
      </c>
      <c r="D453" s="919" t="s">
        <v>2772</v>
      </c>
      <c r="E453" s="1084">
        <f>(250.1-11.9-6)</f>
        <v>232.2</v>
      </c>
      <c r="F453" s="225"/>
      <c r="G453" s="674"/>
      <c r="H453" s="225"/>
      <c r="I453" s="727"/>
      <c r="J453" s="728"/>
      <c r="K453" s="1085"/>
      <c r="L453" s="1085"/>
      <c r="M453" s="1085"/>
      <c r="N453" s="1085"/>
      <c r="O453" s="1086"/>
      <c r="P453" s="1086"/>
      <c r="Q453" s="1086"/>
      <c r="R453" s="1086"/>
      <c r="S453" s="1087"/>
      <c r="T453" s="1087"/>
      <c r="U453" s="1088"/>
      <c r="V453" s="1088"/>
      <c r="W453" s="1088"/>
      <c r="X453" s="1088"/>
    </row>
    <row r="454" spans="1:20" s="22" customFormat="1" ht="15" customHeight="1">
      <c r="A454" s="196"/>
      <c r="B454" s="197"/>
      <c r="C454" s="199"/>
      <c r="D454" s="919"/>
      <c r="E454" s="198"/>
      <c r="F454" s="332"/>
      <c r="G454" s="332"/>
      <c r="H454" s="332"/>
      <c r="I454" s="333"/>
      <c r="J454" s="334"/>
      <c r="K454" s="509"/>
      <c r="L454" s="509"/>
      <c r="M454" s="509"/>
      <c r="N454" s="509"/>
      <c r="O454" s="509"/>
      <c r="P454" s="509"/>
      <c r="Q454" s="509"/>
      <c r="R454" s="509"/>
      <c r="S454" s="509"/>
      <c r="T454" s="509"/>
    </row>
    <row r="455" spans="1:20" s="1034" customFormat="1" ht="19.5" customHeight="1">
      <c r="A455" s="1023" t="s">
        <v>2861</v>
      </c>
      <c r="B455" s="1024" t="s">
        <v>2859</v>
      </c>
      <c r="C455" s="1025" t="s">
        <v>2860</v>
      </c>
      <c r="D455" s="919"/>
      <c r="E455" s="1027" t="s">
        <v>1748</v>
      </c>
      <c r="F455" s="1028">
        <f>F457</f>
        <v>379.31</v>
      </c>
      <c r="G455" s="1028"/>
      <c r="H455" s="1028">
        <f>F455*G455</f>
        <v>0</v>
      </c>
      <c r="I455" s="1029">
        <v>0.00021</v>
      </c>
      <c r="J455" s="1090">
        <f>F455*I455</f>
        <v>0.0796551</v>
      </c>
      <c r="K455" s="1033"/>
      <c r="L455" s="1033"/>
      <c r="M455" s="1033"/>
      <c r="N455" s="1033"/>
      <c r="O455" s="1033"/>
      <c r="P455" s="1033"/>
      <c r="Q455" s="1033"/>
      <c r="R455" s="1033"/>
      <c r="S455" s="1033"/>
      <c r="T455" s="1033"/>
    </row>
    <row r="456" spans="1:20" s="22" customFormat="1" ht="10.5" customHeight="1">
      <c r="A456" s="196"/>
      <c r="B456" s="197"/>
      <c r="C456" s="199"/>
      <c r="D456" s="919"/>
      <c r="E456" s="198"/>
      <c r="F456" s="332"/>
      <c r="G456" s="332"/>
      <c r="H456" s="332"/>
      <c r="I456" s="333"/>
      <c r="J456" s="334"/>
      <c r="K456" s="509"/>
      <c r="L456" s="509"/>
      <c r="M456" s="509"/>
      <c r="N456" s="509"/>
      <c r="O456" s="509"/>
      <c r="P456" s="509"/>
      <c r="Q456" s="509"/>
      <c r="R456" s="509"/>
      <c r="S456" s="509"/>
      <c r="T456" s="509"/>
    </row>
    <row r="457" spans="1:20" s="22" customFormat="1" ht="27" customHeight="1">
      <c r="A457" s="196" t="s">
        <v>2569</v>
      </c>
      <c r="B457" s="197" t="s">
        <v>2570</v>
      </c>
      <c r="C457" s="199" t="s">
        <v>2571</v>
      </c>
      <c r="D457" s="919"/>
      <c r="E457" s="198" t="s">
        <v>1748</v>
      </c>
      <c r="F457" s="332">
        <f>SUM(E458:E460)</f>
        <v>379.31</v>
      </c>
      <c r="G457" s="332"/>
      <c r="H457" s="332">
        <f>F457*G457</f>
        <v>0</v>
      </c>
      <c r="I457" s="333">
        <v>0.003</v>
      </c>
      <c r="J457" s="334">
        <f>F457*I457</f>
        <v>1.13793</v>
      </c>
      <c r="K457" s="509"/>
      <c r="L457" s="509"/>
      <c r="M457" s="509"/>
      <c r="N457" s="509"/>
      <c r="O457" s="509"/>
      <c r="P457" s="509"/>
      <c r="Q457" s="509"/>
      <c r="R457" s="509"/>
      <c r="S457" s="509"/>
      <c r="T457" s="509"/>
    </row>
    <row r="458" spans="1:20" s="130" customFormat="1" ht="24" customHeight="1">
      <c r="A458" s="204"/>
      <c r="B458" s="205" t="s">
        <v>2018</v>
      </c>
      <c r="C458" s="206" t="s">
        <v>2572</v>
      </c>
      <c r="D458" s="919"/>
      <c r="E458" s="207">
        <f>78.11+78.11+18.6+18.6</f>
        <v>193.42</v>
      </c>
      <c r="F458" s="335"/>
      <c r="G458" s="335"/>
      <c r="H458" s="335"/>
      <c r="I458" s="336"/>
      <c r="J458" s="337"/>
      <c r="K458" s="508"/>
      <c r="L458" s="508"/>
      <c r="M458" s="508"/>
      <c r="N458" s="508"/>
      <c r="O458" s="508"/>
      <c r="P458" s="508"/>
      <c r="Q458" s="508"/>
      <c r="R458" s="508"/>
      <c r="S458" s="508"/>
      <c r="T458" s="508"/>
    </row>
    <row r="459" spans="1:20" s="130" customFormat="1" ht="24" customHeight="1">
      <c r="A459" s="204"/>
      <c r="B459" s="205" t="s">
        <v>2024</v>
      </c>
      <c r="C459" s="206" t="s">
        <v>2025</v>
      </c>
      <c r="D459" s="919"/>
      <c r="E459" s="207">
        <v>15.2</v>
      </c>
      <c r="F459" s="335"/>
      <c r="G459" s="335"/>
      <c r="H459" s="335"/>
      <c r="I459" s="336"/>
      <c r="J459" s="337"/>
      <c r="K459" s="508"/>
      <c r="L459" s="508"/>
      <c r="M459" s="508"/>
      <c r="N459" s="508"/>
      <c r="O459" s="508"/>
      <c r="P459" s="508"/>
      <c r="Q459" s="508"/>
      <c r="R459" s="508"/>
      <c r="S459" s="508"/>
      <c r="T459" s="508"/>
    </row>
    <row r="460" spans="1:20" s="142" customFormat="1" ht="21" customHeight="1">
      <c r="A460" s="204"/>
      <c r="B460" s="222" t="s">
        <v>1980</v>
      </c>
      <c r="C460" s="218" t="s">
        <v>1981</v>
      </c>
      <c r="D460" s="1159"/>
      <c r="E460" s="141">
        <f>131.3*1.3</f>
        <v>170.69000000000003</v>
      </c>
      <c r="F460" s="141"/>
      <c r="G460" s="141"/>
      <c r="H460" s="352"/>
      <c r="I460" s="352"/>
      <c r="J460" s="353"/>
      <c r="K460" s="677"/>
      <c r="L460" s="677"/>
      <c r="M460" s="215"/>
      <c r="N460" s="215"/>
      <c r="O460" s="215"/>
      <c r="P460" s="215"/>
      <c r="Q460" s="215"/>
      <c r="R460" s="215"/>
      <c r="S460" s="215"/>
      <c r="T460" s="215"/>
    </row>
    <row r="461" spans="1:20" s="22" customFormat="1" ht="30" customHeight="1">
      <c r="A461" s="196" t="s">
        <v>2573</v>
      </c>
      <c r="B461" s="197" t="s">
        <v>1720</v>
      </c>
      <c r="C461" s="199" t="s">
        <v>2574</v>
      </c>
      <c r="D461" s="919"/>
      <c r="E461" s="198" t="s">
        <v>1748</v>
      </c>
      <c r="F461" s="332">
        <f>SUM(E462:E463)</f>
        <v>208.61999999999998</v>
      </c>
      <c r="G461" s="332"/>
      <c r="H461" s="332">
        <f>F461*G461</f>
        <v>0</v>
      </c>
      <c r="I461" s="333">
        <v>0.003</v>
      </c>
      <c r="J461" s="334">
        <f>F461*I461</f>
        <v>0.62586</v>
      </c>
      <c r="K461" s="509"/>
      <c r="L461" s="509"/>
      <c r="M461" s="509"/>
      <c r="N461" s="509"/>
      <c r="O461" s="509"/>
      <c r="P461" s="509"/>
      <c r="Q461" s="509"/>
      <c r="R461" s="509"/>
      <c r="S461" s="509"/>
      <c r="T461" s="509"/>
    </row>
    <row r="462" spans="1:20" s="130" customFormat="1" ht="24" customHeight="1">
      <c r="A462" s="204"/>
      <c r="B462" s="205" t="s">
        <v>2018</v>
      </c>
      <c r="C462" s="206" t="s">
        <v>2572</v>
      </c>
      <c r="D462" s="919"/>
      <c r="E462" s="207">
        <f>78.11+78.11+18.6+18.6</f>
        <v>193.42</v>
      </c>
      <c r="F462" s="335"/>
      <c r="G462" s="335"/>
      <c r="H462" s="335"/>
      <c r="I462" s="336"/>
      <c r="J462" s="337"/>
      <c r="K462" s="508"/>
      <c r="L462" s="508"/>
      <c r="M462" s="508"/>
      <c r="N462" s="508"/>
      <c r="O462" s="508"/>
      <c r="P462" s="508"/>
      <c r="Q462" s="508"/>
      <c r="R462" s="508"/>
      <c r="S462" s="508"/>
      <c r="T462" s="508"/>
    </row>
    <row r="463" spans="1:20" s="130" customFormat="1" ht="19.5" customHeight="1">
      <c r="A463" s="204"/>
      <c r="B463" s="205" t="s">
        <v>2024</v>
      </c>
      <c r="C463" s="206" t="s">
        <v>2025</v>
      </c>
      <c r="D463" s="919"/>
      <c r="E463" s="207">
        <v>15.2</v>
      </c>
      <c r="F463" s="335"/>
      <c r="G463" s="335"/>
      <c r="H463" s="335"/>
      <c r="I463" s="336"/>
      <c r="J463" s="337"/>
      <c r="K463" s="508"/>
      <c r="L463" s="508"/>
      <c r="M463" s="508"/>
      <c r="N463" s="508"/>
      <c r="O463" s="508"/>
      <c r="P463" s="508"/>
      <c r="Q463" s="508"/>
      <c r="R463" s="508"/>
      <c r="S463" s="508"/>
      <c r="T463" s="508"/>
    </row>
    <row r="464" spans="1:20" s="22" customFormat="1" ht="19.5" customHeight="1">
      <c r="A464" s="196" t="s">
        <v>2575</v>
      </c>
      <c r="B464" s="197" t="s">
        <v>2576</v>
      </c>
      <c r="C464" s="199" t="s">
        <v>2577</v>
      </c>
      <c r="D464" s="919"/>
      <c r="E464" s="198" t="s">
        <v>1826</v>
      </c>
      <c r="F464" s="332">
        <v>200.6</v>
      </c>
      <c r="G464" s="332"/>
      <c r="H464" s="332">
        <f>F464*G464</f>
        <v>0</v>
      </c>
      <c r="I464" s="333">
        <v>0.003</v>
      </c>
      <c r="J464" s="334">
        <f>F464*I464</f>
        <v>0.6018</v>
      </c>
      <c r="K464" s="509"/>
      <c r="L464" s="509"/>
      <c r="M464" s="509"/>
      <c r="N464" s="509"/>
      <c r="O464" s="509"/>
      <c r="P464" s="509"/>
      <c r="Q464" s="509"/>
      <c r="R464" s="509"/>
      <c r="S464" s="509"/>
      <c r="T464" s="509"/>
    </row>
    <row r="465" spans="1:20" s="22" customFormat="1" ht="22.5" customHeight="1">
      <c r="A465" s="196" t="s">
        <v>2578</v>
      </c>
      <c r="B465" s="197" t="s">
        <v>2579</v>
      </c>
      <c r="C465" s="199" t="s">
        <v>2580</v>
      </c>
      <c r="D465" s="919"/>
      <c r="E465" s="198" t="s">
        <v>1748</v>
      </c>
      <c r="F465" s="332">
        <f>SUM(E466:E467)</f>
        <v>208.61999999999998</v>
      </c>
      <c r="G465" s="332"/>
      <c r="H465" s="332">
        <f>F465*G465</f>
        <v>0</v>
      </c>
      <c r="I465" s="333">
        <v>0</v>
      </c>
      <c r="J465" s="334">
        <f>F465*I465</f>
        <v>0</v>
      </c>
      <c r="K465" s="509"/>
      <c r="L465" s="509"/>
      <c r="M465" s="509"/>
      <c r="N465" s="509"/>
      <c r="O465" s="509"/>
      <c r="P465" s="509"/>
      <c r="Q465" s="509"/>
      <c r="R465" s="509"/>
      <c r="S465" s="509"/>
      <c r="T465" s="509"/>
    </row>
    <row r="466" spans="1:20" s="130" customFormat="1" ht="18.75" customHeight="1">
      <c r="A466" s="204"/>
      <c r="B466" s="205" t="s">
        <v>2018</v>
      </c>
      <c r="C466" s="206" t="s">
        <v>2572</v>
      </c>
      <c r="D466" s="919"/>
      <c r="E466" s="207">
        <f>78.11+78.11+18.6+18.6</f>
        <v>193.42</v>
      </c>
      <c r="F466" s="335"/>
      <c r="G466" s="335"/>
      <c r="H466" s="335"/>
      <c r="I466" s="336"/>
      <c r="J466" s="337"/>
      <c r="K466" s="508"/>
      <c r="L466" s="508"/>
      <c r="M466" s="508"/>
      <c r="N466" s="508"/>
      <c r="O466" s="508"/>
      <c r="P466" s="508"/>
      <c r="Q466" s="508"/>
      <c r="R466" s="508"/>
      <c r="S466" s="508"/>
      <c r="T466" s="508"/>
    </row>
    <row r="467" spans="1:20" s="130" customFormat="1" ht="17.25" customHeight="1">
      <c r="A467" s="204"/>
      <c r="B467" s="205" t="s">
        <v>2024</v>
      </c>
      <c r="C467" s="206" t="s">
        <v>2025</v>
      </c>
      <c r="D467" s="919"/>
      <c r="E467" s="207">
        <v>15.2</v>
      </c>
      <c r="F467" s="335"/>
      <c r="G467" s="335"/>
      <c r="H467" s="335"/>
      <c r="I467" s="336"/>
      <c r="J467" s="337"/>
      <c r="K467" s="508"/>
      <c r="L467" s="508"/>
      <c r="M467" s="508"/>
      <c r="N467" s="508"/>
      <c r="O467" s="508"/>
      <c r="P467" s="508"/>
      <c r="Q467" s="508"/>
      <c r="R467" s="508"/>
      <c r="S467" s="508"/>
      <c r="T467" s="508"/>
    </row>
    <row r="468" spans="1:20" s="1034" customFormat="1" ht="19.5" customHeight="1">
      <c r="A468" s="196" t="s">
        <v>2581</v>
      </c>
      <c r="B468" s="197" t="s">
        <v>2582</v>
      </c>
      <c r="C468" s="199" t="s">
        <v>2583</v>
      </c>
      <c r="D468" s="919"/>
      <c r="E468" s="198" t="s">
        <v>1748</v>
      </c>
      <c r="F468" s="1028">
        <f>SUM(E469:E470)</f>
        <v>239.91299999999995</v>
      </c>
      <c r="G468" s="332"/>
      <c r="H468" s="332">
        <f>F468*G468</f>
        <v>0</v>
      </c>
      <c r="I468" s="333">
        <v>0.00018</v>
      </c>
      <c r="J468" s="334">
        <f>F468*I468</f>
        <v>0.043184339999999995</v>
      </c>
      <c r="K468" s="1033"/>
      <c r="L468" s="1033"/>
      <c r="M468" s="1033"/>
      <c r="N468" s="1033"/>
      <c r="O468" s="1033"/>
      <c r="P468" s="1033"/>
      <c r="Q468" s="1033"/>
      <c r="R468" s="1033"/>
      <c r="S468" s="1033"/>
      <c r="T468" s="1033"/>
    </row>
    <row r="469" spans="1:20" s="1059" customFormat="1" ht="16.5" customHeight="1">
      <c r="A469" s="204"/>
      <c r="B469" s="205" t="s">
        <v>2018</v>
      </c>
      <c r="C469" s="206" t="s">
        <v>2621</v>
      </c>
      <c r="D469" s="919"/>
      <c r="E469" s="1051">
        <f>(78.11+78.11+18.6+18.6)*1.15</f>
        <v>222.43299999999996</v>
      </c>
      <c r="F469" s="335"/>
      <c r="G469" s="335"/>
      <c r="H469" s="335"/>
      <c r="I469" s="336"/>
      <c r="J469" s="337"/>
      <c r="K469" s="1058"/>
      <c r="L469" s="1058"/>
      <c r="M469" s="1058"/>
      <c r="N469" s="1058"/>
      <c r="O469" s="1058"/>
      <c r="P469" s="1058"/>
      <c r="Q469" s="1058"/>
      <c r="R469" s="1058"/>
      <c r="S469" s="1058"/>
      <c r="T469" s="1058"/>
    </row>
    <row r="470" spans="1:20" s="1059" customFormat="1" ht="17.25" customHeight="1">
      <c r="A470" s="204"/>
      <c r="B470" s="205" t="s">
        <v>2024</v>
      </c>
      <c r="C470" s="206" t="s">
        <v>2623</v>
      </c>
      <c r="D470" s="919"/>
      <c r="E470" s="1051">
        <f>15.2*1.15</f>
        <v>17.479999999999997</v>
      </c>
      <c r="F470" s="335"/>
      <c r="G470" s="335"/>
      <c r="H470" s="335"/>
      <c r="I470" s="336"/>
      <c r="J470" s="337"/>
      <c r="K470" s="1058"/>
      <c r="L470" s="1058"/>
      <c r="M470" s="1058"/>
      <c r="N470" s="1058"/>
      <c r="O470" s="1058"/>
      <c r="P470" s="1058"/>
      <c r="Q470" s="1058"/>
      <c r="R470" s="1058"/>
      <c r="S470" s="1058"/>
      <c r="T470" s="1058"/>
    </row>
    <row r="471" spans="1:20" s="22" customFormat="1" ht="22.5" customHeight="1" thickBot="1">
      <c r="A471" s="255" t="s">
        <v>2586</v>
      </c>
      <c r="B471" s="256" t="s">
        <v>2587</v>
      </c>
      <c r="C471" s="264" t="s">
        <v>2588</v>
      </c>
      <c r="D471" s="937"/>
      <c r="E471" s="257" t="s">
        <v>1783</v>
      </c>
      <c r="F471" s="368">
        <f>J439</f>
        <v>5.08594464</v>
      </c>
      <c r="G471" s="368"/>
      <c r="H471" s="368">
        <f>F471*G471</f>
        <v>0</v>
      </c>
      <c r="I471" s="369">
        <v>0</v>
      </c>
      <c r="J471" s="370"/>
      <c r="K471" s="509"/>
      <c r="L471" s="509"/>
      <c r="M471" s="509"/>
      <c r="N471" s="509"/>
      <c r="O471" s="509"/>
      <c r="P471" s="509"/>
      <c r="Q471" s="509"/>
      <c r="R471" s="509"/>
      <c r="S471" s="509"/>
      <c r="T471" s="509"/>
    </row>
    <row r="472" spans="1:20" ht="16.5" customHeight="1" thickBot="1">
      <c r="A472" s="266" t="s">
        <v>2589</v>
      </c>
      <c r="B472" s="175" t="s">
        <v>2590</v>
      </c>
      <c r="C472" s="176" t="s">
        <v>2591</v>
      </c>
      <c r="D472" s="175"/>
      <c r="E472" s="175"/>
      <c r="F472" s="341"/>
      <c r="G472" s="341"/>
      <c r="H472" s="342">
        <f>SUM(H473:H510)</f>
        <v>0</v>
      </c>
      <c r="I472" s="343"/>
      <c r="J472" s="344">
        <f>SUM(J473:J504)</f>
        <v>27.0775181</v>
      </c>
      <c r="K472" s="670"/>
      <c r="L472" s="670"/>
      <c r="M472" s="670"/>
      <c r="N472" s="670"/>
      <c r="O472" s="670"/>
      <c r="P472" s="670"/>
      <c r="Q472" s="670"/>
      <c r="R472" s="670"/>
      <c r="S472" s="670"/>
      <c r="T472" s="670"/>
    </row>
    <row r="473" spans="1:20" s="18" customFormat="1" ht="12.75" customHeight="1">
      <c r="A473" s="270"/>
      <c r="B473" s="271"/>
      <c r="C473" s="271"/>
      <c r="D473" s="939"/>
      <c r="E473" s="272"/>
      <c r="F473" s="375"/>
      <c r="G473" s="375"/>
      <c r="H473" s="376"/>
      <c r="I473" s="377"/>
      <c r="J473" s="378"/>
      <c r="K473" s="671"/>
      <c r="L473" s="671"/>
      <c r="M473" s="671"/>
      <c r="N473" s="671"/>
      <c r="O473" s="671"/>
      <c r="P473" s="671"/>
      <c r="Q473" s="671"/>
      <c r="R473" s="671"/>
      <c r="S473" s="671"/>
      <c r="T473" s="671"/>
    </row>
    <row r="474" spans="1:20" s="22" customFormat="1" ht="30.75" customHeight="1">
      <c r="A474" s="196" t="s">
        <v>2592</v>
      </c>
      <c r="B474" s="197" t="s">
        <v>2593</v>
      </c>
      <c r="C474" s="199" t="s">
        <v>2594</v>
      </c>
      <c r="D474" s="919"/>
      <c r="E474" s="198" t="s">
        <v>1748</v>
      </c>
      <c r="F474" s="332">
        <f>SUM(E475:E479)</f>
        <v>2028.912</v>
      </c>
      <c r="G474" s="332"/>
      <c r="H474" s="332">
        <f>F474*G474</f>
        <v>0</v>
      </c>
      <c r="I474" s="333">
        <v>0</v>
      </c>
      <c r="J474" s="334">
        <f>F474*I474</f>
        <v>0</v>
      </c>
      <c r="K474" s="509"/>
      <c r="L474" s="509"/>
      <c r="M474" s="509"/>
      <c r="N474" s="509"/>
      <c r="O474" s="509"/>
      <c r="P474" s="509"/>
      <c r="Q474" s="509"/>
      <c r="R474" s="509"/>
      <c r="S474" s="509"/>
      <c r="T474" s="509"/>
    </row>
    <row r="475" spans="1:20" s="130" customFormat="1" ht="24" customHeight="1">
      <c r="A475" s="204"/>
      <c r="B475" s="205" t="s">
        <v>2595</v>
      </c>
      <c r="C475" s="206" t="s">
        <v>2596</v>
      </c>
      <c r="D475" s="925"/>
      <c r="E475" s="207">
        <f>58.2+16.5+58.2+16.5+167.6+11.07+579.48+96.5</f>
        <v>1004.05</v>
      </c>
      <c r="F475" s="335"/>
      <c r="G475" s="335"/>
      <c r="H475" s="335"/>
      <c r="I475" s="336"/>
      <c r="J475" s="337"/>
      <c r="K475" s="508"/>
      <c r="L475" s="508"/>
      <c r="M475" s="508"/>
      <c r="N475" s="508"/>
      <c r="O475" s="508"/>
      <c r="P475" s="508"/>
      <c r="Q475" s="508"/>
      <c r="R475" s="508"/>
      <c r="S475" s="508"/>
      <c r="T475" s="508"/>
    </row>
    <row r="476" spans="1:20" s="130" customFormat="1" ht="24" customHeight="1">
      <c r="A476" s="204"/>
      <c r="B476" s="205" t="s">
        <v>2018</v>
      </c>
      <c r="C476" s="206" t="s">
        <v>2584</v>
      </c>
      <c r="D476" s="925"/>
      <c r="E476" s="207">
        <f>(78.11+78.11+18.6+18.6)*1.1</f>
        <v>212.762</v>
      </c>
      <c r="F476" s="335"/>
      <c r="G476" s="335"/>
      <c r="H476" s="335"/>
      <c r="I476" s="336"/>
      <c r="J476" s="337"/>
      <c r="K476" s="508"/>
      <c r="L476" s="508"/>
      <c r="M476" s="508"/>
      <c r="N476" s="508"/>
      <c r="O476" s="508"/>
      <c r="P476" s="508"/>
      <c r="Q476" s="508"/>
      <c r="R476" s="508"/>
      <c r="S476" s="508"/>
      <c r="T476" s="508"/>
    </row>
    <row r="477" spans="1:20" s="130" customFormat="1" ht="24" customHeight="1">
      <c r="A477" s="204"/>
      <c r="B477" s="205" t="s">
        <v>2020</v>
      </c>
      <c r="C477" s="206" t="s">
        <v>2597</v>
      </c>
      <c r="D477" s="925"/>
      <c r="E477" s="207">
        <f>149.61+50.22+49.22+148.61+68.5</f>
        <v>466.16</v>
      </c>
      <c r="F477" s="335"/>
      <c r="G477" s="335"/>
      <c r="H477" s="335"/>
      <c r="I477" s="336"/>
      <c r="J477" s="337"/>
      <c r="K477" s="508"/>
      <c r="L477" s="508"/>
      <c r="M477" s="508"/>
      <c r="N477" s="508"/>
      <c r="O477" s="508"/>
      <c r="P477" s="508"/>
      <c r="Q477" s="508"/>
      <c r="R477" s="508"/>
      <c r="S477" s="508"/>
      <c r="T477" s="508"/>
    </row>
    <row r="478" spans="1:20" s="130" customFormat="1" ht="24" customHeight="1">
      <c r="A478" s="204"/>
      <c r="B478" s="205" t="s">
        <v>2022</v>
      </c>
      <c r="C478" s="206" t="s">
        <v>2023</v>
      </c>
      <c r="D478" s="925"/>
      <c r="E478" s="207">
        <f>165.37+165.37</f>
        <v>330.74</v>
      </c>
      <c r="F478" s="335"/>
      <c r="G478" s="335"/>
      <c r="H478" s="335"/>
      <c r="I478" s="336"/>
      <c r="J478" s="337"/>
      <c r="K478" s="508"/>
      <c r="L478" s="508"/>
      <c r="M478" s="508"/>
      <c r="N478" s="508"/>
      <c r="O478" s="508"/>
      <c r="P478" s="508"/>
      <c r="Q478" s="508"/>
      <c r="R478" s="508"/>
      <c r="S478" s="508"/>
      <c r="T478" s="508"/>
    </row>
    <row r="479" spans="1:20" s="130" customFormat="1" ht="24" customHeight="1">
      <c r="A479" s="204"/>
      <c r="B479" s="205" t="s">
        <v>2024</v>
      </c>
      <c r="C479" s="206" t="s">
        <v>2025</v>
      </c>
      <c r="D479" s="925"/>
      <c r="E479" s="207">
        <v>15.2</v>
      </c>
      <c r="F479" s="335"/>
      <c r="G479" s="335"/>
      <c r="H479" s="335"/>
      <c r="I479" s="336"/>
      <c r="J479" s="337"/>
      <c r="K479" s="508"/>
      <c r="L479" s="508"/>
      <c r="M479" s="508"/>
      <c r="N479" s="508"/>
      <c r="O479" s="508"/>
      <c r="P479" s="508"/>
      <c r="Q479" s="508"/>
      <c r="R479" s="508"/>
      <c r="S479" s="508"/>
      <c r="T479" s="508"/>
    </row>
    <row r="480" spans="1:20" s="22" customFormat="1" ht="16.5" customHeight="1">
      <c r="A480" s="196"/>
      <c r="B480" s="197"/>
      <c r="C480" s="199"/>
      <c r="D480" s="919"/>
      <c r="E480" s="198"/>
      <c r="F480" s="332"/>
      <c r="G480" s="332"/>
      <c r="H480" s="332"/>
      <c r="I480" s="333"/>
      <c r="J480" s="334"/>
      <c r="K480" s="509"/>
      <c r="L480" s="509"/>
      <c r="M480" s="509"/>
      <c r="N480" s="509"/>
      <c r="O480" s="509"/>
      <c r="P480" s="509"/>
      <c r="Q480" s="509"/>
      <c r="R480" s="509"/>
      <c r="S480" s="509"/>
      <c r="T480" s="509"/>
    </row>
    <row r="481" spans="1:20" s="22" customFormat="1" ht="24" customHeight="1">
      <c r="A481" s="196" t="s">
        <v>2598</v>
      </c>
      <c r="B481" s="197" t="s">
        <v>2599</v>
      </c>
      <c r="C481" s="199" t="s">
        <v>2600</v>
      </c>
      <c r="D481" s="919"/>
      <c r="E481" s="198" t="s">
        <v>1748</v>
      </c>
      <c r="F481" s="332">
        <f>SUM(E482:E484)</f>
        <v>1581.94</v>
      </c>
      <c r="G481" s="332"/>
      <c r="H481" s="332">
        <f>F481*G481</f>
        <v>0</v>
      </c>
      <c r="I481" s="333">
        <v>0</v>
      </c>
      <c r="J481" s="334">
        <f>F481*I481</f>
        <v>0</v>
      </c>
      <c r="K481" s="509"/>
      <c r="L481" s="509"/>
      <c r="M481" s="509"/>
      <c r="N481" s="509"/>
      <c r="O481" s="509"/>
      <c r="P481" s="509"/>
      <c r="Q481" s="509"/>
      <c r="R481" s="509"/>
      <c r="S481" s="509"/>
      <c r="T481" s="509"/>
    </row>
    <row r="482" spans="1:20" s="130" customFormat="1" ht="24" customHeight="1">
      <c r="A482" s="204"/>
      <c r="B482" s="205" t="s">
        <v>2595</v>
      </c>
      <c r="C482" s="206" t="s">
        <v>2596</v>
      </c>
      <c r="D482" s="925"/>
      <c r="E482" s="207">
        <f>58.2+16.5+58.2+16.5+167.6+11.07+579.48+96.5</f>
        <v>1004.05</v>
      </c>
      <c r="F482" s="335"/>
      <c r="G482" s="335"/>
      <c r="H482" s="335"/>
      <c r="I482" s="336"/>
      <c r="J482" s="337"/>
      <c r="K482" s="508"/>
      <c r="L482" s="508"/>
      <c r="M482" s="508"/>
      <c r="N482" s="508"/>
      <c r="O482" s="508"/>
      <c r="P482" s="508"/>
      <c r="Q482" s="508"/>
      <c r="R482" s="508"/>
      <c r="S482" s="508"/>
      <c r="T482" s="508"/>
    </row>
    <row r="483" spans="1:20" s="130" customFormat="1" ht="24" customHeight="1">
      <c r="A483" s="204"/>
      <c r="B483" s="205" t="s">
        <v>2020</v>
      </c>
      <c r="C483" s="206" t="s">
        <v>2597</v>
      </c>
      <c r="D483" s="925"/>
      <c r="E483" s="207">
        <f>149.61+50.22+49.22+148.61+68.5</f>
        <v>466.16</v>
      </c>
      <c r="F483" s="335"/>
      <c r="G483" s="335"/>
      <c r="H483" s="335"/>
      <c r="I483" s="336"/>
      <c r="J483" s="337"/>
      <c r="K483" s="508"/>
      <c r="L483" s="508"/>
      <c r="M483" s="508"/>
      <c r="N483" s="508"/>
      <c r="O483" s="508"/>
      <c r="P483" s="508"/>
      <c r="Q483" s="508"/>
      <c r="R483" s="508"/>
      <c r="S483" s="508"/>
      <c r="T483" s="508"/>
    </row>
    <row r="484" spans="1:20" s="130" customFormat="1" ht="24" customHeight="1">
      <c r="A484" s="204"/>
      <c r="B484" s="205" t="s">
        <v>1807</v>
      </c>
      <c r="C484" s="206" t="s">
        <v>2521</v>
      </c>
      <c r="D484" s="925"/>
      <c r="E484" s="207">
        <f>91.9+19.83</f>
        <v>111.73</v>
      </c>
      <c r="F484" s="335"/>
      <c r="G484" s="335"/>
      <c r="H484" s="335"/>
      <c r="I484" s="336"/>
      <c r="J484" s="337"/>
      <c r="K484" s="508"/>
      <c r="L484" s="508"/>
      <c r="M484" s="508"/>
      <c r="N484" s="508"/>
      <c r="O484" s="508"/>
      <c r="P484" s="508"/>
      <c r="Q484" s="508"/>
      <c r="R484" s="508"/>
      <c r="S484" s="508"/>
      <c r="T484" s="508"/>
    </row>
    <row r="485" spans="1:20" s="22" customFormat="1" ht="24" customHeight="1">
      <c r="A485" s="196" t="s">
        <v>2601</v>
      </c>
      <c r="B485" s="197" t="s">
        <v>2602</v>
      </c>
      <c r="C485" s="199" t="s">
        <v>2603</v>
      </c>
      <c r="D485" s="919"/>
      <c r="E485" s="198" t="s">
        <v>1748</v>
      </c>
      <c r="F485" s="332">
        <f>SUM(E486:E488)</f>
        <v>1814.6359999999997</v>
      </c>
      <c r="G485" s="332"/>
      <c r="H485" s="332">
        <f>F485*G485</f>
        <v>0</v>
      </c>
      <c r="I485" s="333">
        <v>0.0047</v>
      </c>
      <c r="J485" s="334">
        <f>F485*I485</f>
        <v>8.528789199999999</v>
      </c>
      <c r="K485" s="509"/>
      <c r="L485" s="509"/>
      <c r="M485" s="509"/>
      <c r="N485" s="509"/>
      <c r="O485" s="509"/>
      <c r="P485" s="509"/>
      <c r="Q485" s="509"/>
      <c r="R485" s="509"/>
      <c r="S485" s="509"/>
      <c r="T485" s="509"/>
    </row>
    <row r="486" spans="1:20" s="130" customFormat="1" ht="26.25" customHeight="1">
      <c r="A486" s="204"/>
      <c r="B486" s="205" t="s">
        <v>2595</v>
      </c>
      <c r="C486" s="206" t="s">
        <v>2604</v>
      </c>
      <c r="D486" s="925"/>
      <c r="E486" s="207">
        <f>(58.2+16.5+58.2+16.5+167.6+11.07+579.48+96.5)*1.15</f>
        <v>1154.6574999999998</v>
      </c>
      <c r="F486" s="335"/>
      <c r="G486" s="335"/>
      <c r="H486" s="335"/>
      <c r="I486" s="336"/>
      <c r="J486" s="337"/>
      <c r="K486" s="508"/>
      <c r="L486" s="508"/>
      <c r="M486" s="508"/>
      <c r="N486" s="508"/>
      <c r="O486" s="508"/>
      <c r="P486" s="508"/>
      <c r="Q486" s="508"/>
      <c r="R486" s="508"/>
      <c r="S486" s="508"/>
      <c r="T486" s="508"/>
    </row>
    <row r="487" spans="1:20" s="130" customFormat="1" ht="24" customHeight="1">
      <c r="A487" s="204"/>
      <c r="B487" s="205" t="s">
        <v>2020</v>
      </c>
      <c r="C487" s="206" t="s">
        <v>2605</v>
      </c>
      <c r="D487" s="925"/>
      <c r="E487" s="207">
        <f>(149.61+50.22+49.22+148.61+68.5)*1.15</f>
        <v>536.084</v>
      </c>
      <c r="F487" s="335"/>
      <c r="G487" s="335"/>
      <c r="H487" s="335"/>
      <c r="I487" s="336"/>
      <c r="J487" s="337"/>
      <c r="K487" s="508"/>
      <c r="L487" s="508"/>
      <c r="M487" s="508"/>
      <c r="N487" s="508"/>
      <c r="O487" s="508"/>
      <c r="P487" s="508"/>
      <c r="Q487" s="508"/>
      <c r="R487" s="508"/>
      <c r="S487" s="508"/>
      <c r="T487" s="508"/>
    </row>
    <row r="488" spans="1:20" s="130" customFormat="1" ht="18" customHeight="1">
      <c r="A488" s="204"/>
      <c r="B488" s="205" t="s">
        <v>1807</v>
      </c>
      <c r="C488" s="206" t="s">
        <v>2606</v>
      </c>
      <c r="D488" s="925"/>
      <c r="E488" s="207">
        <f>91.9*1.1+19.83*1.15</f>
        <v>123.89450000000002</v>
      </c>
      <c r="F488" s="335"/>
      <c r="G488" s="335"/>
      <c r="H488" s="335"/>
      <c r="I488" s="336"/>
      <c r="J488" s="337"/>
      <c r="K488" s="508"/>
      <c r="L488" s="508"/>
      <c r="M488" s="508"/>
      <c r="N488" s="508"/>
      <c r="O488" s="508"/>
      <c r="P488" s="508"/>
      <c r="Q488" s="508"/>
      <c r="R488" s="508"/>
      <c r="S488" s="508"/>
      <c r="T488" s="508"/>
    </row>
    <row r="489" spans="1:20" s="22" customFormat="1" ht="24" customHeight="1">
      <c r="A489" s="196" t="s">
        <v>2607</v>
      </c>
      <c r="B489" s="197" t="s">
        <v>2608</v>
      </c>
      <c r="C489" s="199" t="s">
        <v>2609</v>
      </c>
      <c r="D489" s="919" t="s">
        <v>2756</v>
      </c>
      <c r="E489" s="198" t="s">
        <v>1831</v>
      </c>
      <c r="F489" s="332">
        <f>F481*4+0.24</f>
        <v>6328</v>
      </c>
      <c r="G489" s="332"/>
      <c r="H489" s="332">
        <f>F489*G489</f>
        <v>0</v>
      </c>
      <c r="I489" s="333">
        <v>1E-05</v>
      </c>
      <c r="J489" s="334">
        <f>F489*I489</f>
        <v>0.06328</v>
      </c>
      <c r="K489" s="509"/>
      <c r="L489" s="509"/>
      <c r="M489" s="509"/>
      <c r="N489" s="509"/>
      <c r="O489" s="509"/>
      <c r="P489" s="509"/>
      <c r="Q489" s="509"/>
      <c r="R489" s="509"/>
      <c r="S489" s="509"/>
      <c r="T489" s="509"/>
    </row>
    <row r="490" spans="1:20" s="22" customFormat="1" ht="28.5" customHeight="1">
      <c r="A490" s="196" t="s">
        <v>2610</v>
      </c>
      <c r="B490" s="197" t="s">
        <v>2611</v>
      </c>
      <c r="C490" s="199" t="s">
        <v>2612</v>
      </c>
      <c r="D490" s="919" t="s">
        <v>2756</v>
      </c>
      <c r="E490" s="198" t="s">
        <v>1748</v>
      </c>
      <c r="F490" s="332">
        <f>SUM(E491:E493)</f>
        <v>1581.94</v>
      </c>
      <c r="G490" s="332"/>
      <c r="H490" s="332">
        <f>F490*G490</f>
        <v>0</v>
      </c>
      <c r="I490" s="333">
        <v>0.00035</v>
      </c>
      <c r="J490" s="334">
        <f>F490*I490</f>
        <v>0.553679</v>
      </c>
      <c r="K490" s="509"/>
      <c r="L490" s="509"/>
      <c r="M490" s="509"/>
      <c r="N490" s="509"/>
      <c r="O490" s="509"/>
      <c r="P490" s="509"/>
      <c r="Q490" s="509"/>
      <c r="R490" s="509"/>
      <c r="S490" s="509"/>
      <c r="T490" s="509"/>
    </row>
    <row r="491" spans="1:20" s="130" customFormat="1" ht="19.5" customHeight="1">
      <c r="A491" s="204"/>
      <c r="B491" s="205" t="s">
        <v>2595</v>
      </c>
      <c r="C491" s="206" t="s">
        <v>2596</v>
      </c>
      <c r="D491" s="925"/>
      <c r="E491" s="207">
        <f>58.2+16.5+58.2+16.5+167.6+11.07+579.48+96.5</f>
        <v>1004.05</v>
      </c>
      <c r="F491" s="335"/>
      <c r="G491" s="335"/>
      <c r="H491" s="335"/>
      <c r="I491" s="336"/>
      <c r="J491" s="337"/>
      <c r="K491" s="508"/>
      <c r="L491" s="508"/>
      <c r="M491" s="508"/>
      <c r="N491" s="508"/>
      <c r="O491" s="508"/>
      <c r="P491" s="508"/>
      <c r="Q491" s="508"/>
      <c r="R491" s="508"/>
      <c r="S491" s="508"/>
      <c r="T491" s="508"/>
    </row>
    <row r="492" spans="1:20" s="130" customFormat="1" ht="18" customHeight="1">
      <c r="A492" s="204"/>
      <c r="B492" s="205" t="s">
        <v>2020</v>
      </c>
      <c r="C492" s="206" t="s">
        <v>2597</v>
      </c>
      <c r="D492" s="925"/>
      <c r="E492" s="207">
        <f>149.61+50.22+49.22+148.61+68.5</f>
        <v>466.16</v>
      </c>
      <c r="F492" s="335"/>
      <c r="G492" s="335"/>
      <c r="H492" s="335"/>
      <c r="I492" s="336"/>
      <c r="J492" s="337"/>
      <c r="K492" s="508"/>
      <c r="L492" s="508"/>
      <c r="M492" s="508"/>
      <c r="N492" s="508"/>
      <c r="O492" s="508"/>
      <c r="P492" s="508"/>
      <c r="Q492" s="508"/>
      <c r="R492" s="508"/>
      <c r="S492" s="508"/>
      <c r="T492" s="508"/>
    </row>
    <row r="493" spans="1:20" s="130" customFormat="1" ht="19.5" customHeight="1">
      <c r="A493" s="204"/>
      <c r="B493" s="205" t="s">
        <v>1807</v>
      </c>
      <c r="C493" s="206" t="s">
        <v>2521</v>
      </c>
      <c r="D493" s="925"/>
      <c r="E493" s="207">
        <f>91.9+19.83</f>
        <v>111.73</v>
      </c>
      <c r="F493" s="335"/>
      <c r="G493" s="335"/>
      <c r="H493" s="335"/>
      <c r="I493" s="336"/>
      <c r="J493" s="337"/>
      <c r="K493" s="508"/>
      <c r="L493" s="508"/>
      <c r="M493" s="508"/>
      <c r="N493" s="508"/>
      <c r="O493" s="508"/>
      <c r="P493" s="508"/>
      <c r="Q493" s="508"/>
      <c r="R493" s="508"/>
      <c r="S493" s="508"/>
      <c r="T493" s="508"/>
    </row>
    <row r="494" spans="1:20" s="22" customFormat="1" ht="19.5" customHeight="1">
      <c r="A494" s="196" t="s">
        <v>2613</v>
      </c>
      <c r="B494" s="197" t="s">
        <v>2614</v>
      </c>
      <c r="C494" s="199" t="s">
        <v>2615</v>
      </c>
      <c r="D494" s="919" t="s">
        <v>2756</v>
      </c>
      <c r="E494" s="198" t="s">
        <v>1748</v>
      </c>
      <c r="F494" s="332">
        <f>SUM(E495:E497)</f>
        <v>1814.6359999999997</v>
      </c>
      <c r="G494" s="332"/>
      <c r="H494" s="332">
        <f>F494*G494</f>
        <v>0</v>
      </c>
      <c r="I494" s="333">
        <v>0.0044</v>
      </c>
      <c r="J494" s="334">
        <f>F494*I494</f>
        <v>7.984398399999999</v>
      </c>
      <c r="K494" s="509"/>
      <c r="L494" s="509"/>
      <c r="M494" s="509"/>
      <c r="N494" s="509"/>
      <c r="O494" s="509"/>
      <c r="P494" s="509"/>
      <c r="Q494" s="509"/>
      <c r="R494" s="509"/>
      <c r="S494" s="509"/>
      <c r="T494" s="509"/>
    </row>
    <row r="495" spans="1:20" s="130" customFormat="1" ht="28.5" customHeight="1">
      <c r="A495" s="204"/>
      <c r="B495" s="205" t="s">
        <v>2595</v>
      </c>
      <c r="C495" s="206" t="s">
        <v>2604</v>
      </c>
      <c r="D495" s="925"/>
      <c r="E495" s="207">
        <f>(58.2+16.5+58.2+16.5+167.6+11.07+579.48+96.5)*1.15</f>
        <v>1154.6574999999998</v>
      </c>
      <c r="F495" s="335"/>
      <c r="G495" s="335"/>
      <c r="H495" s="335"/>
      <c r="I495" s="336"/>
      <c r="J495" s="337"/>
      <c r="K495" s="508"/>
      <c r="L495" s="508"/>
      <c r="M495" s="508"/>
      <c r="N495" s="508"/>
      <c r="O495" s="508"/>
      <c r="P495" s="508"/>
      <c r="Q495" s="508"/>
      <c r="R495" s="508"/>
      <c r="S495" s="508"/>
      <c r="T495" s="508"/>
    </row>
    <row r="496" spans="1:20" s="130" customFormat="1" ht="24" customHeight="1">
      <c r="A496" s="204"/>
      <c r="B496" s="205" t="s">
        <v>2020</v>
      </c>
      <c r="C496" s="206" t="s">
        <v>2605</v>
      </c>
      <c r="D496" s="925"/>
      <c r="E496" s="207">
        <f>(149.61+50.22+49.22+148.61+68.5)*1.15</f>
        <v>536.084</v>
      </c>
      <c r="F496" s="335"/>
      <c r="G496" s="335"/>
      <c r="H496" s="335"/>
      <c r="I496" s="336"/>
      <c r="J496" s="337"/>
      <c r="K496" s="508"/>
      <c r="L496" s="508"/>
      <c r="M496" s="508"/>
      <c r="N496" s="508"/>
      <c r="O496" s="508"/>
      <c r="P496" s="508"/>
      <c r="Q496" s="508"/>
      <c r="R496" s="508"/>
      <c r="S496" s="508"/>
      <c r="T496" s="508"/>
    </row>
    <row r="497" spans="1:20" s="130" customFormat="1" ht="18.75" customHeight="1">
      <c r="A497" s="204"/>
      <c r="B497" s="205" t="s">
        <v>1807</v>
      </c>
      <c r="C497" s="206" t="s">
        <v>2606</v>
      </c>
      <c r="D497" s="925"/>
      <c r="E497" s="207">
        <f>91.9*1.1+19.83*1.15</f>
        <v>123.89450000000002</v>
      </c>
      <c r="F497" s="335"/>
      <c r="G497" s="335"/>
      <c r="H497" s="335"/>
      <c r="I497" s="336"/>
      <c r="J497" s="337"/>
      <c r="K497" s="508"/>
      <c r="L497" s="508"/>
      <c r="M497" s="508"/>
      <c r="N497" s="508"/>
      <c r="O497" s="508"/>
      <c r="P497" s="508"/>
      <c r="Q497" s="508"/>
      <c r="R497" s="508"/>
      <c r="S497" s="508"/>
      <c r="T497" s="508"/>
    </row>
    <row r="498" spans="1:20" s="22" customFormat="1" ht="28.5" customHeight="1">
      <c r="A498" s="196" t="s">
        <v>2616</v>
      </c>
      <c r="B498" s="197" t="s">
        <v>2611</v>
      </c>
      <c r="C498" s="199" t="s">
        <v>2617</v>
      </c>
      <c r="D498" s="919" t="s">
        <v>2756</v>
      </c>
      <c r="E498" s="198" t="s">
        <v>1748</v>
      </c>
      <c r="F498" s="332">
        <f>SUM(E499:E503)</f>
        <v>2009.5700000000002</v>
      </c>
      <c r="G498" s="332"/>
      <c r="H498" s="332">
        <f>F498*G498</f>
        <v>0</v>
      </c>
      <c r="I498" s="333">
        <v>0.00035</v>
      </c>
      <c r="J498" s="334">
        <f>F498*I498</f>
        <v>0.7033495000000001</v>
      </c>
      <c r="K498" s="509"/>
      <c r="L498" s="509"/>
      <c r="M498" s="509"/>
      <c r="N498" s="509"/>
      <c r="O498" s="509"/>
      <c r="P498" s="509"/>
      <c r="Q498" s="509"/>
      <c r="R498" s="509"/>
      <c r="S498" s="509"/>
      <c r="T498" s="509"/>
    </row>
    <row r="499" spans="1:20" s="130" customFormat="1" ht="18" customHeight="1">
      <c r="A499" s="204"/>
      <c r="B499" s="205" t="s">
        <v>2595</v>
      </c>
      <c r="C499" s="206" t="s">
        <v>2596</v>
      </c>
      <c r="D499" s="925"/>
      <c r="E499" s="207">
        <f>58.2+16.5+58.2+16.5+167.6+11.07+579.48+96.5</f>
        <v>1004.05</v>
      </c>
      <c r="F499" s="335"/>
      <c r="G499" s="335"/>
      <c r="H499" s="335"/>
      <c r="I499" s="336"/>
      <c r="J499" s="337"/>
      <c r="K499" s="508"/>
      <c r="L499" s="508"/>
      <c r="M499" s="508"/>
      <c r="N499" s="508"/>
      <c r="O499" s="508"/>
      <c r="P499" s="508"/>
      <c r="Q499" s="508"/>
      <c r="R499" s="508"/>
      <c r="S499" s="508"/>
      <c r="T499" s="508"/>
    </row>
    <row r="500" spans="1:20" s="130" customFormat="1" ht="24" customHeight="1">
      <c r="A500" s="204"/>
      <c r="B500" s="205" t="s">
        <v>2018</v>
      </c>
      <c r="C500" s="206" t="s">
        <v>2572</v>
      </c>
      <c r="D500" s="925"/>
      <c r="E500" s="207">
        <f>78.11+78.11+18.6+18.6</f>
        <v>193.42</v>
      </c>
      <c r="F500" s="335"/>
      <c r="G500" s="335"/>
      <c r="H500" s="335"/>
      <c r="I500" s="336"/>
      <c r="J500" s="337"/>
      <c r="K500" s="508"/>
      <c r="L500" s="508"/>
      <c r="M500" s="508"/>
      <c r="N500" s="508"/>
      <c r="O500" s="508"/>
      <c r="P500" s="508"/>
      <c r="Q500" s="508"/>
      <c r="R500" s="508"/>
      <c r="S500" s="508"/>
      <c r="T500" s="508"/>
    </row>
    <row r="501" spans="1:20" s="130" customFormat="1" ht="24" customHeight="1">
      <c r="A501" s="204"/>
      <c r="B501" s="205" t="s">
        <v>2020</v>
      </c>
      <c r="C501" s="206" t="s">
        <v>2597</v>
      </c>
      <c r="D501" s="925"/>
      <c r="E501" s="207">
        <f>149.61+50.22+49.22+148.61+68.5</f>
        <v>466.16</v>
      </c>
      <c r="F501" s="335"/>
      <c r="G501" s="335"/>
      <c r="H501" s="335"/>
      <c r="I501" s="336"/>
      <c r="J501" s="337"/>
      <c r="K501" s="508"/>
      <c r="L501" s="508"/>
      <c r="M501" s="508"/>
      <c r="N501" s="508"/>
      <c r="O501" s="508"/>
      <c r="P501" s="508"/>
      <c r="Q501" s="508"/>
      <c r="R501" s="508"/>
      <c r="S501" s="508"/>
      <c r="T501" s="508"/>
    </row>
    <row r="502" spans="1:20" s="130" customFormat="1" ht="24" customHeight="1">
      <c r="A502" s="204"/>
      <c r="B502" s="205" t="s">
        <v>2022</v>
      </c>
      <c r="C502" s="206" t="s">
        <v>2023</v>
      </c>
      <c r="D502" s="925"/>
      <c r="E502" s="207">
        <f>165.37+165.37</f>
        <v>330.74</v>
      </c>
      <c r="F502" s="335"/>
      <c r="G502" s="335"/>
      <c r="H502" s="335"/>
      <c r="I502" s="336"/>
      <c r="J502" s="337"/>
      <c r="K502" s="508"/>
      <c r="L502" s="508"/>
      <c r="M502" s="508"/>
      <c r="N502" s="508"/>
      <c r="O502" s="508"/>
      <c r="P502" s="508"/>
      <c r="Q502" s="508"/>
      <c r="R502" s="508"/>
      <c r="S502" s="508"/>
      <c r="T502" s="508"/>
    </row>
    <row r="503" spans="1:20" s="130" customFormat="1" ht="24" customHeight="1">
      <c r="A503" s="204"/>
      <c r="B503" s="205" t="s">
        <v>2024</v>
      </c>
      <c r="C503" s="206" t="s">
        <v>2025</v>
      </c>
      <c r="D503" s="925"/>
      <c r="E503" s="207">
        <v>15.2</v>
      </c>
      <c r="F503" s="335"/>
      <c r="G503" s="335"/>
      <c r="H503" s="335"/>
      <c r="I503" s="336"/>
      <c r="J503" s="337"/>
      <c r="K503" s="508"/>
      <c r="L503" s="508"/>
      <c r="M503" s="508"/>
      <c r="N503" s="508"/>
      <c r="O503" s="508"/>
      <c r="P503" s="508"/>
      <c r="Q503" s="508"/>
      <c r="R503" s="508"/>
      <c r="S503" s="508"/>
      <c r="T503" s="508"/>
    </row>
    <row r="504" spans="1:20" s="22" customFormat="1" ht="24" customHeight="1">
      <c r="A504" s="196" t="s">
        <v>2618</v>
      </c>
      <c r="B504" s="197" t="s">
        <v>2619</v>
      </c>
      <c r="C504" s="199" t="s">
        <v>2620</v>
      </c>
      <c r="D504" s="919" t="s">
        <v>2756</v>
      </c>
      <c r="E504" s="198" t="s">
        <v>1748</v>
      </c>
      <c r="F504" s="332">
        <f>SUM(E505:E509)</f>
        <v>2311.0054999999998</v>
      </c>
      <c r="G504" s="332"/>
      <c r="H504" s="332">
        <f>F504*G504</f>
        <v>0</v>
      </c>
      <c r="I504" s="333">
        <v>0.004</v>
      </c>
      <c r="J504" s="334">
        <f>F504*I504</f>
        <v>9.244022</v>
      </c>
      <c r="K504" s="509"/>
      <c r="L504" s="509"/>
      <c r="M504" s="509"/>
      <c r="N504" s="509"/>
      <c r="O504" s="509"/>
      <c r="P504" s="509"/>
      <c r="Q504" s="509"/>
      <c r="R504" s="509"/>
      <c r="S504" s="509"/>
      <c r="T504" s="509"/>
    </row>
    <row r="505" spans="1:20" s="130" customFormat="1" ht="24.75" customHeight="1">
      <c r="A505" s="204"/>
      <c r="B505" s="205" t="s">
        <v>2595</v>
      </c>
      <c r="C505" s="206" t="s">
        <v>2604</v>
      </c>
      <c r="D505" s="925"/>
      <c r="E505" s="207">
        <f>(58.2+16.5+58.2+16.5+167.6+11.07+579.48+96.5)*1.15</f>
        <v>1154.6574999999998</v>
      </c>
      <c r="F505" s="335"/>
      <c r="G505" s="335"/>
      <c r="H505" s="335"/>
      <c r="I505" s="336"/>
      <c r="J505" s="337"/>
      <c r="K505" s="508"/>
      <c r="L505" s="508"/>
      <c r="M505" s="508"/>
      <c r="N505" s="508"/>
      <c r="O505" s="508"/>
      <c r="P505" s="508"/>
      <c r="Q505" s="508"/>
      <c r="R505" s="508"/>
      <c r="S505" s="508"/>
      <c r="T505" s="508"/>
    </row>
    <row r="506" spans="1:20" s="130" customFormat="1" ht="19.5" customHeight="1">
      <c r="A506" s="204"/>
      <c r="B506" s="205" t="s">
        <v>2018</v>
      </c>
      <c r="C506" s="206" t="s">
        <v>2621</v>
      </c>
      <c r="D506" s="925"/>
      <c r="E506" s="207">
        <f>(78.11+78.11+18.6+18.6)*1.15</f>
        <v>222.43299999999996</v>
      </c>
      <c r="F506" s="335"/>
      <c r="G506" s="335"/>
      <c r="H506" s="335"/>
      <c r="I506" s="336"/>
      <c r="J506" s="337"/>
      <c r="K506" s="508"/>
      <c r="L506" s="508"/>
      <c r="M506" s="508"/>
      <c r="N506" s="508"/>
      <c r="O506" s="508"/>
      <c r="P506" s="508"/>
      <c r="Q506" s="508"/>
      <c r="R506" s="508"/>
      <c r="S506" s="508"/>
      <c r="T506" s="508"/>
    </row>
    <row r="507" spans="1:20" s="130" customFormat="1" ht="19.5" customHeight="1">
      <c r="A507" s="204"/>
      <c r="B507" s="205" t="s">
        <v>2020</v>
      </c>
      <c r="C507" s="206" t="s">
        <v>2605</v>
      </c>
      <c r="D507" s="925"/>
      <c r="E507" s="207">
        <f>(149.61+50.22+49.22+148.61+68.5)*1.15</f>
        <v>536.084</v>
      </c>
      <c r="F507" s="335"/>
      <c r="G507" s="335"/>
      <c r="H507" s="335"/>
      <c r="I507" s="336"/>
      <c r="J507" s="337"/>
      <c r="K507" s="508"/>
      <c r="L507" s="508"/>
      <c r="M507" s="508"/>
      <c r="N507" s="508"/>
      <c r="O507" s="508"/>
      <c r="P507" s="508"/>
      <c r="Q507" s="508"/>
      <c r="R507" s="508"/>
      <c r="S507" s="508"/>
      <c r="T507" s="508"/>
    </row>
    <row r="508" spans="1:20" s="130" customFormat="1" ht="19.5" customHeight="1">
      <c r="A508" s="204"/>
      <c r="B508" s="205" t="s">
        <v>2022</v>
      </c>
      <c r="C508" s="206" t="s">
        <v>2622</v>
      </c>
      <c r="D508" s="925"/>
      <c r="E508" s="207">
        <f>(165.37+165.37)*1.15</f>
        <v>380.351</v>
      </c>
      <c r="F508" s="335"/>
      <c r="G508" s="335"/>
      <c r="H508" s="335"/>
      <c r="I508" s="336"/>
      <c r="J508" s="337"/>
      <c r="K508" s="508"/>
      <c r="L508" s="508"/>
      <c r="M508" s="508"/>
      <c r="N508" s="508"/>
      <c r="O508" s="508"/>
      <c r="P508" s="508"/>
      <c r="Q508" s="508"/>
      <c r="R508" s="508"/>
      <c r="S508" s="508"/>
      <c r="T508" s="508"/>
    </row>
    <row r="509" spans="1:20" s="130" customFormat="1" ht="19.5" customHeight="1">
      <c r="A509" s="204"/>
      <c r="B509" s="205" t="s">
        <v>2024</v>
      </c>
      <c r="C509" s="206" t="s">
        <v>2623</v>
      </c>
      <c r="D509" s="925"/>
      <c r="E509" s="207">
        <f>15.2*1.15</f>
        <v>17.479999999999997</v>
      </c>
      <c r="F509" s="335"/>
      <c r="G509" s="335"/>
      <c r="H509" s="335"/>
      <c r="I509" s="336"/>
      <c r="J509" s="337"/>
      <c r="K509" s="508"/>
      <c r="L509" s="508"/>
      <c r="M509" s="508"/>
      <c r="N509" s="508"/>
      <c r="O509" s="508"/>
      <c r="P509" s="508"/>
      <c r="Q509" s="508"/>
      <c r="R509" s="508"/>
      <c r="S509" s="508"/>
      <c r="T509" s="508"/>
    </row>
    <row r="510" spans="1:20" s="22" customFormat="1" ht="24" customHeight="1" thickBot="1">
      <c r="A510" s="255" t="s">
        <v>2624</v>
      </c>
      <c r="B510" s="256" t="s">
        <v>2625</v>
      </c>
      <c r="C510" s="264" t="s">
        <v>2626</v>
      </c>
      <c r="D510" s="937"/>
      <c r="E510" s="257" t="s">
        <v>1783</v>
      </c>
      <c r="F510" s="368">
        <f>J472</f>
        <v>27.0775181</v>
      </c>
      <c r="G510" s="368"/>
      <c r="H510" s="368">
        <f>F510*G510</f>
        <v>0</v>
      </c>
      <c r="I510" s="369">
        <v>0</v>
      </c>
      <c r="J510" s="370">
        <f>F510*I510</f>
        <v>0</v>
      </c>
      <c r="K510" s="509"/>
      <c r="L510" s="509"/>
      <c r="M510" s="509"/>
      <c r="N510" s="509"/>
      <c r="O510" s="509"/>
      <c r="P510" s="509"/>
      <c r="Q510" s="509"/>
      <c r="R510" s="509"/>
      <c r="S510" s="509"/>
      <c r="T510" s="509"/>
    </row>
    <row r="511" spans="1:20" ht="16.5" customHeight="1" thickBot="1">
      <c r="A511" s="266" t="s">
        <v>2627</v>
      </c>
      <c r="B511" s="175" t="s">
        <v>2628</v>
      </c>
      <c r="C511" s="176" t="s">
        <v>2629</v>
      </c>
      <c r="D511" s="175"/>
      <c r="E511" s="175"/>
      <c r="F511" s="341"/>
      <c r="G511" s="341"/>
      <c r="H511" s="342">
        <f>SUM(H512:H552)</f>
        <v>0</v>
      </c>
      <c r="I511" s="343"/>
      <c r="J511" s="344">
        <f>SUM(J512:J550)</f>
        <v>12.438158765000003</v>
      </c>
      <c r="K511" s="670"/>
      <c r="L511" s="670"/>
      <c r="M511" s="670"/>
      <c r="N511" s="670"/>
      <c r="O511" s="670"/>
      <c r="P511" s="670"/>
      <c r="Q511" s="670"/>
      <c r="R511" s="670"/>
      <c r="S511" s="670"/>
      <c r="T511" s="670"/>
    </row>
    <row r="512" spans="1:20" s="18" customFormat="1" ht="17.25" customHeight="1">
      <c r="A512" s="270"/>
      <c r="B512" s="271"/>
      <c r="C512" s="271"/>
      <c r="D512" s="939"/>
      <c r="E512" s="272"/>
      <c r="F512" s="375"/>
      <c r="G512" s="375"/>
      <c r="H512" s="376"/>
      <c r="I512" s="377"/>
      <c r="J512" s="378"/>
      <c r="K512" s="671"/>
      <c r="L512" s="671"/>
      <c r="M512" s="671"/>
      <c r="N512" s="671"/>
      <c r="O512" s="671"/>
      <c r="P512" s="671"/>
      <c r="Q512" s="671"/>
      <c r="R512" s="671"/>
      <c r="S512" s="671"/>
      <c r="T512" s="671"/>
    </row>
    <row r="513" spans="1:20" s="22" customFormat="1" ht="18.75" customHeight="1">
      <c r="A513" s="196" t="s">
        <v>2630</v>
      </c>
      <c r="B513" s="197" t="s">
        <v>2631</v>
      </c>
      <c r="C513" s="199" t="s">
        <v>2632</v>
      </c>
      <c r="D513" s="919" t="s">
        <v>2773</v>
      </c>
      <c r="E513" s="198" t="s">
        <v>1748</v>
      </c>
      <c r="F513" s="332">
        <f>SUM(E514:E516)</f>
        <v>1663.63</v>
      </c>
      <c r="G513" s="332"/>
      <c r="H513" s="332">
        <f>F513*G513</f>
        <v>0</v>
      </c>
      <c r="I513" s="333">
        <v>0</v>
      </c>
      <c r="J513" s="334">
        <f>F513*I513</f>
        <v>0</v>
      </c>
      <c r="K513" s="509"/>
      <c r="L513" s="509"/>
      <c r="M513" s="509"/>
      <c r="N513" s="509"/>
      <c r="O513" s="509"/>
      <c r="P513" s="509"/>
      <c r="Q513" s="509"/>
      <c r="R513" s="509"/>
      <c r="S513" s="509"/>
      <c r="T513" s="509"/>
    </row>
    <row r="514" spans="1:20" s="130" customFormat="1" ht="18" customHeight="1">
      <c r="A514" s="204"/>
      <c r="B514" s="205" t="s">
        <v>2595</v>
      </c>
      <c r="C514" s="206" t="s">
        <v>2596</v>
      </c>
      <c r="D514" s="925"/>
      <c r="E514" s="207">
        <f>58.2+16.5+58.2+16.5+167.6+11.07+579.48+96.5</f>
        <v>1004.05</v>
      </c>
      <c r="F514" s="335"/>
      <c r="G514" s="335"/>
      <c r="H514" s="335"/>
      <c r="I514" s="336"/>
      <c r="J514" s="337"/>
      <c r="K514" s="508"/>
      <c r="L514" s="508"/>
      <c r="M514" s="508"/>
      <c r="N514" s="508"/>
      <c r="O514" s="508"/>
      <c r="P514" s="508"/>
      <c r="Q514" s="508"/>
      <c r="R514" s="508"/>
      <c r="S514" s="508"/>
      <c r="T514" s="508"/>
    </row>
    <row r="515" spans="1:20" s="130" customFormat="1" ht="24" customHeight="1">
      <c r="A515" s="204"/>
      <c r="B515" s="205" t="s">
        <v>2018</v>
      </c>
      <c r="C515" s="206" t="s">
        <v>2572</v>
      </c>
      <c r="D515" s="925"/>
      <c r="E515" s="207">
        <f>78.11+78.11+18.6+18.6</f>
        <v>193.42</v>
      </c>
      <c r="F515" s="335"/>
      <c r="G515" s="335"/>
      <c r="H515" s="335"/>
      <c r="I515" s="336"/>
      <c r="J515" s="337"/>
      <c r="K515" s="508"/>
      <c r="L515" s="508"/>
      <c r="M515" s="508"/>
      <c r="N515" s="508"/>
      <c r="O515" s="508"/>
      <c r="P515" s="508"/>
      <c r="Q515" s="508"/>
      <c r="R515" s="508"/>
      <c r="S515" s="508"/>
      <c r="T515" s="508"/>
    </row>
    <row r="516" spans="1:20" s="130" customFormat="1" ht="24" customHeight="1">
      <c r="A516" s="204"/>
      <c r="B516" s="205" t="s">
        <v>2020</v>
      </c>
      <c r="C516" s="206" t="s">
        <v>2597</v>
      </c>
      <c r="D516" s="925"/>
      <c r="E516" s="207">
        <f>149.61+50.22+49.22+148.61+68.5</f>
        <v>466.16</v>
      </c>
      <c r="F516" s="335"/>
      <c r="G516" s="335"/>
      <c r="H516" s="335"/>
      <c r="I516" s="336"/>
      <c r="J516" s="337"/>
      <c r="K516" s="508"/>
      <c r="L516" s="508"/>
      <c r="M516" s="508"/>
      <c r="N516" s="508"/>
      <c r="O516" s="508"/>
      <c r="P516" s="508"/>
      <c r="Q516" s="508"/>
      <c r="R516" s="508"/>
      <c r="S516" s="508"/>
      <c r="T516" s="508"/>
    </row>
    <row r="517" spans="1:20" s="22" customFormat="1" ht="29.25" customHeight="1">
      <c r="A517" s="196" t="s">
        <v>2633</v>
      </c>
      <c r="B517" s="197" t="s">
        <v>2634</v>
      </c>
      <c r="C517" s="199" t="s">
        <v>2635</v>
      </c>
      <c r="D517" s="919"/>
      <c r="E517" s="198" t="s">
        <v>1748</v>
      </c>
      <c r="F517" s="332">
        <f>SUM(E518:E519)</f>
        <v>337.84000000000003</v>
      </c>
      <c r="G517" s="332"/>
      <c r="H517" s="332">
        <f>F517*G517</f>
        <v>0</v>
      </c>
      <c r="I517" s="333">
        <v>0</v>
      </c>
      <c r="J517" s="334">
        <f>F517*I517</f>
        <v>0</v>
      </c>
      <c r="K517" s="509"/>
      <c r="L517" s="509"/>
      <c r="M517" s="509"/>
      <c r="N517" s="509"/>
      <c r="O517" s="509"/>
      <c r="P517" s="509"/>
      <c r="Q517" s="509"/>
      <c r="R517" s="509"/>
      <c r="S517" s="509"/>
      <c r="T517" s="509"/>
    </row>
    <row r="518" spans="1:20" s="128" customFormat="1" ht="20.25" customHeight="1">
      <c r="A518" s="204"/>
      <c r="B518" s="205"/>
      <c r="C518" s="205" t="s">
        <v>2520</v>
      </c>
      <c r="D518" s="925"/>
      <c r="E518" s="260">
        <f>7.1</f>
        <v>7.1</v>
      </c>
      <c r="F518" s="335"/>
      <c r="G518" s="335"/>
      <c r="H518" s="335"/>
      <c r="I518" s="336"/>
      <c r="J518" s="337"/>
      <c r="K518" s="508"/>
      <c r="L518" s="508"/>
      <c r="M518" s="508"/>
      <c r="N518" s="508"/>
      <c r="O518" s="508"/>
      <c r="P518" s="508"/>
      <c r="Q518" s="508"/>
      <c r="R518" s="508"/>
      <c r="S518" s="508"/>
      <c r="T518" s="508"/>
    </row>
    <row r="519" spans="1:20" s="130" customFormat="1" ht="24" customHeight="1">
      <c r="A519" s="204"/>
      <c r="B519" s="205" t="s">
        <v>2022</v>
      </c>
      <c r="C519" s="206" t="s">
        <v>2023</v>
      </c>
      <c r="D519" s="925"/>
      <c r="E519" s="207">
        <f>165.37+165.37</f>
        <v>330.74</v>
      </c>
      <c r="F519" s="335"/>
      <c r="G519" s="335"/>
      <c r="H519" s="335"/>
      <c r="I519" s="336"/>
      <c r="J519" s="337"/>
      <c r="K519" s="508"/>
      <c r="L519" s="508"/>
      <c r="M519" s="508"/>
      <c r="N519" s="508"/>
      <c r="O519" s="508"/>
      <c r="P519" s="508"/>
      <c r="Q519" s="508"/>
      <c r="R519" s="508"/>
      <c r="S519" s="508"/>
      <c r="T519" s="508"/>
    </row>
    <row r="520" spans="1:20" s="22" customFormat="1" ht="18.75" customHeight="1">
      <c r="A520" s="196" t="s">
        <v>2637</v>
      </c>
      <c r="B520" s="197" t="s">
        <v>2638</v>
      </c>
      <c r="C520" s="199" t="s">
        <v>2639</v>
      </c>
      <c r="D520" s="919"/>
      <c r="E520" s="198" t="s">
        <v>1748</v>
      </c>
      <c r="F520" s="332">
        <f>E521</f>
        <v>7.242</v>
      </c>
      <c r="G520" s="332"/>
      <c r="H520" s="332">
        <f>F520*G520</f>
        <v>0</v>
      </c>
      <c r="I520" s="333">
        <v>0.0048</v>
      </c>
      <c r="J520" s="334">
        <f>F520*I520</f>
        <v>0.0347616</v>
      </c>
      <c r="K520" s="509"/>
      <c r="L520" s="509"/>
      <c r="M520" s="509"/>
      <c r="N520" s="509"/>
      <c r="O520" s="509"/>
      <c r="P520" s="509"/>
      <c r="Q520" s="509"/>
      <c r="R520" s="509"/>
      <c r="S520" s="509"/>
      <c r="T520" s="509"/>
    </row>
    <row r="521" spans="1:20" s="128" customFormat="1" ht="20.25" customHeight="1">
      <c r="A521" s="204"/>
      <c r="B521" s="205"/>
      <c r="C521" s="205" t="s">
        <v>2640</v>
      </c>
      <c r="D521" s="925"/>
      <c r="E521" s="260">
        <f>7.1*1.02</f>
        <v>7.242</v>
      </c>
      <c r="F521" s="335"/>
      <c r="G521" s="335"/>
      <c r="H521" s="335"/>
      <c r="I521" s="336"/>
      <c r="J521" s="337"/>
      <c r="K521" s="508"/>
      <c r="L521" s="508"/>
      <c r="M521" s="508"/>
      <c r="N521" s="508"/>
      <c r="O521" s="508"/>
      <c r="P521" s="508"/>
      <c r="Q521" s="508"/>
      <c r="R521" s="508"/>
      <c r="S521" s="508"/>
      <c r="T521" s="508"/>
    </row>
    <row r="522" spans="1:20" s="22" customFormat="1" ht="18.75" customHeight="1">
      <c r="A522" s="196" t="s">
        <v>2641</v>
      </c>
      <c r="B522" s="197" t="s">
        <v>2642</v>
      </c>
      <c r="C522" s="199" t="s">
        <v>2643</v>
      </c>
      <c r="D522" s="919"/>
      <c r="E522" s="198" t="s">
        <v>1748</v>
      </c>
      <c r="F522" s="332">
        <f>E523</f>
        <v>337.3548</v>
      </c>
      <c r="G522" s="332"/>
      <c r="H522" s="332">
        <f>F522*G522</f>
        <v>0</v>
      </c>
      <c r="I522" s="333">
        <v>0.003</v>
      </c>
      <c r="J522" s="334">
        <f>F522*I522</f>
        <v>1.0120644</v>
      </c>
      <c r="K522" s="509"/>
      <c r="L522" s="509"/>
      <c r="M522" s="509"/>
      <c r="N522" s="509"/>
      <c r="O522" s="509"/>
      <c r="P522" s="509"/>
      <c r="Q522" s="509"/>
      <c r="R522" s="509"/>
      <c r="S522" s="509"/>
      <c r="T522" s="509"/>
    </row>
    <row r="523" spans="1:20" s="130" customFormat="1" ht="24" customHeight="1">
      <c r="A523" s="204"/>
      <c r="B523" s="205" t="s">
        <v>2022</v>
      </c>
      <c r="C523" s="206" t="s">
        <v>2644</v>
      </c>
      <c r="D523" s="925"/>
      <c r="E523" s="207">
        <f>(165.37+165.37)*1.02</f>
        <v>337.3548</v>
      </c>
      <c r="F523" s="335"/>
      <c r="G523" s="335"/>
      <c r="H523" s="335"/>
      <c r="I523" s="336"/>
      <c r="J523" s="337"/>
      <c r="K523" s="508"/>
      <c r="L523" s="508"/>
      <c r="M523" s="508"/>
      <c r="N523" s="508"/>
      <c r="O523" s="508"/>
      <c r="P523" s="508"/>
      <c r="Q523" s="508"/>
      <c r="R523" s="508"/>
      <c r="S523" s="508"/>
      <c r="T523" s="508"/>
    </row>
    <row r="524" spans="1:20" s="22" customFormat="1" ht="18.75" customHeight="1">
      <c r="A524" s="196" t="s">
        <v>2645</v>
      </c>
      <c r="B524" s="197" t="s">
        <v>2646</v>
      </c>
      <c r="C524" s="199" t="s">
        <v>2647</v>
      </c>
      <c r="D524" s="919"/>
      <c r="E524" s="198" t="s">
        <v>1748</v>
      </c>
      <c r="F524" s="332">
        <f>SUM(E525:E526)</f>
        <v>344.59680000000003</v>
      </c>
      <c r="G524" s="332"/>
      <c r="H524" s="332">
        <f>F524*G524</f>
        <v>0</v>
      </c>
      <c r="I524" s="333">
        <v>0.0024</v>
      </c>
      <c r="J524" s="334">
        <f>F524*I524</f>
        <v>0.82703232</v>
      </c>
      <c r="K524" s="509"/>
      <c r="L524" s="509"/>
      <c r="M524" s="509"/>
      <c r="N524" s="509"/>
      <c r="O524" s="509"/>
      <c r="P524" s="509"/>
      <c r="Q524" s="509"/>
      <c r="R524" s="509"/>
      <c r="S524" s="509"/>
      <c r="T524" s="509"/>
    </row>
    <row r="525" spans="1:20" s="128" customFormat="1" ht="20.25" customHeight="1">
      <c r="A525" s="204"/>
      <c r="B525" s="205"/>
      <c r="C525" s="205" t="s">
        <v>2640</v>
      </c>
      <c r="D525" s="925"/>
      <c r="E525" s="260">
        <f>7.1*1.02</f>
        <v>7.242</v>
      </c>
      <c r="F525" s="335"/>
      <c r="G525" s="335"/>
      <c r="H525" s="335"/>
      <c r="I525" s="336"/>
      <c r="J525" s="337"/>
      <c r="K525" s="508"/>
      <c r="L525" s="508"/>
      <c r="M525" s="508"/>
      <c r="N525" s="508"/>
      <c r="O525" s="508"/>
      <c r="P525" s="508"/>
      <c r="Q525" s="508"/>
      <c r="R525" s="508"/>
      <c r="S525" s="508"/>
      <c r="T525" s="508"/>
    </row>
    <row r="526" spans="1:20" s="130" customFormat="1" ht="24" customHeight="1">
      <c r="A526" s="204"/>
      <c r="B526" s="205" t="s">
        <v>2022</v>
      </c>
      <c r="C526" s="206" t="s">
        <v>2644</v>
      </c>
      <c r="D526" s="925"/>
      <c r="E526" s="207">
        <f>(165.37+165.37)*1.02</f>
        <v>337.3548</v>
      </c>
      <c r="F526" s="335"/>
      <c r="G526" s="335"/>
      <c r="H526" s="335"/>
      <c r="I526" s="336"/>
      <c r="J526" s="337"/>
      <c r="K526" s="508"/>
      <c r="L526" s="508"/>
      <c r="M526" s="508"/>
      <c r="N526" s="508"/>
      <c r="O526" s="508"/>
      <c r="P526" s="508"/>
      <c r="Q526" s="508"/>
      <c r="R526" s="508"/>
      <c r="S526" s="508"/>
      <c r="T526" s="508"/>
    </row>
    <row r="527" spans="1:20" s="22" customFormat="1" ht="27" customHeight="1">
      <c r="A527" s="196" t="s">
        <v>2648</v>
      </c>
      <c r="B527" s="197" t="s">
        <v>2649</v>
      </c>
      <c r="C527" s="199" t="s">
        <v>2650</v>
      </c>
      <c r="D527" s="919" t="s">
        <v>2756</v>
      </c>
      <c r="E527" s="198" t="s">
        <v>1709</v>
      </c>
      <c r="F527" s="332">
        <f>SUM(E528:E531)</f>
        <v>385.17050000000006</v>
      </c>
      <c r="G527" s="332"/>
      <c r="H527" s="332">
        <f>F527*G527</f>
        <v>0</v>
      </c>
      <c r="I527" s="333">
        <v>0.025</v>
      </c>
      <c r="J527" s="334">
        <f>F527*I527</f>
        <v>9.629262500000003</v>
      </c>
      <c r="K527" s="509"/>
      <c r="L527" s="509"/>
      <c r="M527" s="509"/>
      <c r="N527" s="509"/>
      <c r="O527" s="509"/>
      <c r="P527" s="509"/>
      <c r="Q527" s="509"/>
      <c r="R527" s="509"/>
      <c r="S527" s="509"/>
      <c r="T527" s="509"/>
    </row>
    <row r="528" spans="1:20" s="130" customFormat="1" ht="24.75" customHeight="1">
      <c r="A528" s="204"/>
      <c r="B528" s="205" t="s">
        <v>2595</v>
      </c>
      <c r="C528" s="206" t="s">
        <v>2651</v>
      </c>
      <c r="D528" s="925" t="s">
        <v>2652</v>
      </c>
      <c r="E528" s="207">
        <f>(58.2+16.5+58.2+16.5+167.6+11.07+579.48+96.5)*1.1*0.26</f>
        <v>287.1583</v>
      </c>
      <c r="F528" s="335"/>
      <c r="G528" s="335"/>
      <c r="H528" s="335"/>
      <c r="I528" s="336"/>
      <c r="J528" s="337"/>
      <c r="K528" s="508"/>
      <c r="L528" s="508"/>
      <c r="M528" s="508"/>
      <c r="N528" s="508"/>
      <c r="O528" s="508"/>
      <c r="P528" s="508"/>
      <c r="Q528" s="508"/>
      <c r="R528" s="508"/>
      <c r="S528" s="508"/>
      <c r="T528" s="508"/>
    </row>
    <row r="529" spans="1:20" s="130" customFormat="1" ht="24" customHeight="1">
      <c r="A529" s="204"/>
      <c r="B529" s="205" t="s">
        <v>2018</v>
      </c>
      <c r="C529" s="206" t="s">
        <v>2653</v>
      </c>
      <c r="D529" s="925" t="s">
        <v>2652</v>
      </c>
      <c r="E529" s="207">
        <f>(78.11+78.11+18.6+18.6)*1.1*0.26</f>
        <v>55.31812</v>
      </c>
      <c r="F529" s="335"/>
      <c r="G529" s="335"/>
      <c r="H529" s="335"/>
      <c r="I529" s="336"/>
      <c r="J529" s="337"/>
      <c r="K529" s="508"/>
      <c r="L529" s="508"/>
      <c r="M529" s="508"/>
      <c r="N529" s="508"/>
      <c r="O529" s="508"/>
      <c r="P529" s="508"/>
      <c r="Q529" s="508"/>
      <c r="R529" s="508"/>
      <c r="S529" s="508"/>
      <c r="T529" s="508"/>
    </row>
    <row r="530" spans="1:20" s="130" customFormat="1" ht="24" customHeight="1">
      <c r="A530" s="204"/>
      <c r="B530" s="205" t="s">
        <v>2020</v>
      </c>
      <c r="C530" s="206" t="s">
        <v>2654</v>
      </c>
      <c r="D530" s="925" t="s">
        <v>2655</v>
      </c>
      <c r="E530" s="207">
        <f>(149.61+50.22+49.22+148.61+68.5)*1.1*0.08</f>
        <v>41.02208000000001</v>
      </c>
      <c r="F530" s="335"/>
      <c r="G530" s="335"/>
      <c r="H530" s="335"/>
      <c r="I530" s="336"/>
      <c r="J530" s="337"/>
      <c r="K530" s="508"/>
      <c r="L530" s="508"/>
      <c r="M530" s="508"/>
      <c r="N530" s="508"/>
      <c r="O530" s="508"/>
      <c r="P530" s="508"/>
      <c r="Q530" s="508"/>
      <c r="R530" s="508"/>
      <c r="S530" s="508"/>
      <c r="T530" s="508"/>
    </row>
    <row r="531" spans="1:20" s="130" customFormat="1" ht="24" customHeight="1">
      <c r="A531" s="204"/>
      <c r="B531" s="205" t="s">
        <v>2024</v>
      </c>
      <c r="C531" s="206" t="s">
        <v>2656</v>
      </c>
      <c r="D531" s="925" t="s">
        <v>2657</v>
      </c>
      <c r="E531" s="207">
        <f>15.2*0.1*1.1</f>
        <v>1.6720000000000002</v>
      </c>
      <c r="F531" s="335"/>
      <c r="G531" s="335"/>
      <c r="H531" s="335"/>
      <c r="I531" s="336"/>
      <c r="J531" s="337"/>
      <c r="K531" s="508"/>
      <c r="L531" s="508"/>
      <c r="M531" s="508"/>
      <c r="N531" s="508"/>
      <c r="O531" s="508"/>
      <c r="P531" s="508"/>
      <c r="Q531" s="508"/>
      <c r="R531" s="508"/>
      <c r="S531" s="508"/>
      <c r="T531" s="508"/>
    </row>
    <row r="532" spans="1:20" s="22" customFormat="1" ht="24" customHeight="1">
      <c r="A532" s="196" t="s">
        <v>2658</v>
      </c>
      <c r="B532" s="197" t="s">
        <v>2608</v>
      </c>
      <c r="C532" s="199" t="s">
        <v>2609</v>
      </c>
      <c r="D532" s="919" t="s">
        <v>2756</v>
      </c>
      <c r="E532" s="198" t="s">
        <v>1831</v>
      </c>
      <c r="F532" s="1028">
        <f>SUM(E533:E537)</f>
        <v>6716</v>
      </c>
      <c r="G532" s="332"/>
      <c r="H532" s="332">
        <f>F532*G532</f>
        <v>0</v>
      </c>
      <c r="I532" s="333">
        <v>1E-05</v>
      </c>
      <c r="J532" s="334">
        <f>F532*I532</f>
        <v>0.06716000000000001</v>
      </c>
      <c r="K532" s="509"/>
      <c r="L532" s="509"/>
      <c r="M532" s="509"/>
      <c r="N532" s="509"/>
      <c r="O532" s="509"/>
      <c r="P532" s="509"/>
      <c r="Q532" s="509"/>
      <c r="R532" s="509"/>
      <c r="S532" s="509"/>
      <c r="T532" s="509"/>
    </row>
    <row r="533" spans="1:20" s="130" customFormat="1" ht="18" customHeight="1">
      <c r="A533" s="204"/>
      <c r="B533" s="205" t="s">
        <v>2595</v>
      </c>
      <c r="C533" s="206" t="s">
        <v>2659</v>
      </c>
      <c r="D533" s="925"/>
      <c r="E533" s="207">
        <f>(58.2+16.5+58.2+16.5+167.6+11.07+579.48+96.5)*4-0.2</f>
        <v>4016</v>
      </c>
      <c r="F533" s="335"/>
      <c r="G533" s="335"/>
      <c r="H533" s="335"/>
      <c r="I533" s="336"/>
      <c r="J533" s="337"/>
      <c r="K533" s="508"/>
      <c r="L533" s="508"/>
      <c r="M533" s="508"/>
      <c r="N533" s="508"/>
      <c r="O533" s="508"/>
      <c r="P533" s="508"/>
      <c r="Q533" s="508"/>
      <c r="R533" s="508"/>
      <c r="S533" s="508"/>
      <c r="T533" s="508"/>
    </row>
    <row r="534" spans="1:20" s="130" customFormat="1" ht="24" customHeight="1">
      <c r="A534" s="204"/>
      <c r="B534" s="205" t="s">
        <v>2018</v>
      </c>
      <c r="C534" s="206" t="s">
        <v>2660</v>
      </c>
      <c r="D534" s="925"/>
      <c r="E534" s="207">
        <f>(78.11+78.11+18.6+18.6)*4+0.32</f>
        <v>774</v>
      </c>
      <c r="F534" s="335"/>
      <c r="G534" s="335"/>
      <c r="H534" s="335"/>
      <c r="I534" s="336"/>
      <c r="J534" s="337"/>
      <c r="K534" s="508"/>
      <c r="L534" s="508"/>
      <c r="M534" s="508"/>
      <c r="N534" s="508"/>
      <c r="O534" s="508"/>
      <c r="P534" s="508"/>
      <c r="Q534" s="508"/>
      <c r="R534" s="508"/>
      <c r="S534" s="508"/>
      <c r="T534" s="508"/>
    </row>
    <row r="535" spans="1:20" s="130" customFormat="1" ht="24" customHeight="1">
      <c r="A535" s="204"/>
      <c r="B535" s="205" t="s">
        <v>2020</v>
      </c>
      <c r="C535" s="206" t="s">
        <v>2661</v>
      </c>
      <c r="D535" s="925"/>
      <c r="E535" s="207">
        <f>(149.61+50.22+49.22+148.61+68.5)*4+0.36</f>
        <v>1865</v>
      </c>
      <c r="F535" s="335"/>
      <c r="G535" s="335"/>
      <c r="H535" s="335"/>
      <c r="I535" s="336"/>
      <c r="J535" s="337"/>
      <c r="K535" s="508"/>
      <c r="L535" s="508"/>
      <c r="M535" s="508"/>
      <c r="N535" s="508"/>
      <c r="O535" s="508"/>
      <c r="P535" s="508"/>
      <c r="Q535" s="508"/>
      <c r="R535" s="508"/>
      <c r="S535" s="508"/>
      <c r="T535" s="508"/>
    </row>
    <row r="536" spans="1:10" s="1121" customFormat="1" ht="24" customHeight="1">
      <c r="A536" s="1122"/>
      <c r="B536" s="1123" t="s">
        <v>1807</v>
      </c>
      <c r="C536" s="1124" t="s">
        <v>2662</v>
      </c>
      <c r="D536" s="1160">
        <f>91.9*4</f>
        <v>367.6</v>
      </c>
      <c r="E536" s="1161" t="s">
        <v>2839</v>
      </c>
      <c r="F536" s="1125"/>
      <c r="G536" s="1125"/>
      <c r="H536" s="1125"/>
      <c r="I536" s="1126"/>
      <c r="J536" s="1127"/>
    </row>
    <row r="537" spans="1:20" s="130" customFormat="1" ht="24" customHeight="1">
      <c r="A537" s="204"/>
      <c r="B537" s="205" t="s">
        <v>2024</v>
      </c>
      <c r="C537" s="206" t="s">
        <v>2663</v>
      </c>
      <c r="D537" s="925"/>
      <c r="E537" s="207">
        <f>15.2*4+0.2</f>
        <v>61</v>
      </c>
      <c r="F537" s="335"/>
      <c r="G537" s="335"/>
      <c r="H537" s="335"/>
      <c r="I537" s="336"/>
      <c r="J537" s="337"/>
      <c r="K537" s="508"/>
      <c r="L537" s="508"/>
      <c r="M537" s="508"/>
      <c r="N537" s="508"/>
      <c r="O537" s="508"/>
      <c r="P537" s="508"/>
      <c r="Q537" s="508"/>
      <c r="R537" s="508"/>
      <c r="S537" s="508"/>
      <c r="T537" s="508"/>
    </row>
    <row r="538" spans="1:20" s="22" customFormat="1" ht="18.75" customHeight="1">
      <c r="A538" s="196" t="s">
        <v>2664</v>
      </c>
      <c r="B538" s="197" t="s">
        <v>2665</v>
      </c>
      <c r="C538" s="199" t="s">
        <v>2666</v>
      </c>
      <c r="D538" s="919" t="s">
        <v>2756</v>
      </c>
      <c r="E538" s="198" t="s">
        <v>1748</v>
      </c>
      <c r="F538" s="1028">
        <f>SUM(E539:E541)</f>
        <v>229.482</v>
      </c>
      <c r="G538" s="332"/>
      <c r="H538" s="332">
        <f>F538*G538</f>
        <v>0</v>
      </c>
      <c r="I538" s="333">
        <v>1E-05</v>
      </c>
      <c r="J538" s="334">
        <f>F538*I538</f>
        <v>0.0022948200000000004</v>
      </c>
      <c r="K538" s="509"/>
      <c r="L538" s="509"/>
      <c r="M538" s="509"/>
      <c r="N538" s="509"/>
      <c r="O538" s="509"/>
      <c r="P538" s="509"/>
      <c r="Q538" s="509"/>
      <c r="R538" s="509"/>
      <c r="S538" s="509"/>
      <c r="T538" s="509"/>
    </row>
    <row r="539" spans="1:20" s="130" customFormat="1" ht="24" customHeight="1">
      <c r="A539" s="204"/>
      <c r="B539" s="205" t="s">
        <v>2018</v>
      </c>
      <c r="C539" s="206" t="s">
        <v>2584</v>
      </c>
      <c r="D539" s="925"/>
      <c r="E539" s="207">
        <f>(78.11+78.11+18.6+18.6)*1.1</f>
        <v>212.762</v>
      </c>
      <c r="F539" s="335"/>
      <c r="G539" s="335"/>
      <c r="H539" s="335"/>
      <c r="I539" s="336"/>
      <c r="J539" s="337"/>
      <c r="K539" s="508"/>
      <c r="L539" s="508"/>
      <c r="M539" s="508"/>
      <c r="N539" s="508"/>
      <c r="O539" s="508"/>
      <c r="P539" s="508"/>
      <c r="Q539" s="508"/>
      <c r="R539" s="508"/>
      <c r="S539" s="508"/>
      <c r="T539" s="508"/>
    </row>
    <row r="540" spans="1:20" s="1059" customFormat="1" ht="24" customHeight="1">
      <c r="A540" s="204"/>
      <c r="B540" s="1123" t="s">
        <v>1807</v>
      </c>
      <c r="C540" s="1124" t="s">
        <v>2662</v>
      </c>
      <c r="D540" s="1160">
        <f>91.9*4</f>
        <v>367.6</v>
      </c>
      <c r="E540" s="1161" t="s">
        <v>2839</v>
      </c>
      <c r="F540" s="335"/>
      <c r="G540" s="335"/>
      <c r="H540" s="335"/>
      <c r="I540" s="336"/>
      <c r="J540" s="337"/>
      <c r="K540" s="1058"/>
      <c r="L540" s="1058"/>
      <c r="M540" s="1058"/>
      <c r="N540" s="1058"/>
      <c r="O540" s="1058"/>
      <c r="P540" s="1058"/>
      <c r="Q540" s="1058"/>
      <c r="R540" s="1058"/>
      <c r="S540" s="1058"/>
      <c r="T540" s="1058"/>
    </row>
    <row r="541" spans="1:20" s="130" customFormat="1" ht="24" customHeight="1">
      <c r="A541" s="204"/>
      <c r="B541" s="205" t="s">
        <v>2024</v>
      </c>
      <c r="C541" s="206" t="s">
        <v>2585</v>
      </c>
      <c r="D541" s="925"/>
      <c r="E541" s="207">
        <f>15.2*1.1</f>
        <v>16.72</v>
      </c>
      <c r="F541" s="335"/>
      <c r="G541" s="335"/>
      <c r="H541" s="335"/>
      <c r="I541" s="336"/>
      <c r="J541" s="337"/>
      <c r="K541" s="508"/>
      <c r="L541" s="508"/>
      <c r="M541" s="508"/>
      <c r="N541" s="508"/>
      <c r="O541" s="508"/>
      <c r="P541" s="508"/>
      <c r="Q541" s="508"/>
      <c r="R541" s="508"/>
      <c r="S541" s="508"/>
      <c r="T541" s="508"/>
    </row>
    <row r="542" spans="1:20" s="22" customFormat="1" ht="18.75" customHeight="1">
      <c r="A542" s="196" t="s">
        <v>2668</v>
      </c>
      <c r="B542" s="197" t="s">
        <v>2669</v>
      </c>
      <c r="C542" s="199" t="s">
        <v>2670</v>
      </c>
      <c r="D542" s="919" t="s">
        <v>1807</v>
      </c>
      <c r="E542" s="198" t="s">
        <v>1748</v>
      </c>
      <c r="F542" s="332">
        <f>SUM(E543)</f>
        <v>101.09000000000002</v>
      </c>
      <c r="G542" s="332"/>
      <c r="H542" s="332">
        <f>F542*G542</f>
        <v>0</v>
      </c>
      <c r="I542" s="333">
        <v>0.00038</v>
      </c>
      <c r="J542" s="334">
        <f>F542*I542</f>
        <v>0.03841420000000001</v>
      </c>
      <c r="K542" s="509"/>
      <c r="L542" s="509"/>
      <c r="M542" s="509"/>
      <c r="N542" s="509"/>
      <c r="O542" s="509"/>
      <c r="P542" s="509"/>
      <c r="Q542" s="509"/>
      <c r="R542" s="509"/>
      <c r="S542" s="509"/>
      <c r="T542" s="509"/>
    </row>
    <row r="543" spans="1:20" s="130" customFormat="1" ht="24" customHeight="1">
      <c r="A543" s="204"/>
      <c r="B543" s="205" t="s">
        <v>1807</v>
      </c>
      <c r="C543" s="206" t="s">
        <v>2671</v>
      </c>
      <c r="D543" s="925"/>
      <c r="E543" s="207">
        <f>91.9*1.1</f>
        <v>101.09000000000002</v>
      </c>
      <c r="F543" s="335"/>
      <c r="G543" s="335"/>
      <c r="H543" s="335"/>
      <c r="I543" s="336"/>
      <c r="J543" s="337"/>
      <c r="K543" s="508"/>
      <c r="L543" s="508"/>
      <c r="M543" s="508"/>
      <c r="N543" s="508"/>
      <c r="O543" s="508"/>
      <c r="P543" s="508"/>
      <c r="Q543" s="508"/>
      <c r="R543" s="508"/>
      <c r="S543" s="508"/>
      <c r="T543" s="508"/>
    </row>
    <row r="544" spans="1:20" s="22" customFormat="1" ht="18.75" customHeight="1">
      <c r="A544" s="196" t="s">
        <v>2672</v>
      </c>
      <c r="B544" s="197" t="s">
        <v>2673</v>
      </c>
      <c r="C544" s="199" t="s">
        <v>2674</v>
      </c>
      <c r="D544" s="919"/>
      <c r="E544" s="198" t="s">
        <v>1748</v>
      </c>
      <c r="F544" s="332">
        <f>E545</f>
        <v>110.28</v>
      </c>
      <c r="G544" s="332"/>
      <c r="H544" s="332">
        <f>F544*G544</f>
        <v>0</v>
      </c>
      <c r="I544" s="333">
        <v>0.0042</v>
      </c>
      <c r="J544" s="334">
        <f>F544*I544</f>
        <v>0.463176</v>
      </c>
      <c r="K544" s="509"/>
      <c r="L544" s="509"/>
      <c r="M544" s="509"/>
      <c r="N544" s="509"/>
      <c r="O544" s="509"/>
      <c r="P544" s="509"/>
      <c r="Q544" s="509"/>
      <c r="R544" s="509"/>
      <c r="S544" s="509"/>
      <c r="T544" s="509"/>
    </row>
    <row r="545" spans="1:20" s="130" customFormat="1" ht="24" customHeight="1">
      <c r="A545" s="204"/>
      <c r="B545" s="205" t="s">
        <v>1807</v>
      </c>
      <c r="C545" s="206" t="s">
        <v>2667</v>
      </c>
      <c r="D545" s="925" t="s">
        <v>1807</v>
      </c>
      <c r="E545" s="207">
        <f>91.9*1.2</f>
        <v>110.28</v>
      </c>
      <c r="F545" s="335"/>
      <c r="G545" s="335"/>
      <c r="H545" s="335"/>
      <c r="I545" s="336"/>
      <c r="J545" s="337"/>
      <c r="K545" s="508"/>
      <c r="L545" s="508"/>
      <c r="M545" s="508"/>
      <c r="N545" s="508"/>
      <c r="O545" s="508"/>
      <c r="P545" s="508"/>
      <c r="Q545" s="508"/>
      <c r="R545" s="508"/>
      <c r="S545" s="508"/>
      <c r="T545" s="508"/>
    </row>
    <row r="546" spans="1:20" s="22" customFormat="1" ht="18.75" customHeight="1">
      <c r="A546" s="196" t="s">
        <v>2675</v>
      </c>
      <c r="B546" s="197" t="s">
        <v>2642</v>
      </c>
      <c r="C546" s="199" t="s">
        <v>2643</v>
      </c>
      <c r="D546" s="919"/>
      <c r="E546" s="198" t="s">
        <v>1748</v>
      </c>
      <c r="F546" s="332">
        <f>E547</f>
        <v>110.28</v>
      </c>
      <c r="G546" s="332"/>
      <c r="H546" s="332">
        <f>F546*G546</f>
        <v>0</v>
      </c>
      <c r="I546" s="333">
        <v>0.003</v>
      </c>
      <c r="J546" s="334">
        <f>F546*I546</f>
        <v>0.33084</v>
      </c>
      <c r="K546" s="509"/>
      <c r="L546" s="509"/>
      <c r="M546" s="509"/>
      <c r="N546" s="509"/>
      <c r="O546" s="509"/>
      <c r="P546" s="509"/>
      <c r="Q546" s="509"/>
      <c r="R546" s="509"/>
      <c r="S546" s="509"/>
      <c r="T546" s="509"/>
    </row>
    <row r="547" spans="1:20" s="130" customFormat="1" ht="24" customHeight="1">
      <c r="A547" s="204"/>
      <c r="B547" s="205" t="s">
        <v>1807</v>
      </c>
      <c r="C547" s="206" t="s">
        <v>2667</v>
      </c>
      <c r="D547" s="925" t="s">
        <v>1807</v>
      </c>
      <c r="E547" s="207">
        <f>91.9*1.2</f>
        <v>110.28</v>
      </c>
      <c r="F547" s="335"/>
      <c r="G547" s="335"/>
      <c r="H547" s="335"/>
      <c r="I547" s="336"/>
      <c r="J547" s="337"/>
      <c r="K547" s="508"/>
      <c r="L547" s="508"/>
      <c r="M547" s="508"/>
      <c r="N547" s="508"/>
      <c r="O547" s="508"/>
      <c r="P547" s="508"/>
      <c r="Q547" s="508"/>
      <c r="R547" s="508"/>
      <c r="S547" s="508"/>
      <c r="T547" s="508"/>
    </row>
    <row r="548" spans="1:20" s="1034" customFormat="1" ht="21.75" customHeight="1">
      <c r="A548" s="1023" t="s">
        <v>2934</v>
      </c>
      <c r="B548" s="1024" t="s">
        <v>2876</v>
      </c>
      <c r="C548" s="1025" t="s">
        <v>2877</v>
      </c>
      <c r="D548" s="919"/>
      <c r="E548" s="1027" t="s">
        <v>1748</v>
      </c>
      <c r="F548" s="1028">
        <f>F542*1.25</f>
        <v>126.36250000000003</v>
      </c>
      <c r="G548" s="1028"/>
      <c r="H548" s="1028">
        <f>F548*G548</f>
        <v>0</v>
      </c>
      <c r="I548" s="1029">
        <v>0.00013</v>
      </c>
      <c r="J548" s="1030">
        <f>F548*I548</f>
        <v>0.016427125</v>
      </c>
      <c r="K548" s="1031"/>
      <c r="L548" s="1031"/>
      <c r="M548" s="1031"/>
      <c r="N548" s="1031"/>
      <c r="O548" s="1031"/>
      <c r="P548" s="1031"/>
      <c r="Q548" s="1032"/>
      <c r="R548" s="1033"/>
      <c r="S548" s="1033"/>
      <c r="T548" s="1033"/>
    </row>
    <row r="549" spans="1:20" s="22" customFormat="1" ht="15" customHeight="1">
      <c r="A549" s="196"/>
      <c r="B549" s="445"/>
      <c r="C549" s="446"/>
      <c r="D549" s="1099"/>
      <c r="E549" s="447"/>
      <c r="F549" s="448"/>
      <c r="G549" s="448"/>
      <c r="H549" s="448"/>
      <c r="I549" s="449"/>
      <c r="J549" s="450"/>
      <c r="K549" s="693"/>
      <c r="L549" s="693"/>
      <c r="M549" s="693"/>
      <c r="N549" s="693"/>
      <c r="O549" s="693"/>
      <c r="P549" s="693"/>
      <c r="Q549" s="694"/>
      <c r="R549" s="509"/>
      <c r="S549" s="509"/>
      <c r="T549" s="509"/>
    </row>
    <row r="550" spans="1:20" s="22" customFormat="1" ht="26.25" customHeight="1">
      <c r="A550" s="196" t="s">
        <v>2676</v>
      </c>
      <c r="B550" s="197" t="s">
        <v>2677</v>
      </c>
      <c r="C550" s="199" t="s">
        <v>2678</v>
      </c>
      <c r="D550" s="919"/>
      <c r="E550" s="198" t="s">
        <v>1748</v>
      </c>
      <c r="F550" s="332">
        <f>E551</f>
        <v>119.47000000000001</v>
      </c>
      <c r="G550" s="332"/>
      <c r="H550" s="332">
        <f>F550*G550</f>
        <v>0</v>
      </c>
      <c r="I550" s="333">
        <v>0.00014</v>
      </c>
      <c r="J550" s="334">
        <f>F550*I550</f>
        <v>0.0167258</v>
      </c>
      <c r="K550" s="509"/>
      <c r="L550" s="509"/>
      <c r="M550" s="509"/>
      <c r="N550" s="509"/>
      <c r="O550" s="509"/>
      <c r="P550" s="509"/>
      <c r="Q550" s="509"/>
      <c r="R550" s="509"/>
      <c r="S550" s="509"/>
      <c r="T550" s="509"/>
    </row>
    <row r="551" spans="1:20" s="130" customFormat="1" ht="24" customHeight="1">
      <c r="A551" s="204"/>
      <c r="B551" s="205" t="s">
        <v>1807</v>
      </c>
      <c r="C551" s="206" t="s">
        <v>2679</v>
      </c>
      <c r="D551" s="925" t="s">
        <v>1807</v>
      </c>
      <c r="E551" s="207">
        <f>91.9*1.3</f>
        <v>119.47000000000001</v>
      </c>
      <c r="F551" s="335"/>
      <c r="G551" s="335"/>
      <c r="H551" s="335"/>
      <c r="I551" s="336"/>
      <c r="J551" s="337"/>
      <c r="K551" s="508"/>
      <c r="L551" s="508"/>
      <c r="M551" s="508"/>
      <c r="N551" s="508"/>
      <c r="O551" s="508"/>
      <c r="P551" s="508"/>
      <c r="Q551" s="508"/>
      <c r="R551" s="508"/>
      <c r="S551" s="508"/>
      <c r="T551" s="508"/>
    </row>
    <row r="552" spans="1:20" s="22" customFormat="1" ht="18.75" customHeight="1" thickBot="1">
      <c r="A552" s="255" t="s">
        <v>2680</v>
      </c>
      <c r="B552" s="256" t="s">
        <v>2681</v>
      </c>
      <c r="C552" s="264" t="s">
        <v>2682</v>
      </c>
      <c r="D552" s="937"/>
      <c r="E552" s="257" t="s">
        <v>1783</v>
      </c>
      <c r="F552" s="368">
        <f>J511</f>
        <v>12.438158765000003</v>
      </c>
      <c r="G552" s="368"/>
      <c r="H552" s="368">
        <f>F552*G552</f>
        <v>0</v>
      </c>
      <c r="I552" s="369">
        <v>0</v>
      </c>
      <c r="J552" s="370">
        <f>F552*I552</f>
        <v>0</v>
      </c>
      <c r="K552" s="509"/>
      <c r="L552" s="509"/>
      <c r="M552" s="509"/>
      <c r="N552" s="509"/>
      <c r="O552" s="509"/>
      <c r="P552" s="509"/>
      <c r="Q552" s="509"/>
      <c r="R552" s="509"/>
      <c r="S552" s="509"/>
      <c r="T552" s="509"/>
    </row>
    <row r="553" spans="1:20" ht="16.5" customHeight="1" thickBot="1">
      <c r="A553" s="266" t="s">
        <v>2683</v>
      </c>
      <c r="B553" s="175" t="s">
        <v>2684</v>
      </c>
      <c r="C553" s="176" t="s">
        <v>2685</v>
      </c>
      <c r="D553" s="175"/>
      <c r="E553" s="175"/>
      <c r="F553" s="341"/>
      <c r="G553" s="341"/>
      <c r="H553" s="342">
        <f>SUM(H554)</f>
        <v>0</v>
      </c>
      <c r="I553" s="343"/>
      <c r="J553" s="344">
        <f>SUM(J554)</f>
        <v>0</v>
      </c>
      <c r="K553" s="670"/>
      <c r="L553" s="670"/>
      <c r="M553" s="670"/>
      <c r="N553" s="670"/>
      <c r="O553" s="670"/>
      <c r="P553" s="670"/>
      <c r="Q553" s="670"/>
      <c r="R553" s="670"/>
      <c r="S553" s="670"/>
      <c r="T553" s="670"/>
    </row>
    <row r="554" spans="1:20" s="22" customFormat="1" ht="18.75" customHeight="1" thickBot="1">
      <c r="A554" s="196"/>
      <c r="B554" s="197"/>
      <c r="C554" s="199"/>
      <c r="D554" s="919"/>
      <c r="E554" s="198"/>
      <c r="F554" s="332"/>
      <c r="G554" s="332"/>
      <c r="H554" s="332"/>
      <c r="I554" s="333"/>
      <c r="J554" s="334"/>
      <c r="K554" s="509"/>
      <c r="L554" s="509"/>
      <c r="M554" s="509"/>
      <c r="N554" s="509"/>
      <c r="O554" s="509"/>
      <c r="P554" s="509"/>
      <c r="Q554" s="509"/>
      <c r="R554" s="509"/>
      <c r="S554" s="509"/>
      <c r="T554" s="509"/>
    </row>
    <row r="555" spans="1:20" ht="16.5" customHeight="1" thickBot="1">
      <c r="A555" s="266" t="s">
        <v>2686</v>
      </c>
      <c r="B555" s="175" t="s">
        <v>2687</v>
      </c>
      <c r="C555" s="176" t="s">
        <v>2688</v>
      </c>
      <c r="D555" s="175"/>
      <c r="E555" s="175"/>
      <c r="F555" s="341"/>
      <c r="G555" s="341"/>
      <c r="H555" s="342">
        <f>SUM(H556:H559)</f>
        <v>0</v>
      </c>
      <c r="I555" s="343"/>
      <c r="J555" s="344">
        <f>SUM(J556:J559)</f>
        <v>0</v>
      </c>
      <c r="K555" s="670"/>
      <c r="L555" s="670"/>
      <c r="M555" s="670"/>
      <c r="N555" s="670"/>
      <c r="O555" s="670"/>
      <c r="P555" s="670"/>
      <c r="Q555" s="670"/>
      <c r="R555" s="670"/>
      <c r="S555" s="670"/>
      <c r="T555" s="670"/>
    </row>
    <row r="556" spans="1:20" s="22" customFormat="1" ht="60.75" customHeight="1">
      <c r="A556" s="273"/>
      <c r="B556" s="578" t="s">
        <v>1676</v>
      </c>
      <c r="C556" s="275" t="s">
        <v>2689</v>
      </c>
      <c r="D556" s="940"/>
      <c r="E556" s="276"/>
      <c r="F556" s="379"/>
      <c r="G556" s="379"/>
      <c r="H556" s="379"/>
      <c r="I556" s="380"/>
      <c r="J556" s="381"/>
      <c r="K556" s="509"/>
      <c r="L556" s="509"/>
      <c r="M556" s="509"/>
      <c r="N556" s="509"/>
      <c r="O556" s="509"/>
      <c r="P556" s="509"/>
      <c r="Q556" s="509"/>
      <c r="R556" s="509"/>
      <c r="S556" s="509"/>
      <c r="T556" s="509"/>
    </row>
    <row r="557" spans="1:20" s="22" customFormat="1" ht="19.5" customHeight="1">
      <c r="A557" s="196" t="s">
        <v>2690</v>
      </c>
      <c r="B557" s="197" t="s">
        <v>2691</v>
      </c>
      <c r="C557" s="453" t="s">
        <v>2692</v>
      </c>
      <c r="D557" s="919"/>
      <c r="E557" s="198" t="s">
        <v>1831</v>
      </c>
      <c r="F557" s="332">
        <v>211</v>
      </c>
      <c r="G557" s="332"/>
      <c r="H557" s="332">
        <f>F557*G557</f>
        <v>0</v>
      </c>
      <c r="I557" s="333">
        <v>0</v>
      </c>
      <c r="J557" s="334">
        <f>F557*I557</f>
        <v>0</v>
      </c>
      <c r="K557" s="509"/>
      <c r="L557" s="509"/>
      <c r="M557" s="509"/>
      <c r="N557" s="509"/>
      <c r="O557" s="509"/>
      <c r="P557" s="509"/>
      <c r="Q557" s="509"/>
      <c r="R557" s="509"/>
      <c r="S557" s="509"/>
      <c r="T557" s="509"/>
    </row>
    <row r="558" spans="1:20" s="22" customFormat="1" ht="47.25" customHeight="1">
      <c r="A558" s="196" t="s">
        <v>2693</v>
      </c>
      <c r="B558" s="197" t="s">
        <v>2691</v>
      </c>
      <c r="C558" s="705" t="s">
        <v>2694</v>
      </c>
      <c r="D558" s="919"/>
      <c r="E558" s="198" t="s">
        <v>2695</v>
      </c>
      <c r="F558" s="332">
        <v>1</v>
      </c>
      <c r="G558" s="828"/>
      <c r="H558" s="332">
        <f>F558*G558</f>
        <v>0</v>
      </c>
      <c r="I558" s="333">
        <v>0</v>
      </c>
      <c r="J558" s="334">
        <f>F558*I558</f>
        <v>0</v>
      </c>
      <c r="K558" s="509"/>
      <c r="L558" s="509"/>
      <c r="M558" s="509"/>
      <c r="N558" s="509"/>
      <c r="O558" s="509"/>
      <c r="P558" s="509"/>
      <c r="Q558" s="509"/>
      <c r="R558" s="509"/>
      <c r="S558" s="509"/>
      <c r="T558" s="509"/>
    </row>
    <row r="559" spans="1:20" s="461" customFormat="1" ht="18.75" customHeight="1" thickBot="1">
      <c r="A559" s="454"/>
      <c r="B559" s="455"/>
      <c r="C559" s="456" t="s">
        <v>2696</v>
      </c>
      <c r="D559" s="925"/>
      <c r="E559" s="457">
        <f>211*500</f>
        <v>105500</v>
      </c>
      <c r="F559" s="458"/>
      <c r="G559" s="458"/>
      <c r="H559" s="458"/>
      <c r="I559" s="459"/>
      <c r="J559" s="460"/>
      <c r="K559" s="729"/>
      <c r="L559" s="729"/>
      <c r="M559" s="729"/>
      <c r="N559" s="729"/>
      <c r="O559" s="729"/>
      <c r="P559" s="729"/>
      <c r="Q559" s="729"/>
      <c r="R559" s="729"/>
      <c r="S559" s="729"/>
      <c r="T559" s="729"/>
    </row>
    <row r="560" spans="1:20" ht="16.5" customHeight="1" thickBot="1">
      <c r="A560" s="266" t="s">
        <v>2697</v>
      </c>
      <c r="B560" s="175" t="s">
        <v>2698</v>
      </c>
      <c r="C560" s="176" t="s">
        <v>2699</v>
      </c>
      <c r="D560" s="175"/>
      <c r="E560" s="175"/>
      <c r="F560" s="341"/>
      <c r="G560" s="341"/>
      <c r="H560" s="342">
        <f>SUM(H561:H584)</f>
        <v>0</v>
      </c>
      <c r="I560" s="343"/>
      <c r="J560" s="344">
        <f>SUM(J561:J582)</f>
        <v>4.16267304</v>
      </c>
      <c r="K560" s="670"/>
      <c r="L560" s="670"/>
      <c r="M560" s="670"/>
      <c r="N560" s="670"/>
      <c r="O560" s="670"/>
      <c r="P560" s="670"/>
      <c r="Q560" s="670"/>
      <c r="R560" s="670"/>
      <c r="S560" s="670"/>
      <c r="T560" s="670"/>
    </row>
    <row r="561" spans="1:20" s="22" customFormat="1" ht="18.75" customHeight="1">
      <c r="A561" s="273" t="s">
        <v>2700</v>
      </c>
      <c r="B561" s="274" t="s">
        <v>2701</v>
      </c>
      <c r="C561" s="275" t="s">
        <v>2702</v>
      </c>
      <c r="D561" s="940"/>
      <c r="E561" s="276" t="s">
        <v>1748</v>
      </c>
      <c r="F561" s="1162">
        <f>SUM(E562:E563)</f>
        <v>91.9</v>
      </c>
      <c r="G561" s="379"/>
      <c r="H561" s="379">
        <f>F561*G561</f>
        <v>0</v>
      </c>
      <c r="I561" s="380">
        <v>0.015</v>
      </c>
      <c r="J561" s="381">
        <f>F561*I561</f>
        <v>1.3785</v>
      </c>
      <c r="K561" s="509"/>
      <c r="L561" s="509"/>
      <c r="M561" s="509"/>
      <c r="N561" s="509"/>
      <c r="O561" s="509"/>
      <c r="P561" s="509"/>
      <c r="Q561" s="509"/>
      <c r="R561" s="509"/>
      <c r="S561" s="509"/>
      <c r="T561" s="509"/>
    </row>
    <row r="562" spans="1:20" s="128" customFormat="1" ht="20.25" customHeight="1">
      <c r="A562" s="204"/>
      <c r="B562" s="205"/>
      <c r="C562" s="1124" t="s">
        <v>2520</v>
      </c>
      <c r="D562" s="1160">
        <f>7.1</f>
        <v>7.1</v>
      </c>
      <c r="E562" s="1161" t="s">
        <v>2839</v>
      </c>
      <c r="F562" s="335"/>
      <c r="G562" s="335"/>
      <c r="H562" s="335"/>
      <c r="I562" s="336"/>
      <c r="J562" s="337"/>
      <c r="K562" s="508"/>
      <c r="L562" s="508"/>
      <c r="M562" s="508"/>
      <c r="N562" s="508"/>
      <c r="O562" s="508"/>
      <c r="P562" s="508"/>
      <c r="Q562" s="508"/>
      <c r="R562" s="508"/>
      <c r="S562" s="508"/>
      <c r="T562" s="508"/>
    </row>
    <row r="563" spans="1:20" s="130" customFormat="1" ht="18" customHeight="1">
      <c r="A563" s="204"/>
      <c r="B563" s="205" t="s">
        <v>1807</v>
      </c>
      <c r="C563" s="206" t="s">
        <v>2703</v>
      </c>
      <c r="D563" s="925" t="s">
        <v>1807</v>
      </c>
      <c r="E563" s="207">
        <f>91.9</f>
        <v>91.9</v>
      </c>
      <c r="F563" s="335"/>
      <c r="G563" s="335"/>
      <c r="H563" s="335"/>
      <c r="I563" s="336"/>
      <c r="J563" s="337"/>
      <c r="K563" s="508"/>
      <c r="L563" s="508"/>
      <c r="M563" s="508"/>
      <c r="N563" s="508"/>
      <c r="O563" s="508"/>
      <c r="P563" s="508"/>
      <c r="Q563" s="508"/>
      <c r="R563" s="508"/>
      <c r="S563" s="508"/>
      <c r="T563" s="508"/>
    </row>
    <row r="564" spans="1:10" s="1119" customFormat="1" ht="18.75" customHeight="1">
      <c r="A564" s="1110" t="s">
        <v>2704</v>
      </c>
      <c r="B564" s="1111" t="s">
        <v>2705</v>
      </c>
      <c r="C564" s="1112" t="s">
        <v>2706</v>
      </c>
      <c r="D564" s="1140"/>
      <c r="E564" s="1113" t="s">
        <v>1826</v>
      </c>
      <c r="F564" s="1114">
        <v>0</v>
      </c>
      <c r="G564" s="1114"/>
      <c r="H564" s="1114">
        <f>F564*G564</f>
        <v>0</v>
      </c>
      <c r="I564" s="1115">
        <v>0.00016</v>
      </c>
      <c r="J564" s="1116">
        <f>F564*I564</f>
        <v>0</v>
      </c>
    </row>
    <row r="565" spans="1:10" s="1128" customFormat="1" ht="24" customHeight="1">
      <c r="A565" s="1122"/>
      <c r="B565" s="1123" t="s">
        <v>1807</v>
      </c>
      <c r="C565" s="1124" t="s">
        <v>2707</v>
      </c>
      <c r="D565" s="1160">
        <f>91.9*0.1*4.8</f>
        <v>44.112</v>
      </c>
      <c r="E565" s="1161" t="s">
        <v>2839</v>
      </c>
      <c r="F565" s="1125"/>
      <c r="G565" s="1125"/>
      <c r="H565" s="1125"/>
      <c r="I565" s="1126"/>
      <c r="J565" s="1127"/>
    </row>
    <row r="566" spans="1:10" s="1119" customFormat="1" ht="18.75" customHeight="1">
      <c r="A566" s="1110" t="s">
        <v>2708</v>
      </c>
      <c r="B566" s="1111" t="s">
        <v>2709</v>
      </c>
      <c r="C566" s="1112" t="s">
        <v>2710</v>
      </c>
      <c r="D566" s="1140"/>
      <c r="E566" s="1113" t="s">
        <v>1826</v>
      </c>
      <c r="F566" s="1114">
        <v>0</v>
      </c>
      <c r="G566" s="1114"/>
      <c r="H566" s="1114">
        <f>F566*G566</f>
        <v>0</v>
      </c>
      <c r="I566" s="1115">
        <v>0.00099</v>
      </c>
      <c r="J566" s="1116">
        <f>F566*I566</f>
        <v>0</v>
      </c>
    </row>
    <row r="567" spans="1:10" s="1128" customFormat="1" ht="24" customHeight="1">
      <c r="A567" s="1122"/>
      <c r="B567" s="1123" t="s">
        <v>1807</v>
      </c>
      <c r="C567" s="1124" t="s">
        <v>2707</v>
      </c>
      <c r="D567" s="1160">
        <f>91.9*0.1*4.8</f>
        <v>44.112</v>
      </c>
      <c r="E567" s="1161" t="s">
        <v>2839</v>
      </c>
      <c r="F567" s="1125"/>
      <c r="G567" s="1125"/>
      <c r="H567" s="1125"/>
      <c r="I567" s="1126"/>
      <c r="J567" s="1127"/>
    </row>
    <row r="568" spans="1:10" s="1119" customFormat="1" ht="18.75" customHeight="1">
      <c r="A568" s="1110" t="s">
        <v>2711</v>
      </c>
      <c r="B568" s="1111" t="s">
        <v>2712</v>
      </c>
      <c r="C568" s="1112" t="s">
        <v>2713</v>
      </c>
      <c r="D568" s="1140"/>
      <c r="E568" s="1113" t="s">
        <v>1709</v>
      </c>
      <c r="F568" s="1114">
        <v>0</v>
      </c>
      <c r="G568" s="1114"/>
      <c r="H568" s="1114">
        <f>F568*G568</f>
        <v>0</v>
      </c>
      <c r="I568" s="1115">
        <v>0.55</v>
      </c>
      <c r="J568" s="1116">
        <f>F568*I568</f>
        <v>0</v>
      </c>
    </row>
    <row r="569" spans="1:10" s="1128" customFormat="1" ht="24" customHeight="1">
      <c r="A569" s="1122"/>
      <c r="B569" s="1123" t="s">
        <v>1807</v>
      </c>
      <c r="C569" s="1124" t="s">
        <v>2714</v>
      </c>
      <c r="D569" s="1160">
        <f>(91.9)*0.1*4.8*0.12*0.18</f>
        <v>0.9528192</v>
      </c>
      <c r="E569" s="1161" t="s">
        <v>2839</v>
      </c>
      <c r="F569" s="1125"/>
      <c r="G569" s="1125"/>
      <c r="H569" s="1125"/>
      <c r="I569" s="1126"/>
      <c r="J569" s="1127"/>
    </row>
    <row r="570" spans="1:10" s="1119" customFormat="1" ht="18.75" customHeight="1">
      <c r="A570" s="1110" t="s">
        <v>2715</v>
      </c>
      <c r="B570" s="1111" t="s">
        <v>2716</v>
      </c>
      <c r="C570" s="1112" t="s">
        <v>2868</v>
      </c>
      <c r="D570" s="1140"/>
      <c r="E570" s="1113" t="s">
        <v>1748</v>
      </c>
      <c r="F570" s="1114">
        <f>SUM(E571:E572)</f>
        <v>0</v>
      </c>
      <c r="G570" s="1114"/>
      <c r="H570" s="1114">
        <f>F570*G570</f>
        <v>0</v>
      </c>
      <c r="I570" s="1115">
        <v>0.00017</v>
      </c>
      <c r="J570" s="1116">
        <f>F570*I570</f>
        <v>0</v>
      </c>
    </row>
    <row r="571" spans="1:10" s="1128" customFormat="1" ht="24" customHeight="1">
      <c r="A571" s="1122"/>
      <c r="B571" s="1123" t="s">
        <v>2022</v>
      </c>
      <c r="C571" s="1124" t="s">
        <v>2870</v>
      </c>
      <c r="D571" s="1160">
        <f>(16.7+16.7)*1.1*2+24</f>
        <v>97.48</v>
      </c>
      <c r="E571" s="1161" t="s">
        <v>2839</v>
      </c>
      <c r="F571" s="1125"/>
      <c r="G571" s="1125"/>
      <c r="H571" s="1125"/>
      <c r="I571" s="1126"/>
      <c r="J571" s="1127"/>
    </row>
    <row r="572" spans="1:10" s="1128" customFormat="1" ht="24" customHeight="1">
      <c r="A572" s="1122"/>
      <c r="B572" s="1123" t="s">
        <v>1807</v>
      </c>
      <c r="C572" s="1124" t="s">
        <v>2718</v>
      </c>
      <c r="D572" s="1160" t="s">
        <v>1807</v>
      </c>
      <c r="E572" s="1161" t="s">
        <v>2839</v>
      </c>
      <c r="F572" s="1125"/>
      <c r="G572" s="1125"/>
      <c r="H572" s="1125"/>
      <c r="I572" s="1126"/>
      <c r="J572" s="1127"/>
    </row>
    <row r="573" spans="1:20" s="22" customFormat="1" ht="18.75" customHeight="1">
      <c r="A573" s="196" t="s">
        <v>2719</v>
      </c>
      <c r="B573" s="197" t="s">
        <v>2720</v>
      </c>
      <c r="C573" s="199" t="s">
        <v>2721</v>
      </c>
      <c r="D573" s="919"/>
      <c r="E573" s="198" t="s">
        <v>1748</v>
      </c>
      <c r="F573" s="1028">
        <f>SUM(E574:E575)</f>
        <v>91.9</v>
      </c>
      <c r="G573" s="332"/>
      <c r="H573" s="332">
        <f>F573*G573</f>
        <v>0</v>
      </c>
      <c r="I573" s="333">
        <v>0</v>
      </c>
      <c r="J573" s="334">
        <f>F573*I573</f>
        <v>0</v>
      </c>
      <c r="K573" s="509"/>
      <c r="L573" s="509"/>
      <c r="M573" s="509"/>
      <c r="N573" s="509"/>
      <c r="O573" s="509"/>
      <c r="P573" s="509"/>
      <c r="Q573" s="509"/>
      <c r="R573" s="509"/>
      <c r="S573" s="509"/>
      <c r="T573" s="509"/>
    </row>
    <row r="574" spans="1:20" s="128" customFormat="1" ht="20.25" customHeight="1">
      <c r="A574" s="204"/>
      <c r="B574" s="205"/>
      <c r="C574" s="1124" t="s">
        <v>2520</v>
      </c>
      <c r="D574" s="1160">
        <f>7.1</f>
        <v>7.1</v>
      </c>
      <c r="E574" s="1161" t="s">
        <v>2839</v>
      </c>
      <c r="F574" s="335"/>
      <c r="G574" s="335"/>
      <c r="H574" s="335"/>
      <c r="I574" s="336"/>
      <c r="J574" s="337"/>
      <c r="K574" s="508"/>
      <c r="L574" s="508"/>
      <c r="M574" s="508"/>
      <c r="N574" s="508"/>
      <c r="O574" s="508"/>
      <c r="P574" s="508"/>
      <c r="Q574" s="508"/>
      <c r="R574" s="508"/>
      <c r="S574" s="508"/>
      <c r="T574" s="508"/>
    </row>
    <row r="575" spans="1:20" s="130" customFormat="1" ht="24" customHeight="1">
      <c r="A575" s="204"/>
      <c r="B575" s="205" t="s">
        <v>1807</v>
      </c>
      <c r="C575" s="206" t="s">
        <v>2703</v>
      </c>
      <c r="D575" s="925" t="s">
        <v>1807</v>
      </c>
      <c r="E575" s="207">
        <f>91.9</f>
        <v>91.9</v>
      </c>
      <c r="F575" s="335"/>
      <c r="G575" s="335"/>
      <c r="H575" s="335"/>
      <c r="I575" s="336"/>
      <c r="J575" s="337"/>
      <c r="K575" s="508"/>
      <c r="L575" s="508"/>
      <c r="M575" s="508"/>
      <c r="N575" s="508"/>
      <c r="O575" s="508"/>
      <c r="P575" s="508"/>
      <c r="Q575" s="508"/>
      <c r="R575" s="508"/>
      <c r="S575" s="508"/>
      <c r="T575" s="508"/>
    </row>
    <row r="576" spans="1:20" s="22" customFormat="1" ht="18.75" customHeight="1">
      <c r="A576" s="196" t="s">
        <v>2722</v>
      </c>
      <c r="B576" s="197" t="s">
        <v>2723</v>
      </c>
      <c r="C576" s="199" t="s">
        <v>2724</v>
      </c>
      <c r="D576" s="1105"/>
      <c r="E576" s="198" t="s">
        <v>1748</v>
      </c>
      <c r="F576" s="1028">
        <f>SUM(E577:E577)</f>
        <v>101.09000000000002</v>
      </c>
      <c r="G576" s="332"/>
      <c r="H576" s="332">
        <f>F576*G576</f>
        <v>0</v>
      </c>
      <c r="I576" s="333">
        <v>0.01298</v>
      </c>
      <c r="J576" s="334">
        <f>F576*I576</f>
        <v>1.3121482000000002</v>
      </c>
      <c r="K576" s="509"/>
      <c r="L576" s="509"/>
      <c r="M576" s="509"/>
      <c r="N576" s="509"/>
      <c r="O576" s="509"/>
      <c r="P576" s="509"/>
      <c r="Q576" s="509"/>
      <c r="R576" s="509"/>
      <c r="S576" s="509"/>
      <c r="T576" s="509"/>
    </row>
    <row r="577" spans="1:20" s="1059" customFormat="1" ht="24" customHeight="1">
      <c r="A577" s="204"/>
      <c r="B577" s="205" t="s">
        <v>1807</v>
      </c>
      <c r="C577" s="206" t="s">
        <v>2671</v>
      </c>
      <c r="D577" s="925" t="s">
        <v>1807</v>
      </c>
      <c r="E577" s="1051">
        <f>91.9*1.1</f>
        <v>101.09000000000002</v>
      </c>
      <c r="F577" s="335"/>
      <c r="G577" s="335"/>
      <c r="H577" s="335"/>
      <c r="I577" s="336"/>
      <c r="J577" s="337"/>
      <c r="K577" s="1058"/>
      <c r="L577" s="1058"/>
      <c r="M577" s="1058"/>
      <c r="N577" s="1058"/>
      <c r="O577" s="1058"/>
      <c r="P577" s="1058"/>
      <c r="Q577" s="1058"/>
      <c r="R577" s="1058"/>
      <c r="S577" s="1058"/>
      <c r="T577" s="1058"/>
    </row>
    <row r="578" spans="1:20" s="22" customFormat="1" ht="18.75" customHeight="1">
      <c r="A578" s="196" t="s">
        <v>2725</v>
      </c>
      <c r="B578" s="197" t="s">
        <v>2726</v>
      </c>
      <c r="C578" s="199" t="s">
        <v>2727</v>
      </c>
      <c r="D578" s="919"/>
      <c r="E578" s="198" t="s">
        <v>1748</v>
      </c>
      <c r="F578" s="332">
        <f>E579</f>
        <v>36.74</v>
      </c>
      <c r="G578" s="332"/>
      <c r="H578" s="332">
        <f>F578*G578</f>
        <v>0</v>
      </c>
      <c r="I578" s="333">
        <v>0</v>
      </c>
      <c r="J578" s="334">
        <f>F578*I578</f>
        <v>0</v>
      </c>
      <c r="K578" s="509"/>
      <c r="L578" s="509"/>
      <c r="M578" s="509"/>
      <c r="N578" s="509"/>
      <c r="O578" s="509"/>
      <c r="P578" s="509"/>
      <c r="Q578" s="509"/>
      <c r="R578" s="509"/>
      <c r="S578" s="509"/>
      <c r="T578" s="509"/>
    </row>
    <row r="579" spans="1:20" s="130" customFormat="1" ht="24" customHeight="1">
      <c r="A579" s="204"/>
      <c r="B579" s="205" t="s">
        <v>2022</v>
      </c>
      <c r="C579" s="206" t="s">
        <v>2717</v>
      </c>
      <c r="D579" s="925" t="s">
        <v>2022</v>
      </c>
      <c r="E579" s="207">
        <f>(16.7+16.7)*1.1</f>
        <v>36.74</v>
      </c>
      <c r="F579" s="335"/>
      <c r="G579" s="335"/>
      <c r="H579" s="335"/>
      <c r="I579" s="336"/>
      <c r="J579" s="337"/>
      <c r="K579" s="508"/>
      <c r="L579" s="508"/>
      <c r="M579" s="508"/>
      <c r="N579" s="508"/>
      <c r="O579" s="508"/>
      <c r="P579" s="508"/>
      <c r="Q579" s="508"/>
      <c r="R579" s="508"/>
      <c r="S579" s="508"/>
      <c r="T579" s="508"/>
    </row>
    <row r="580" spans="1:20" s="22" customFormat="1" ht="16.5" customHeight="1">
      <c r="A580" s="196" t="s">
        <v>2728</v>
      </c>
      <c r="B580" s="197" t="s">
        <v>2712</v>
      </c>
      <c r="C580" s="199" t="s">
        <v>2713</v>
      </c>
      <c r="D580" s="1105"/>
      <c r="E580" s="198" t="s">
        <v>1709</v>
      </c>
      <c r="F580" s="1028">
        <f>E581</f>
        <v>1.1687328</v>
      </c>
      <c r="G580" s="332"/>
      <c r="H580" s="332">
        <f>F580*G580</f>
        <v>0</v>
      </c>
      <c r="I580" s="333">
        <v>0.55</v>
      </c>
      <c r="J580" s="334">
        <f>F580*I580</f>
        <v>0.64280304</v>
      </c>
      <c r="K580" s="509"/>
      <c r="L580" s="509">
        <v>33.4</v>
      </c>
      <c r="M580" s="509" t="s">
        <v>2871</v>
      </c>
      <c r="N580" s="509"/>
      <c r="O580" s="509"/>
      <c r="P580" s="509"/>
      <c r="Q580" s="509"/>
      <c r="R580" s="509"/>
      <c r="S580" s="509"/>
      <c r="T580" s="509"/>
    </row>
    <row r="581" spans="1:20" s="130" customFormat="1" ht="16.5" customHeight="1">
      <c r="A581" s="204"/>
      <c r="B581" s="205" t="s">
        <v>2022</v>
      </c>
      <c r="C581" s="206" t="s">
        <v>2872</v>
      </c>
      <c r="D581" s="1164" t="s">
        <v>2022</v>
      </c>
      <c r="E581" s="1051">
        <f>(16.7+16.7)*1.5*0.12*0.18*1.08</f>
        <v>1.1687328</v>
      </c>
      <c r="F581" s="335"/>
      <c r="G581" s="335"/>
      <c r="H581" s="335"/>
      <c r="I581" s="336"/>
      <c r="J581" s="337"/>
      <c r="K581" s="508"/>
      <c r="L581" s="508"/>
      <c r="M581" s="508">
        <f>10*5*0.12*0.18*1.08</f>
        <v>1.1664</v>
      </c>
      <c r="N581" s="508"/>
      <c r="O581" s="508">
        <f>1.1664/(0.12*0.18*1.08*33.4)</f>
        <v>1.4970059880239523</v>
      </c>
      <c r="P581" s="508"/>
      <c r="Q581" s="508"/>
      <c r="R581" s="508"/>
      <c r="S581" s="508"/>
      <c r="T581" s="508"/>
    </row>
    <row r="582" spans="1:20" s="22" customFormat="1" ht="28.5" customHeight="1">
      <c r="A582" s="196" t="s">
        <v>2729</v>
      </c>
      <c r="B582" s="197" t="s">
        <v>2730</v>
      </c>
      <c r="C582" s="199" t="s">
        <v>2731</v>
      </c>
      <c r="D582" s="919"/>
      <c r="E582" s="198" t="s">
        <v>1748</v>
      </c>
      <c r="F582" s="332">
        <f>E583</f>
        <v>36.74</v>
      </c>
      <c r="G582" s="332"/>
      <c r="H582" s="332">
        <f>F582*G582</f>
        <v>0</v>
      </c>
      <c r="I582" s="333">
        <v>0.02257</v>
      </c>
      <c r="J582" s="334">
        <f>F582*I582</f>
        <v>0.8292218</v>
      </c>
      <c r="K582" s="509"/>
      <c r="L582" s="509"/>
      <c r="M582" s="509">
        <f>0.6*40</f>
        <v>24</v>
      </c>
      <c r="N582" s="509"/>
      <c r="O582" s="509"/>
      <c r="P582" s="509"/>
      <c r="Q582" s="509"/>
      <c r="R582" s="509"/>
      <c r="S582" s="509"/>
      <c r="T582" s="509"/>
    </row>
    <row r="583" spans="1:20" s="130" customFormat="1" ht="24" customHeight="1">
      <c r="A583" s="204"/>
      <c r="B583" s="205" t="s">
        <v>2022</v>
      </c>
      <c r="C583" s="206" t="s">
        <v>2717</v>
      </c>
      <c r="D583" s="925" t="s">
        <v>2022</v>
      </c>
      <c r="E583" s="207">
        <f>(16.7+16.7)*1.1</f>
        <v>36.74</v>
      </c>
      <c r="F583" s="335"/>
      <c r="G583" s="335"/>
      <c r="H583" s="335"/>
      <c r="I583" s="336"/>
      <c r="J583" s="337"/>
      <c r="K583" s="508"/>
      <c r="L583" s="508"/>
      <c r="M583" s="508"/>
      <c r="N583" s="508"/>
      <c r="O583" s="508"/>
      <c r="P583" s="508"/>
      <c r="Q583" s="508"/>
      <c r="R583" s="508"/>
      <c r="S583" s="508"/>
      <c r="T583" s="508"/>
    </row>
    <row r="584" spans="1:20" s="22" customFormat="1" ht="18.75" customHeight="1" thickBot="1">
      <c r="A584" s="200" t="s">
        <v>2732</v>
      </c>
      <c r="B584" s="201" t="s">
        <v>2733</v>
      </c>
      <c r="C584" s="202" t="s">
        <v>2734</v>
      </c>
      <c r="D584" s="931"/>
      <c r="E584" s="203" t="s">
        <v>1783</v>
      </c>
      <c r="F584" s="1163">
        <f>SUM(J560)</f>
        <v>4.16267304</v>
      </c>
      <c r="G584" s="338"/>
      <c r="H584" s="338">
        <f>F584*G584</f>
        <v>0</v>
      </c>
      <c r="I584" s="339">
        <v>0</v>
      </c>
      <c r="J584" s="340">
        <f>F584*I584</f>
        <v>0</v>
      </c>
      <c r="K584" s="509"/>
      <c r="L584" s="509"/>
      <c r="M584" s="509"/>
      <c r="N584" s="509"/>
      <c r="O584" s="509"/>
      <c r="P584" s="509"/>
      <c r="Q584" s="509"/>
      <c r="R584" s="509"/>
      <c r="S584" s="509"/>
      <c r="T584" s="509"/>
    </row>
    <row r="585" spans="1:20" ht="16.5" customHeight="1" thickBot="1">
      <c r="A585" s="266" t="s">
        <v>2735</v>
      </c>
      <c r="B585" s="175" t="s">
        <v>2736</v>
      </c>
      <c r="C585" s="176" t="s">
        <v>2737</v>
      </c>
      <c r="D585" s="175"/>
      <c r="E585" s="175"/>
      <c r="F585" s="341"/>
      <c r="G585" s="341"/>
      <c r="H585" s="342">
        <f>SUM(H587:H613)</f>
        <v>0</v>
      </c>
      <c r="I585" s="343"/>
      <c r="J585" s="344">
        <f>SUM(J587:J612)</f>
        <v>15.472734000000003</v>
      </c>
      <c r="K585" s="670"/>
      <c r="L585" s="670"/>
      <c r="M585" s="670"/>
      <c r="N585" s="670"/>
      <c r="O585" s="670"/>
      <c r="P585" s="670"/>
      <c r="Q585" s="670"/>
      <c r="R585" s="670"/>
      <c r="S585" s="670"/>
      <c r="T585" s="670"/>
    </row>
    <row r="586" spans="1:20" s="22" customFormat="1" ht="18.75" customHeight="1">
      <c r="A586" s="278"/>
      <c r="B586" s="279"/>
      <c r="C586" s="280"/>
      <c r="D586" s="941"/>
      <c r="E586" s="281"/>
      <c r="F586" s="382"/>
      <c r="G586" s="382"/>
      <c r="H586" s="382"/>
      <c r="I586" s="383"/>
      <c r="J586" s="384"/>
      <c r="K586" s="509"/>
      <c r="L586" s="509"/>
      <c r="M586" s="509"/>
      <c r="N586" s="509"/>
      <c r="O586" s="509"/>
      <c r="P586" s="509"/>
      <c r="Q586" s="509"/>
      <c r="R586" s="509"/>
      <c r="S586" s="509"/>
      <c r="T586" s="509"/>
    </row>
    <row r="587" spans="1:20" s="22" customFormat="1" ht="51.75" customHeight="1">
      <c r="A587" s="196"/>
      <c r="B587" s="197"/>
      <c r="C587" s="277" t="s">
        <v>2738</v>
      </c>
      <c r="D587" s="919"/>
      <c r="E587" s="198"/>
      <c r="F587" s="332"/>
      <c r="G587" s="332"/>
      <c r="H587" s="332"/>
      <c r="I587" s="333"/>
      <c r="J587" s="334"/>
      <c r="K587" s="509"/>
      <c r="L587" s="509"/>
      <c r="M587" s="509"/>
      <c r="N587" s="509"/>
      <c r="O587" s="509"/>
      <c r="P587" s="509"/>
      <c r="Q587" s="509"/>
      <c r="R587" s="509"/>
      <c r="S587" s="509"/>
      <c r="T587" s="509"/>
    </row>
    <row r="588" spans="1:20" s="22" customFormat="1" ht="18.75" customHeight="1">
      <c r="A588" s="196" t="s">
        <v>2739</v>
      </c>
      <c r="B588" s="197" t="s">
        <v>2740</v>
      </c>
      <c r="C588" s="199" t="s">
        <v>446</v>
      </c>
      <c r="D588" s="919" t="s">
        <v>447</v>
      </c>
      <c r="E588" s="198" t="s">
        <v>1826</v>
      </c>
      <c r="F588" s="332">
        <v>76</v>
      </c>
      <c r="G588" s="332"/>
      <c r="H588" s="332">
        <f aca="true" t="shared" si="25" ref="H588:H613">F588*G588</f>
        <v>0</v>
      </c>
      <c r="I588" s="333">
        <v>0.00301</v>
      </c>
      <c r="J588" s="334">
        <f aca="true" t="shared" si="26" ref="J588:J613">F588*I588</f>
        <v>0.22876000000000002</v>
      </c>
      <c r="K588" s="509"/>
      <c r="L588" s="509"/>
      <c r="M588" s="509"/>
      <c r="N588" s="509"/>
      <c r="O588" s="509"/>
      <c r="P588" s="509"/>
      <c r="Q588" s="509"/>
      <c r="R588" s="509"/>
      <c r="S588" s="509"/>
      <c r="T588" s="509"/>
    </row>
    <row r="589" spans="1:20" s="22" customFormat="1" ht="18.75" customHeight="1">
      <c r="A589" s="196" t="s">
        <v>448</v>
      </c>
      <c r="B589" s="197" t="s">
        <v>449</v>
      </c>
      <c r="C589" s="199" t="s">
        <v>450</v>
      </c>
      <c r="D589" s="919" t="s">
        <v>451</v>
      </c>
      <c r="E589" s="198" t="s">
        <v>1826</v>
      </c>
      <c r="F589" s="332">
        <v>102.7</v>
      </c>
      <c r="G589" s="332"/>
      <c r="H589" s="332">
        <f t="shared" si="25"/>
        <v>0</v>
      </c>
      <c r="I589" s="333">
        <v>0.00295</v>
      </c>
      <c r="J589" s="334">
        <f t="shared" si="26"/>
        <v>0.302965</v>
      </c>
      <c r="K589" s="509"/>
      <c r="L589" s="509"/>
      <c r="M589" s="509"/>
      <c r="N589" s="509"/>
      <c r="O589" s="509"/>
      <c r="P589" s="509"/>
      <c r="Q589" s="509"/>
      <c r="R589" s="509"/>
      <c r="S589" s="509"/>
      <c r="T589" s="509"/>
    </row>
    <row r="590" spans="1:20" s="22" customFormat="1" ht="18.75" customHeight="1">
      <c r="A590" s="196" t="s">
        <v>452</v>
      </c>
      <c r="B590" s="197" t="s">
        <v>453</v>
      </c>
      <c r="C590" s="246" t="s">
        <v>454</v>
      </c>
      <c r="D590" s="919" t="s">
        <v>455</v>
      </c>
      <c r="E590" s="198" t="s">
        <v>1826</v>
      </c>
      <c r="F590" s="332">
        <v>209</v>
      </c>
      <c r="G590" s="332"/>
      <c r="H590" s="332">
        <f t="shared" si="25"/>
        <v>0</v>
      </c>
      <c r="I590" s="333">
        <v>0.00315</v>
      </c>
      <c r="J590" s="334">
        <f t="shared" si="26"/>
        <v>0.65835</v>
      </c>
      <c r="K590" s="509"/>
      <c r="L590" s="509"/>
      <c r="M590" s="509"/>
      <c r="N590" s="509"/>
      <c r="O590" s="509"/>
      <c r="P590" s="509"/>
      <c r="Q590" s="509"/>
      <c r="R590" s="509"/>
      <c r="S590" s="509"/>
      <c r="T590" s="509"/>
    </row>
    <row r="591" spans="1:20" s="22" customFormat="1" ht="18.75" customHeight="1">
      <c r="A591" s="196" t="s">
        <v>456</v>
      </c>
      <c r="B591" s="197" t="s">
        <v>457</v>
      </c>
      <c r="C591" s="246" t="s">
        <v>458</v>
      </c>
      <c r="D591" s="919" t="s">
        <v>459</v>
      </c>
      <c r="E591" s="198" t="s">
        <v>1826</v>
      </c>
      <c r="F591" s="332">
        <v>301</v>
      </c>
      <c r="G591" s="332"/>
      <c r="H591" s="332">
        <f t="shared" si="25"/>
        <v>0</v>
      </c>
      <c r="I591" s="333">
        <v>0.00376</v>
      </c>
      <c r="J591" s="334">
        <f t="shared" si="26"/>
        <v>1.1317599999999999</v>
      </c>
      <c r="K591" s="509"/>
      <c r="L591" s="509"/>
      <c r="M591" s="509"/>
      <c r="N591" s="509"/>
      <c r="O591" s="509"/>
      <c r="P591" s="509"/>
      <c r="Q591" s="509"/>
      <c r="R591" s="509"/>
      <c r="S591" s="509"/>
      <c r="T591" s="509"/>
    </row>
    <row r="592" spans="1:20" s="22" customFormat="1" ht="26.25" customHeight="1">
      <c r="A592" s="196" t="s">
        <v>460</v>
      </c>
      <c r="B592" s="197" t="s">
        <v>461</v>
      </c>
      <c r="C592" s="246" t="s">
        <v>462</v>
      </c>
      <c r="D592" s="919" t="s">
        <v>463</v>
      </c>
      <c r="E592" s="198" t="s">
        <v>1826</v>
      </c>
      <c r="F592" s="332">
        <v>432</v>
      </c>
      <c r="G592" s="332"/>
      <c r="H592" s="332">
        <f t="shared" si="25"/>
        <v>0</v>
      </c>
      <c r="I592" s="333">
        <v>0.00285</v>
      </c>
      <c r="J592" s="334">
        <f t="shared" si="26"/>
        <v>1.2312</v>
      </c>
      <c r="K592" s="509"/>
      <c r="L592" s="509"/>
      <c r="M592" s="509"/>
      <c r="N592" s="509"/>
      <c r="O592" s="509"/>
      <c r="P592" s="509"/>
      <c r="Q592" s="509"/>
      <c r="R592" s="509"/>
      <c r="S592" s="509"/>
      <c r="T592" s="509"/>
    </row>
    <row r="593" spans="1:20" s="22" customFormat="1" ht="18.75" customHeight="1">
      <c r="A593" s="196" t="s">
        <v>464</v>
      </c>
      <c r="B593" s="197" t="s">
        <v>465</v>
      </c>
      <c r="C593" s="246" t="s">
        <v>466</v>
      </c>
      <c r="D593" s="919" t="s">
        <v>467</v>
      </c>
      <c r="E593" s="198" t="s">
        <v>1826</v>
      </c>
      <c r="F593" s="332">
        <v>13.2</v>
      </c>
      <c r="G593" s="332"/>
      <c r="H593" s="332">
        <f t="shared" si="25"/>
        <v>0</v>
      </c>
      <c r="I593" s="333">
        <v>0.00145</v>
      </c>
      <c r="J593" s="334">
        <f t="shared" si="26"/>
        <v>0.019139999999999997</v>
      </c>
      <c r="K593" s="509"/>
      <c r="L593" s="509"/>
      <c r="M593" s="509"/>
      <c r="N593" s="509"/>
      <c r="O593" s="509"/>
      <c r="P593" s="509"/>
      <c r="Q593" s="509"/>
      <c r="R593" s="509"/>
      <c r="S593" s="509"/>
      <c r="T593" s="509"/>
    </row>
    <row r="594" spans="1:20" s="22" customFormat="1" ht="18.75" customHeight="1">
      <c r="A594" s="196" t="s">
        <v>468</v>
      </c>
      <c r="B594" s="197" t="s">
        <v>469</v>
      </c>
      <c r="C594" s="199" t="s">
        <v>470</v>
      </c>
      <c r="D594" s="919"/>
      <c r="E594" s="198" t="s">
        <v>1748</v>
      </c>
      <c r="F594" s="332">
        <f>F595</f>
        <v>7.06</v>
      </c>
      <c r="G594" s="332"/>
      <c r="H594" s="332">
        <f t="shared" si="25"/>
        <v>0</v>
      </c>
      <c r="I594" s="333">
        <v>0</v>
      </c>
      <c r="J594" s="334">
        <f t="shared" si="26"/>
        <v>0</v>
      </c>
      <c r="K594" s="509"/>
      <c r="L594" s="509"/>
      <c r="M594" s="509"/>
      <c r="N594" s="509"/>
      <c r="O594" s="509"/>
      <c r="P594" s="509"/>
      <c r="Q594" s="509"/>
      <c r="R594" s="509"/>
      <c r="S594" s="509"/>
      <c r="T594" s="509"/>
    </row>
    <row r="595" spans="1:20" s="22" customFormat="1" ht="18.75" customHeight="1">
      <c r="A595" s="196" t="s">
        <v>471</v>
      </c>
      <c r="B595" s="197" t="s">
        <v>472</v>
      </c>
      <c r="C595" s="199" t="s">
        <v>473</v>
      </c>
      <c r="D595" s="919" t="s">
        <v>2636</v>
      </c>
      <c r="E595" s="198" t="s">
        <v>1748</v>
      </c>
      <c r="F595" s="332">
        <v>7.06</v>
      </c>
      <c r="G595" s="332"/>
      <c r="H595" s="332">
        <f t="shared" si="25"/>
        <v>0</v>
      </c>
      <c r="I595" s="333">
        <v>0.0048</v>
      </c>
      <c r="J595" s="334">
        <f t="shared" si="26"/>
        <v>0.033887999999999995</v>
      </c>
      <c r="K595" s="509"/>
      <c r="L595" s="509"/>
      <c r="M595" s="509"/>
      <c r="N595" s="509"/>
      <c r="O595" s="509"/>
      <c r="P595" s="509"/>
      <c r="Q595" s="509"/>
      <c r="R595" s="509"/>
      <c r="S595" s="509"/>
      <c r="T595" s="509"/>
    </row>
    <row r="596" spans="1:20" s="22" customFormat="1" ht="18.75" customHeight="1">
      <c r="A596" s="196" t="s">
        <v>474</v>
      </c>
      <c r="B596" s="197" t="s">
        <v>475</v>
      </c>
      <c r="C596" s="199" t="s">
        <v>476</v>
      </c>
      <c r="D596" s="919" t="s">
        <v>477</v>
      </c>
      <c r="E596" s="198" t="s">
        <v>1748</v>
      </c>
      <c r="F596" s="332">
        <f>4.5+28*0.5+0.6*2</f>
        <v>19.7</v>
      </c>
      <c r="G596" s="332"/>
      <c r="H596" s="332">
        <f t="shared" si="25"/>
        <v>0</v>
      </c>
      <c r="I596" s="333">
        <v>0.0098</v>
      </c>
      <c r="J596" s="334">
        <f t="shared" si="26"/>
        <v>0.19305999999999998</v>
      </c>
      <c r="K596" s="509"/>
      <c r="L596" s="509"/>
      <c r="M596" s="509"/>
      <c r="N596" s="509"/>
      <c r="O596" s="509"/>
      <c r="P596" s="509"/>
      <c r="Q596" s="509"/>
      <c r="R596" s="509"/>
      <c r="S596" s="509"/>
      <c r="T596" s="509"/>
    </row>
    <row r="597" spans="1:20" s="22" customFormat="1" ht="18.75" customHeight="1">
      <c r="A597" s="196" t="s">
        <v>478</v>
      </c>
      <c r="B597" s="197" t="s">
        <v>479</v>
      </c>
      <c r="C597" s="199" t="s">
        <v>480</v>
      </c>
      <c r="D597" s="919" t="s">
        <v>481</v>
      </c>
      <c r="E597" s="198" t="s">
        <v>1826</v>
      </c>
      <c r="F597" s="332">
        <v>147</v>
      </c>
      <c r="G597" s="332"/>
      <c r="H597" s="332">
        <f t="shared" si="25"/>
        <v>0</v>
      </c>
      <c r="I597" s="333">
        <v>0.01887</v>
      </c>
      <c r="J597" s="334">
        <f t="shared" si="26"/>
        <v>2.77389</v>
      </c>
      <c r="K597" s="509"/>
      <c r="L597" s="509"/>
      <c r="M597" s="509"/>
      <c r="N597" s="509"/>
      <c r="O597" s="509"/>
      <c r="P597" s="509"/>
      <c r="Q597" s="509"/>
      <c r="R597" s="509"/>
      <c r="S597" s="509"/>
      <c r="T597" s="509"/>
    </row>
    <row r="598" spans="1:20" s="22" customFormat="1" ht="18.75" customHeight="1">
      <c r="A598" s="196" t="s">
        <v>482</v>
      </c>
      <c r="B598" s="197" t="s">
        <v>483</v>
      </c>
      <c r="C598" s="199" t="s">
        <v>484</v>
      </c>
      <c r="D598" s="919" t="s">
        <v>485</v>
      </c>
      <c r="E598" s="198" t="s">
        <v>1826</v>
      </c>
      <c r="F598" s="332">
        <v>87.3</v>
      </c>
      <c r="G598" s="332"/>
      <c r="H598" s="332">
        <f t="shared" si="25"/>
        <v>0</v>
      </c>
      <c r="I598" s="333">
        <v>0.0058</v>
      </c>
      <c r="J598" s="334">
        <f t="shared" si="26"/>
        <v>0.5063399999999999</v>
      </c>
      <c r="K598" s="509"/>
      <c r="L598" s="509"/>
      <c r="M598" s="509"/>
      <c r="N598" s="509"/>
      <c r="O598" s="509"/>
      <c r="P598" s="509"/>
      <c r="Q598" s="509"/>
      <c r="R598" s="509"/>
      <c r="S598" s="509"/>
      <c r="T598" s="509"/>
    </row>
    <row r="599" spans="1:20" s="22" customFormat="1" ht="24.75" customHeight="1">
      <c r="A599" s="196" t="s">
        <v>486</v>
      </c>
      <c r="B599" s="245" t="s">
        <v>487</v>
      </c>
      <c r="C599" s="246" t="s">
        <v>488</v>
      </c>
      <c r="D599" s="919" t="s">
        <v>489</v>
      </c>
      <c r="E599" s="247" t="s">
        <v>1826</v>
      </c>
      <c r="F599" s="363">
        <v>121.8</v>
      </c>
      <c r="G599" s="363"/>
      <c r="H599" s="363">
        <f t="shared" si="25"/>
        <v>0</v>
      </c>
      <c r="I599" s="364">
        <v>0.00793</v>
      </c>
      <c r="J599" s="365">
        <f t="shared" si="26"/>
        <v>0.9658739999999999</v>
      </c>
      <c r="K599" s="509"/>
      <c r="L599" s="509"/>
      <c r="M599" s="509"/>
      <c r="N599" s="509"/>
      <c r="O599" s="509"/>
      <c r="P599" s="509"/>
      <c r="Q599" s="509"/>
      <c r="R599" s="509"/>
      <c r="S599" s="509"/>
      <c r="T599" s="509"/>
    </row>
    <row r="600" spans="1:20" s="22" customFormat="1" ht="18.75" customHeight="1">
      <c r="A600" s="196" t="s">
        <v>490</v>
      </c>
      <c r="B600" s="197" t="s">
        <v>491</v>
      </c>
      <c r="C600" s="199" t="s">
        <v>492</v>
      </c>
      <c r="D600" s="919" t="s">
        <v>493</v>
      </c>
      <c r="E600" s="198" t="s">
        <v>1826</v>
      </c>
      <c r="F600" s="332">
        <v>13.9</v>
      </c>
      <c r="G600" s="332"/>
      <c r="H600" s="332">
        <f t="shared" si="25"/>
        <v>0</v>
      </c>
      <c r="I600" s="333">
        <v>0.00339</v>
      </c>
      <c r="J600" s="334">
        <f t="shared" si="26"/>
        <v>0.047120999999999996</v>
      </c>
      <c r="K600" s="509"/>
      <c r="L600" s="509"/>
      <c r="M600" s="509"/>
      <c r="N600" s="509"/>
      <c r="O600" s="509"/>
      <c r="P600" s="509"/>
      <c r="Q600" s="509"/>
      <c r="R600" s="509"/>
      <c r="S600" s="509"/>
      <c r="T600" s="509"/>
    </row>
    <row r="601" spans="1:20" s="22" customFormat="1" ht="18.75" customHeight="1">
      <c r="A601" s="196" t="s">
        <v>494</v>
      </c>
      <c r="B601" s="197" t="s">
        <v>495</v>
      </c>
      <c r="C601" s="199" t="s">
        <v>496</v>
      </c>
      <c r="D601" s="919" t="s">
        <v>493</v>
      </c>
      <c r="E601" s="198" t="s">
        <v>1826</v>
      </c>
      <c r="F601" s="332">
        <v>13.9</v>
      </c>
      <c r="G601" s="332"/>
      <c r="H601" s="332">
        <f t="shared" si="25"/>
        <v>0</v>
      </c>
      <c r="I601" s="333">
        <v>0.00519</v>
      </c>
      <c r="J601" s="334">
        <f t="shared" si="26"/>
        <v>0.07214100000000001</v>
      </c>
      <c r="K601" s="509"/>
      <c r="L601" s="509"/>
      <c r="M601" s="509"/>
      <c r="N601" s="509"/>
      <c r="O601" s="509"/>
      <c r="P601" s="509"/>
      <c r="Q601" s="509"/>
      <c r="R601" s="509"/>
      <c r="S601" s="509"/>
      <c r="T601" s="509"/>
    </row>
    <row r="602" spans="1:20" s="22" customFormat="1" ht="18.75" customHeight="1">
      <c r="A602" s="196" t="s">
        <v>497</v>
      </c>
      <c r="B602" s="197" t="s">
        <v>498</v>
      </c>
      <c r="C602" s="199" t="s">
        <v>499</v>
      </c>
      <c r="D602" s="919" t="s">
        <v>500</v>
      </c>
      <c r="E602" s="198" t="s">
        <v>1826</v>
      </c>
      <c r="F602" s="332">
        <v>13.9</v>
      </c>
      <c r="G602" s="332"/>
      <c r="H602" s="332">
        <f t="shared" si="25"/>
        <v>0</v>
      </c>
      <c r="I602" s="333">
        <v>0.00489</v>
      </c>
      <c r="J602" s="334">
        <f t="shared" si="26"/>
        <v>0.067971</v>
      </c>
      <c r="K602" s="509"/>
      <c r="L602" s="509"/>
      <c r="M602" s="509"/>
      <c r="N602" s="509"/>
      <c r="O602" s="509"/>
      <c r="P602" s="509"/>
      <c r="Q602" s="509"/>
      <c r="R602" s="509"/>
      <c r="S602" s="509"/>
      <c r="T602" s="509"/>
    </row>
    <row r="603" spans="1:20" s="22" customFormat="1" ht="18.75" customHeight="1">
      <c r="A603" s="196" t="s">
        <v>501</v>
      </c>
      <c r="B603" s="197" t="s">
        <v>469</v>
      </c>
      <c r="C603" s="199" t="s">
        <v>470</v>
      </c>
      <c r="D603" s="919"/>
      <c r="E603" s="198" t="s">
        <v>1748</v>
      </c>
      <c r="F603" s="332">
        <v>6.2</v>
      </c>
      <c r="G603" s="332"/>
      <c r="H603" s="332">
        <f t="shared" si="25"/>
        <v>0</v>
      </c>
      <c r="I603" s="333">
        <v>0</v>
      </c>
      <c r="J603" s="334">
        <f t="shared" si="26"/>
        <v>0</v>
      </c>
      <c r="K603" s="509"/>
      <c r="L603" s="509"/>
      <c r="M603" s="509"/>
      <c r="N603" s="509"/>
      <c r="O603" s="509"/>
      <c r="P603" s="509"/>
      <c r="Q603" s="509"/>
      <c r="R603" s="509"/>
      <c r="S603" s="509"/>
      <c r="T603" s="509"/>
    </row>
    <row r="604" spans="1:20" s="22" customFormat="1" ht="18.75" customHeight="1">
      <c r="A604" s="196" t="s">
        <v>502</v>
      </c>
      <c r="B604" s="197" t="s">
        <v>503</v>
      </c>
      <c r="C604" s="199" t="s">
        <v>473</v>
      </c>
      <c r="D604" s="919" t="s">
        <v>504</v>
      </c>
      <c r="E604" s="198" t="s">
        <v>1748</v>
      </c>
      <c r="F604" s="332">
        <v>6.2</v>
      </c>
      <c r="G604" s="332"/>
      <c r="H604" s="332">
        <f t="shared" si="25"/>
        <v>0</v>
      </c>
      <c r="I604" s="333">
        <v>0.0048</v>
      </c>
      <c r="J604" s="334">
        <f t="shared" si="26"/>
        <v>0.029759999999999998</v>
      </c>
      <c r="K604" s="509"/>
      <c r="L604" s="509"/>
      <c r="M604" s="509"/>
      <c r="N604" s="509"/>
      <c r="O604" s="509"/>
      <c r="P604" s="509"/>
      <c r="Q604" s="509"/>
      <c r="R604" s="509"/>
      <c r="S604" s="509"/>
      <c r="T604" s="509"/>
    </row>
    <row r="605" spans="1:20" s="22" customFormat="1" ht="18.75" customHeight="1">
      <c r="A605" s="196" t="s">
        <v>505</v>
      </c>
      <c r="B605" s="197" t="s">
        <v>479</v>
      </c>
      <c r="C605" s="199" t="s">
        <v>506</v>
      </c>
      <c r="D605" s="919" t="s">
        <v>507</v>
      </c>
      <c r="E605" s="198" t="s">
        <v>1826</v>
      </c>
      <c r="F605" s="332">
        <v>98.6</v>
      </c>
      <c r="G605" s="332"/>
      <c r="H605" s="332">
        <f t="shared" si="25"/>
        <v>0</v>
      </c>
      <c r="I605" s="333">
        <v>0.01887</v>
      </c>
      <c r="J605" s="334">
        <f t="shared" si="26"/>
        <v>1.860582</v>
      </c>
      <c r="K605" s="509"/>
      <c r="L605" s="509"/>
      <c r="M605" s="509"/>
      <c r="N605" s="509"/>
      <c r="O605" s="509"/>
      <c r="P605" s="509"/>
      <c r="Q605" s="509"/>
      <c r="R605" s="509"/>
      <c r="S605" s="509"/>
      <c r="T605" s="509"/>
    </row>
    <row r="606" spans="1:20" s="22" customFormat="1" ht="18.75" customHeight="1">
      <c r="A606" s="196" t="s">
        <v>508</v>
      </c>
      <c r="B606" s="197" t="s">
        <v>509</v>
      </c>
      <c r="C606" s="199" t="s">
        <v>510</v>
      </c>
      <c r="D606" s="919" t="s">
        <v>511</v>
      </c>
      <c r="E606" s="198" t="s">
        <v>1826</v>
      </c>
      <c r="F606" s="332">
        <v>42.5</v>
      </c>
      <c r="G606" s="332"/>
      <c r="H606" s="332">
        <f t="shared" si="25"/>
        <v>0</v>
      </c>
      <c r="I606" s="333">
        <v>0.00274</v>
      </c>
      <c r="J606" s="334">
        <f t="shared" si="26"/>
        <v>0.11645</v>
      </c>
      <c r="K606" s="509"/>
      <c r="L606" s="509"/>
      <c r="M606" s="509"/>
      <c r="N606" s="509"/>
      <c r="O606" s="509"/>
      <c r="P606" s="509"/>
      <c r="Q606" s="509"/>
      <c r="R606" s="509"/>
      <c r="S606" s="509"/>
      <c r="T606" s="509"/>
    </row>
    <row r="607" spans="1:20" s="22" customFormat="1" ht="18.75" customHeight="1">
      <c r="A607" s="196" t="s">
        <v>512</v>
      </c>
      <c r="B607" s="197" t="s">
        <v>513</v>
      </c>
      <c r="C607" s="199" t="s">
        <v>514</v>
      </c>
      <c r="D607" s="919" t="s">
        <v>515</v>
      </c>
      <c r="E607" s="198" t="s">
        <v>1826</v>
      </c>
      <c r="F607" s="332">
        <v>190</v>
      </c>
      <c r="G607" s="332"/>
      <c r="H607" s="332">
        <f t="shared" si="25"/>
        <v>0</v>
      </c>
      <c r="I607" s="333">
        <v>0.00383</v>
      </c>
      <c r="J607" s="334">
        <f t="shared" si="26"/>
        <v>0.7277</v>
      </c>
      <c r="K607" s="509"/>
      <c r="L607" s="509"/>
      <c r="M607" s="509"/>
      <c r="N607" s="509"/>
      <c r="O607" s="509"/>
      <c r="P607" s="509"/>
      <c r="Q607" s="509"/>
      <c r="R607" s="509"/>
      <c r="S607" s="509"/>
      <c r="T607" s="509"/>
    </row>
    <row r="608" spans="1:20" s="22" customFormat="1" ht="18.75" customHeight="1">
      <c r="A608" s="196" t="s">
        <v>516</v>
      </c>
      <c r="B608" s="197" t="s">
        <v>517</v>
      </c>
      <c r="C608" s="199" t="s">
        <v>518</v>
      </c>
      <c r="D608" s="919" t="s">
        <v>519</v>
      </c>
      <c r="E608" s="198" t="s">
        <v>1826</v>
      </c>
      <c r="F608" s="332">
        <v>482.6</v>
      </c>
      <c r="G608" s="332"/>
      <c r="H608" s="332">
        <f t="shared" si="25"/>
        <v>0</v>
      </c>
      <c r="I608" s="333">
        <v>0.00267</v>
      </c>
      <c r="J608" s="334">
        <f t="shared" si="26"/>
        <v>1.288542</v>
      </c>
      <c r="K608" s="509"/>
      <c r="L608" s="509"/>
      <c r="M608" s="509"/>
      <c r="N608" s="509"/>
      <c r="O608" s="509"/>
      <c r="P608" s="509"/>
      <c r="Q608" s="509"/>
      <c r="R608" s="509"/>
      <c r="S608" s="509"/>
      <c r="T608" s="509"/>
    </row>
    <row r="609" spans="1:20" s="22" customFormat="1" ht="18.75" customHeight="1">
      <c r="A609" s="196" t="s">
        <v>520</v>
      </c>
      <c r="B609" s="197" t="s">
        <v>521</v>
      </c>
      <c r="C609" s="199" t="s">
        <v>522</v>
      </c>
      <c r="D609" s="919" t="s">
        <v>523</v>
      </c>
      <c r="E609" s="198" t="s">
        <v>1826</v>
      </c>
      <c r="F609" s="332">
        <v>268.5</v>
      </c>
      <c r="G609" s="332"/>
      <c r="H609" s="332">
        <f t="shared" si="25"/>
        <v>0</v>
      </c>
      <c r="I609" s="333">
        <v>0.0038</v>
      </c>
      <c r="J609" s="334">
        <f t="shared" si="26"/>
        <v>1.0203</v>
      </c>
      <c r="K609" s="509"/>
      <c r="L609" s="509"/>
      <c r="M609" s="509"/>
      <c r="N609" s="509"/>
      <c r="O609" s="509"/>
      <c r="P609" s="509"/>
      <c r="Q609" s="509"/>
      <c r="R609" s="509"/>
      <c r="S609" s="509"/>
      <c r="T609" s="509"/>
    </row>
    <row r="610" spans="1:20" s="22" customFormat="1" ht="18.75" customHeight="1">
      <c r="A610" s="196" t="s">
        <v>524</v>
      </c>
      <c r="B610" s="197" t="s">
        <v>525</v>
      </c>
      <c r="C610" s="199" t="s">
        <v>526</v>
      </c>
      <c r="D610" s="919" t="s">
        <v>2525</v>
      </c>
      <c r="E610" s="198" t="s">
        <v>1831</v>
      </c>
      <c r="F610" s="332">
        <v>8</v>
      </c>
      <c r="G610" s="332"/>
      <c r="H610" s="332">
        <f t="shared" si="25"/>
        <v>0</v>
      </c>
      <c r="I610" s="333">
        <v>0.00801</v>
      </c>
      <c r="J610" s="334">
        <f t="shared" si="26"/>
        <v>0.06408</v>
      </c>
      <c r="K610" s="509"/>
      <c r="L610" s="509"/>
      <c r="M610" s="509"/>
      <c r="N610" s="509"/>
      <c r="O610" s="509"/>
      <c r="P610" s="509"/>
      <c r="Q610" s="509"/>
      <c r="R610" s="509"/>
      <c r="S610" s="509"/>
      <c r="T610" s="509"/>
    </row>
    <row r="611" spans="1:20" s="22" customFormat="1" ht="26.25" customHeight="1">
      <c r="A611" s="196" t="s">
        <v>527</v>
      </c>
      <c r="B611" s="197" t="s">
        <v>487</v>
      </c>
      <c r="C611" s="199" t="s">
        <v>488</v>
      </c>
      <c r="D611" s="919" t="s">
        <v>528</v>
      </c>
      <c r="E611" s="198" t="s">
        <v>1826</v>
      </c>
      <c r="F611" s="332">
        <v>166</v>
      </c>
      <c r="G611" s="332"/>
      <c r="H611" s="332">
        <f t="shared" si="25"/>
        <v>0</v>
      </c>
      <c r="I611" s="333">
        <v>0.00793</v>
      </c>
      <c r="J611" s="334">
        <f t="shared" si="26"/>
        <v>1.3163799999999999</v>
      </c>
      <c r="K611" s="509"/>
      <c r="L611" s="509"/>
      <c r="M611" s="509"/>
      <c r="N611" s="509"/>
      <c r="O611" s="509"/>
      <c r="P611" s="509"/>
      <c r="Q611" s="509"/>
      <c r="R611" s="509"/>
      <c r="S611" s="509"/>
      <c r="T611" s="509"/>
    </row>
    <row r="612" spans="1:20" s="22" customFormat="1" ht="18.75" customHeight="1">
      <c r="A612" s="196" t="s">
        <v>529</v>
      </c>
      <c r="B612" s="197" t="s">
        <v>530</v>
      </c>
      <c r="C612" s="199" t="s">
        <v>506</v>
      </c>
      <c r="D612" s="919" t="s">
        <v>531</v>
      </c>
      <c r="E612" s="198" t="s">
        <v>1826</v>
      </c>
      <c r="F612" s="332">
        <v>126</v>
      </c>
      <c r="G612" s="332"/>
      <c r="H612" s="332">
        <f t="shared" si="25"/>
        <v>0</v>
      </c>
      <c r="I612" s="333">
        <v>0.00648</v>
      </c>
      <c r="J612" s="334">
        <f t="shared" si="26"/>
        <v>0.81648</v>
      </c>
      <c r="K612" s="509"/>
      <c r="L612" s="509"/>
      <c r="M612" s="509"/>
      <c r="N612" s="509"/>
      <c r="O612" s="509"/>
      <c r="P612" s="509"/>
      <c r="Q612" s="509"/>
      <c r="R612" s="509"/>
      <c r="S612" s="509"/>
      <c r="T612" s="509"/>
    </row>
    <row r="613" spans="1:20" s="22" customFormat="1" ht="18.75" customHeight="1" thickBot="1">
      <c r="A613" s="196" t="s">
        <v>532</v>
      </c>
      <c r="B613" s="256" t="s">
        <v>533</v>
      </c>
      <c r="C613" s="264" t="s">
        <v>534</v>
      </c>
      <c r="D613" s="937"/>
      <c r="E613" s="257" t="s">
        <v>1783</v>
      </c>
      <c r="F613" s="368">
        <f>J585</f>
        <v>15.472734000000003</v>
      </c>
      <c r="G613" s="368"/>
      <c r="H613" s="368">
        <f t="shared" si="25"/>
        <v>0</v>
      </c>
      <c r="I613" s="369">
        <v>0</v>
      </c>
      <c r="J613" s="370">
        <f t="shared" si="26"/>
        <v>0</v>
      </c>
      <c r="K613" s="509"/>
      <c r="L613" s="509"/>
      <c r="M613" s="509"/>
      <c r="N613" s="509"/>
      <c r="O613" s="509"/>
      <c r="P613" s="509"/>
      <c r="Q613" s="509"/>
      <c r="R613" s="509"/>
      <c r="S613" s="509"/>
      <c r="T613" s="509"/>
    </row>
    <row r="614" spans="1:20" ht="16.5" customHeight="1" thickBot="1">
      <c r="A614" s="266" t="s">
        <v>535</v>
      </c>
      <c r="B614" s="175" t="s">
        <v>536</v>
      </c>
      <c r="C614" s="176" t="s">
        <v>537</v>
      </c>
      <c r="D614" s="175"/>
      <c r="E614" s="175"/>
      <c r="F614" s="341"/>
      <c r="G614" s="341"/>
      <c r="H614" s="342">
        <f>SUM(H615:H641)</f>
        <v>0</v>
      </c>
      <c r="I614" s="343"/>
      <c r="J614" s="344">
        <f>SUM(J615:J640)</f>
        <v>0.86499</v>
      </c>
      <c r="K614" s="670"/>
      <c r="L614" s="670"/>
      <c r="M614" s="670"/>
      <c r="N614" s="670"/>
      <c r="O614" s="670"/>
      <c r="P614" s="670"/>
      <c r="Q614" s="670"/>
      <c r="R614" s="670"/>
      <c r="S614" s="670"/>
      <c r="T614" s="670"/>
    </row>
    <row r="615" spans="1:20" s="22" customFormat="1" ht="18.75" customHeight="1">
      <c r="A615" s="190"/>
      <c r="B615" s="191"/>
      <c r="C615" s="265"/>
      <c r="D615" s="920"/>
      <c r="E615" s="192"/>
      <c r="F615" s="345"/>
      <c r="G615" s="345"/>
      <c r="H615" s="345"/>
      <c r="I615" s="346"/>
      <c r="J615" s="347"/>
      <c r="K615" s="509"/>
      <c r="L615" s="509"/>
      <c r="M615" s="509"/>
      <c r="N615" s="509"/>
      <c r="O615" s="509"/>
      <c r="P615" s="509"/>
      <c r="Q615" s="509"/>
      <c r="R615" s="509"/>
      <c r="S615" s="509"/>
      <c r="T615" s="509"/>
    </row>
    <row r="616" spans="1:20" s="22" customFormat="1" ht="18.75" customHeight="1">
      <c r="A616" s="196" t="s">
        <v>538</v>
      </c>
      <c r="B616" s="197" t="s">
        <v>539</v>
      </c>
      <c r="C616" s="199" t="s">
        <v>540</v>
      </c>
      <c r="D616" s="919" t="s">
        <v>541</v>
      </c>
      <c r="E616" s="198" t="s">
        <v>2488</v>
      </c>
      <c r="F616" s="332">
        <v>60</v>
      </c>
      <c r="G616" s="332"/>
      <c r="H616" s="332">
        <f>F616*G616</f>
        <v>0</v>
      </c>
      <c r="I616" s="333">
        <v>5E-05</v>
      </c>
      <c r="J616" s="334">
        <f>F616*I616</f>
        <v>0.003</v>
      </c>
      <c r="K616" s="509"/>
      <c r="L616" s="509"/>
      <c r="M616" s="509"/>
      <c r="N616" s="509"/>
      <c r="O616" s="509"/>
      <c r="P616" s="509"/>
      <c r="Q616" s="509"/>
      <c r="R616" s="509"/>
      <c r="S616" s="509"/>
      <c r="T616" s="509"/>
    </row>
    <row r="617" spans="1:20" s="22" customFormat="1" ht="25.5" customHeight="1">
      <c r="A617" s="196" t="s">
        <v>542</v>
      </c>
      <c r="B617" s="197" t="s">
        <v>543</v>
      </c>
      <c r="C617" s="199" t="s">
        <v>544</v>
      </c>
      <c r="D617" s="919" t="s">
        <v>541</v>
      </c>
      <c r="E617" s="198" t="s">
        <v>2695</v>
      </c>
      <c r="F617" s="332">
        <v>2</v>
      </c>
      <c r="G617" s="332"/>
      <c r="H617" s="332">
        <f aca="true" t="shared" si="27" ref="H617:H641">F617*G617</f>
        <v>0</v>
      </c>
      <c r="I617" s="333">
        <v>6E-05</v>
      </c>
      <c r="J617" s="334">
        <f>F617*I617</f>
        <v>0.00012</v>
      </c>
      <c r="K617" s="509"/>
      <c r="L617" s="509"/>
      <c r="M617" s="509"/>
      <c r="N617" s="509"/>
      <c r="O617" s="509"/>
      <c r="P617" s="509"/>
      <c r="Q617" s="509"/>
      <c r="R617" s="509"/>
      <c r="S617" s="509"/>
      <c r="T617" s="509"/>
    </row>
    <row r="618" spans="1:20" s="22" customFormat="1" ht="18.75" customHeight="1">
      <c r="A618" s="196" t="s">
        <v>545</v>
      </c>
      <c r="B618" s="197" t="s">
        <v>539</v>
      </c>
      <c r="C618" s="199" t="s">
        <v>546</v>
      </c>
      <c r="D618" s="919" t="s">
        <v>541</v>
      </c>
      <c r="E618" s="198" t="s">
        <v>2488</v>
      </c>
      <c r="F618" s="332">
        <v>115</v>
      </c>
      <c r="G618" s="332"/>
      <c r="H618" s="332">
        <f t="shared" si="27"/>
        <v>0</v>
      </c>
      <c r="I618" s="333">
        <v>5E-05</v>
      </c>
      <c r="J618" s="334">
        <f>F618*I618</f>
        <v>0.00575</v>
      </c>
      <c r="K618" s="509"/>
      <c r="L618" s="509"/>
      <c r="M618" s="509"/>
      <c r="N618" s="509"/>
      <c r="O618" s="509"/>
      <c r="P618" s="509"/>
      <c r="Q618" s="509"/>
      <c r="R618" s="509"/>
      <c r="S618" s="509"/>
      <c r="T618" s="509"/>
    </row>
    <row r="619" spans="1:20" s="22" customFormat="1" ht="27.75" customHeight="1">
      <c r="A619" s="196" t="s">
        <v>547</v>
      </c>
      <c r="B619" s="197" t="s">
        <v>548</v>
      </c>
      <c r="C619" s="199" t="s">
        <v>549</v>
      </c>
      <c r="D619" s="919" t="s">
        <v>541</v>
      </c>
      <c r="E619" s="198" t="s">
        <v>2695</v>
      </c>
      <c r="F619" s="332">
        <v>3</v>
      </c>
      <c r="G619" s="332"/>
      <c r="H619" s="332">
        <f>F619*G619</f>
        <v>0</v>
      </c>
      <c r="I619" s="333">
        <v>6E-05</v>
      </c>
      <c r="J619" s="334">
        <f>F619*I619</f>
        <v>0.00018</v>
      </c>
      <c r="K619" s="509"/>
      <c r="L619" s="509"/>
      <c r="M619" s="509"/>
      <c r="N619" s="509"/>
      <c r="O619" s="509"/>
      <c r="P619" s="509"/>
      <c r="Q619" s="509"/>
      <c r="R619" s="509"/>
      <c r="S619" s="509"/>
      <c r="T619" s="509"/>
    </row>
    <row r="620" spans="1:20" s="22" customFormat="1" ht="15" customHeight="1">
      <c r="A620" s="196"/>
      <c r="B620" s="197"/>
      <c r="C620" s="199"/>
      <c r="D620" s="919"/>
      <c r="E620" s="198"/>
      <c r="F620" s="332"/>
      <c r="G620" s="332"/>
      <c r="H620" s="332"/>
      <c r="I620" s="333"/>
      <c r="J620" s="334"/>
      <c r="K620" s="730"/>
      <c r="L620" s="509"/>
      <c r="M620" s="509"/>
      <c r="N620" s="509"/>
      <c r="O620" s="509"/>
      <c r="P620" s="509"/>
      <c r="Q620" s="509"/>
      <c r="R620" s="509"/>
      <c r="S620" s="509"/>
      <c r="T620" s="509"/>
    </row>
    <row r="621" spans="1:20" s="22" customFormat="1" ht="18.75" customHeight="1">
      <c r="A621" s="196" t="s">
        <v>550</v>
      </c>
      <c r="B621" s="197" t="s">
        <v>548</v>
      </c>
      <c r="C621" s="199" t="s">
        <v>551</v>
      </c>
      <c r="D621" s="919" t="s">
        <v>552</v>
      </c>
      <c r="E621" s="198" t="s">
        <v>1718</v>
      </c>
      <c r="F621" s="332">
        <v>11</v>
      </c>
      <c r="G621" s="332"/>
      <c r="H621" s="332">
        <f t="shared" si="27"/>
        <v>0</v>
      </c>
      <c r="I621" s="333">
        <v>0</v>
      </c>
      <c r="J621" s="334">
        <f>F621*I621</f>
        <v>0</v>
      </c>
      <c r="K621" s="730"/>
      <c r="L621" s="509"/>
      <c r="M621" s="509"/>
      <c r="N621" s="509"/>
      <c r="O621" s="509"/>
      <c r="P621" s="509"/>
      <c r="Q621" s="509"/>
      <c r="R621" s="509"/>
      <c r="S621" s="509"/>
      <c r="T621" s="509"/>
    </row>
    <row r="622" spans="1:20" s="22" customFormat="1" ht="18.75" customHeight="1">
      <c r="A622" s="196" t="s">
        <v>553</v>
      </c>
      <c r="B622" s="197" t="s">
        <v>554</v>
      </c>
      <c r="C622" s="199" t="s">
        <v>555</v>
      </c>
      <c r="D622" s="919" t="s">
        <v>556</v>
      </c>
      <c r="E622" s="198" t="s">
        <v>1718</v>
      </c>
      <c r="F622" s="332">
        <v>20</v>
      </c>
      <c r="G622" s="332"/>
      <c r="H622" s="332">
        <f t="shared" si="27"/>
        <v>0</v>
      </c>
      <c r="I622" s="333">
        <v>0.0004</v>
      </c>
      <c r="J622" s="334">
        <f>F622*I622</f>
        <v>0.008</v>
      </c>
      <c r="K622" s="730"/>
      <c r="L622" s="509"/>
      <c r="M622" s="509"/>
      <c r="N622" s="509"/>
      <c r="O622" s="509"/>
      <c r="P622" s="509"/>
      <c r="Q622" s="509"/>
      <c r="R622" s="509"/>
      <c r="S622" s="509"/>
      <c r="T622" s="509"/>
    </row>
    <row r="623" spans="1:20" s="22" customFormat="1" ht="18.75" customHeight="1">
      <c r="A623" s="196" t="s">
        <v>557</v>
      </c>
      <c r="B623" s="197" t="s">
        <v>558</v>
      </c>
      <c r="C623" s="199" t="s">
        <v>559</v>
      </c>
      <c r="D623" s="919" t="s">
        <v>556</v>
      </c>
      <c r="E623" s="198" t="s">
        <v>1718</v>
      </c>
      <c r="F623" s="332">
        <v>4</v>
      </c>
      <c r="G623" s="332"/>
      <c r="H623" s="332">
        <f t="shared" si="27"/>
        <v>0</v>
      </c>
      <c r="I623" s="333">
        <v>0.01</v>
      </c>
      <c r="J623" s="334">
        <f>F623*I623</f>
        <v>0.04</v>
      </c>
      <c r="K623" s="730"/>
      <c r="L623" s="509"/>
      <c r="M623" s="509"/>
      <c r="N623" s="509"/>
      <c r="O623" s="509"/>
      <c r="P623" s="509"/>
      <c r="Q623" s="509"/>
      <c r="R623" s="509"/>
      <c r="S623" s="509"/>
      <c r="T623" s="509"/>
    </row>
    <row r="624" spans="1:20" s="22" customFormat="1" ht="18.75" customHeight="1">
      <c r="A624" s="196" t="s">
        <v>560</v>
      </c>
      <c r="B624" s="197" t="s">
        <v>561</v>
      </c>
      <c r="C624" s="199" t="s">
        <v>562</v>
      </c>
      <c r="D624" s="919" t="s">
        <v>552</v>
      </c>
      <c r="E624" s="198" t="s">
        <v>1718</v>
      </c>
      <c r="F624" s="332">
        <v>16</v>
      </c>
      <c r="G624" s="332"/>
      <c r="H624" s="332">
        <f>F624*G624</f>
        <v>0</v>
      </c>
      <c r="I624" s="333">
        <v>0.00095</v>
      </c>
      <c r="J624" s="334">
        <f>F624*I624</f>
        <v>0.0152</v>
      </c>
      <c r="K624" s="730"/>
      <c r="L624" s="509"/>
      <c r="M624" s="509"/>
      <c r="N624" s="509"/>
      <c r="O624" s="509"/>
      <c r="P624" s="509"/>
      <c r="Q624" s="509"/>
      <c r="R624" s="509"/>
      <c r="S624" s="509"/>
      <c r="T624" s="509"/>
    </row>
    <row r="625" spans="1:20" s="22" customFormat="1" ht="14.25" customHeight="1">
      <c r="A625" s="196"/>
      <c r="B625" s="197"/>
      <c r="C625" s="199"/>
      <c r="D625" s="919"/>
      <c r="E625" s="198"/>
      <c r="F625" s="332"/>
      <c r="G625" s="332"/>
      <c r="H625" s="332"/>
      <c r="I625" s="333"/>
      <c r="J625" s="334"/>
      <c r="K625" s="730"/>
      <c r="L625" s="509"/>
      <c r="M625" s="509"/>
      <c r="N625" s="509"/>
      <c r="O625" s="509"/>
      <c r="P625" s="509"/>
      <c r="Q625" s="509"/>
      <c r="R625" s="509"/>
      <c r="S625" s="509"/>
      <c r="T625" s="509"/>
    </row>
    <row r="626" spans="1:20" s="22" customFormat="1" ht="18" customHeight="1">
      <c r="A626" s="196" t="s">
        <v>563</v>
      </c>
      <c r="B626" s="197" t="s">
        <v>564</v>
      </c>
      <c r="C626" s="199" t="s">
        <v>565</v>
      </c>
      <c r="D626" s="919" t="s">
        <v>566</v>
      </c>
      <c r="E626" s="198" t="s">
        <v>1718</v>
      </c>
      <c r="F626" s="332">
        <v>4</v>
      </c>
      <c r="G626" s="332"/>
      <c r="H626" s="332">
        <f t="shared" si="27"/>
        <v>0</v>
      </c>
      <c r="I626" s="333">
        <v>0.07301</v>
      </c>
      <c r="J626" s="334">
        <f>F626*I626</f>
        <v>0.29204</v>
      </c>
      <c r="K626" s="730"/>
      <c r="L626" s="509"/>
      <c r="M626" s="509"/>
      <c r="N626" s="509"/>
      <c r="O626" s="509"/>
      <c r="P626" s="509"/>
      <c r="Q626" s="509"/>
      <c r="R626" s="509"/>
      <c r="S626" s="509"/>
      <c r="T626" s="509"/>
    </row>
    <row r="627" spans="1:20" s="22" customFormat="1" ht="18.75" customHeight="1">
      <c r="A627" s="196" t="s">
        <v>567</v>
      </c>
      <c r="B627" s="197" t="s">
        <v>568</v>
      </c>
      <c r="C627" s="199" t="s">
        <v>569</v>
      </c>
      <c r="D627" s="919" t="s">
        <v>566</v>
      </c>
      <c r="E627" s="198" t="s">
        <v>1718</v>
      </c>
      <c r="F627" s="332">
        <v>4</v>
      </c>
      <c r="G627" s="332"/>
      <c r="H627" s="332">
        <f t="shared" si="27"/>
        <v>0</v>
      </c>
      <c r="I627" s="333">
        <v>0.07301</v>
      </c>
      <c r="J627" s="334">
        <f>F627*I627</f>
        <v>0.29204</v>
      </c>
      <c r="K627" s="730"/>
      <c r="L627" s="509"/>
      <c r="M627" s="509"/>
      <c r="N627" s="509"/>
      <c r="O627" s="509"/>
      <c r="P627" s="509"/>
      <c r="Q627" s="509"/>
      <c r="R627" s="509"/>
      <c r="S627" s="509"/>
      <c r="T627" s="509"/>
    </row>
    <row r="628" spans="1:20" s="22" customFormat="1" ht="12.75" customHeight="1">
      <c r="A628" s="196"/>
      <c r="B628" s="197"/>
      <c r="C628" s="199"/>
      <c r="D628" s="919"/>
      <c r="E628" s="198"/>
      <c r="F628" s="332"/>
      <c r="G628" s="332"/>
      <c r="H628" s="332"/>
      <c r="I628" s="333"/>
      <c r="J628" s="334"/>
      <c r="K628" s="730"/>
      <c r="L628" s="509"/>
      <c r="M628" s="509"/>
      <c r="N628" s="509"/>
      <c r="O628" s="509"/>
      <c r="P628" s="509"/>
      <c r="Q628" s="509"/>
      <c r="R628" s="509"/>
      <c r="S628" s="509"/>
      <c r="T628" s="509"/>
    </row>
    <row r="629" spans="1:20" s="22" customFormat="1" ht="18.75" customHeight="1">
      <c r="A629" s="196" t="s">
        <v>570</v>
      </c>
      <c r="B629" s="197" t="s">
        <v>571</v>
      </c>
      <c r="C629" s="199" t="s">
        <v>572</v>
      </c>
      <c r="D629" s="919" t="s">
        <v>573</v>
      </c>
      <c r="E629" s="198" t="s">
        <v>1826</v>
      </c>
      <c r="F629" s="332">
        <v>6</v>
      </c>
      <c r="G629" s="332"/>
      <c r="H629" s="332">
        <f t="shared" si="27"/>
        <v>0</v>
      </c>
      <c r="I629" s="333">
        <v>6E-05</v>
      </c>
      <c r="J629" s="334">
        <f>F629*I629</f>
        <v>0.00036</v>
      </c>
      <c r="K629" s="730"/>
      <c r="L629" s="509"/>
      <c r="M629" s="509"/>
      <c r="N629" s="509"/>
      <c r="O629" s="509"/>
      <c r="P629" s="509"/>
      <c r="Q629" s="509"/>
      <c r="R629" s="509"/>
      <c r="S629" s="509"/>
      <c r="T629" s="509"/>
    </row>
    <row r="630" spans="1:20" s="22" customFormat="1" ht="28.5" customHeight="1">
      <c r="A630" s="196" t="s">
        <v>574</v>
      </c>
      <c r="B630" s="197" t="s">
        <v>575</v>
      </c>
      <c r="C630" s="199" t="s">
        <v>576</v>
      </c>
      <c r="D630" s="919" t="s">
        <v>573</v>
      </c>
      <c r="E630" s="198" t="s">
        <v>1718</v>
      </c>
      <c r="F630" s="332">
        <v>2</v>
      </c>
      <c r="G630" s="332"/>
      <c r="H630" s="332">
        <f t="shared" si="27"/>
        <v>0</v>
      </c>
      <c r="I630" s="333">
        <v>0.05</v>
      </c>
      <c r="J630" s="334">
        <f>F630*I630</f>
        <v>0.1</v>
      </c>
      <c r="K630" s="730"/>
      <c r="L630" s="509"/>
      <c r="M630" s="509"/>
      <c r="N630" s="509"/>
      <c r="O630" s="509"/>
      <c r="P630" s="509"/>
      <c r="Q630" s="509"/>
      <c r="R630" s="509"/>
      <c r="S630" s="509"/>
      <c r="T630" s="509"/>
    </row>
    <row r="631" spans="1:20" s="22" customFormat="1" ht="13.5" customHeight="1">
      <c r="A631" s="196"/>
      <c r="B631" s="197"/>
      <c r="C631" s="199"/>
      <c r="D631" s="919"/>
      <c r="E631" s="198"/>
      <c r="F631" s="332"/>
      <c r="G631" s="332"/>
      <c r="H631" s="332"/>
      <c r="I631" s="333"/>
      <c r="J631" s="334"/>
      <c r="K631" s="730"/>
      <c r="L631" s="509"/>
      <c r="M631" s="509"/>
      <c r="N631" s="509"/>
      <c r="O631" s="509"/>
      <c r="P631" s="509"/>
      <c r="Q631" s="509"/>
      <c r="R631" s="509"/>
      <c r="S631" s="509"/>
      <c r="T631" s="509"/>
    </row>
    <row r="632" spans="1:20" s="22" customFormat="1" ht="18.75" customHeight="1">
      <c r="A632" s="196" t="s">
        <v>577</v>
      </c>
      <c r="B632" s="197" t="s">
        <v>539</v>
      </c>
      <c r="C632" s="199" t="s">
        <v>540</v>
      </c>
      <c r="D632" s="919" t="s">
        <v>573</v>
      </c>
      <c r="E632" s="198" t="s">
        <v>2488</v>
      </c>
      <c r="F632" s="332">
        <v>60</v>
      </c>
      <c r="G632" s="332"/>
      <c r="H632" s="332">
        <f t="shared" si="27"/>
        <v>0</v>
      </c>
      <c r="I632" s="333">
        <v>5E-05</v>
      </c>
      <c r="J632" s="334">
        <f>F632*I632</f>
        <v>0.003</v>
      </c>
      <c r="K632" s="730"/>
      <c r="L632" s="509"/>
      <c r="M632" s="509"/>
      <c r="N632" s="509"/>
      <c r="O632" s="509"/>
      <c r="P632" s="509"/>
      <c r="Q632" s="509"/>
      <c r="R632" s="509"/>
      <c r="S632" s="509"/>
      <c r="T632" s="509"/>
    </row>
    <row r="633" spans="1:20" s="22" customFormat="1" ht="18.75" customHeight="1">
      <c r="A633" s="196" t="s">
        <v>578</v>
      </c>
      <c r="B633" s="197" t="s">
        <v>579</v>
      </c>
      <c r="C633" s="199" t="s">
        <v>580</v>
      </c>
      <c r="D633" s="919" t="s">
        <v>573</v>
      </c>
      <c r="E633" s="198" t="s">
        <v>1718</v>
      </c>
      <c r="F633" s="332">
        <v>2</v>
      </c>
      <c r="G633" s="332"/>
      <c r="H633" s="332">
        <f t="shared" si="27"/>
        <v>0</v>
      </c>
      <c r="I633" s="333">
        <v>0.05</v>
      </c>
      <c r="J633" s="334">
        <f>F633*I633</f>
        <v>0.1</v>
      </c>
      <c r="K633" s="730"/>
      <c r="L633" s="509"/>
      <c r="M633" s="509"/>
      <c r="N633" s="509"/>
      <c r="O633" s="509"/>
      <c r="P633" s="509"/>
      <c r="Q633" s="509"/>
      <c r="R633" s="509"/>
      <c r="S633" s="509"/>
      <c r="T633" s="509"/>
    </row>
    <row r="634" spans="1:20" s="22" customFormat="1" ht="12.75" customHeight="1">
      <c r="A634" s="196"/>
      <c r="B634" s="197"/>
      <c r="C634" s="199"/>
      <c r="D634" s="919"/>
      <c r="E634" s="198"/>
      <c r="F634" s="332"/>
      <c r="G634" s="332"/>
      <c r="H634" s="332"/>
      <c r="I634" s="333"/>
      <c r="J634" s="334"/>
      <c r="K634" s="730"/>
      <c r="L634" s="509"/>
      <c r="M634" s="509"/>
      <c r="N634" s="509"/>
      <c r="O634" s="509"/>
      <c r="P634" s="509"/>
      <c r="Q634" s="509"/>
      <c r="R634" s="509"/>
      <c r="S634" s="509"/>
      <c r="T634" s="509"/>
    </row>
    <row r="635" spans="1:20" s="22" customFormat="1" ht="30.75" customHeight="1">
      <c r="A635" s="196" t="s">
        <v>581</v>
      </c>
      <c r="B635" s="197" t="s">
        <v>582</v>
      </c>
      <c r="C635" s="199" t="s">
        <v>583</v>
      </c>
      <c r="D635" s="919" t="s">
        <v>2759</v>
      </c>
      <c r="E635" s="198" t="s">
        <v>1718</v>
      </c>
      <c r="F635" s="332">
        <v>7</v>
      </c>
      <c r="G635" s="332"/>
      <c r="H635" s="332">
        <f t="shared" si="27"/>
        <v>0</v>
      </c>
      <c r="I635" s="333">
        <v>0.0004</v>
      </c>
      <c r="J635" s="334">
        <f>F635*I635</f>
        <v>0.0028</v>
      </c>
      <c r="K635" s="509"/>
      <c r="L635" s="509"/>
      <c r="M635" s="509"/>
      <c r="N635" s="509"/>
      <c r="O635" s="509"/>
      <c r="P635" s="509"/>
      <c r="Q635" s="509"/>
      <c r="R635" s="509"/>
      <c r="S635" s="509"/>
      <c r="T635" s="509"/>
    </row>
    <row r="636" spans="1:22" s="586" customFormat="1" ht="119.25" customHeight="1">
      <c r="A636" s="591"/>
      <c r="B636" s="592"/>
      <c r="C636" s="731" t="s">
        <v>584</v>
      </c>
      <c r="D636" s="706"/>
      <c r="E636" s="706"/>
      <c r="F636" s="594"/>
      <c r="G636" s="594"/>
      <c r="H636" s="594"/>
      <c r="I636" s="595"/>
      <c r="J636" s="596"/>
      <c r="K636" s="597"/>
      <c r="L636" s="597"/>
      <c r="M636" s="597"/>
      <c r="N636" s="597"/>
      <c r="O636" s="597"/>
      <c r="P636" s="597"/>
      <c r="Q636" s="597"/>
      <c r="R636" s="597"/>
      <c r="S636" s="597"/>
      <c r="T636" s="597"/>
      <c r="U636" s="597"/>
      <c r="V636" s="597"/>
    </row>
    <row r="637" spans="1:20" s="22" customFormat="1" ht="27" customHeight="1">
      <c r="A637" s="196" t="s">
        <v>585</v>
      </c>
      <c r="B637" s="197"/>
      <c r="C637" s="199" t="s">
        <v>586</v>
      </c>
      <c r="D637" s="919" t="s">
        <v>2766</v>
      </c>
      <c r="E637" s="198" t="s">
        <v>1718</v>
      </c>
      <c r="F637" s="332">
        <v>2</v>
      </c>
      <c r="G637" s="332"/>
      <c r="H637" s="332">
        <f t="shared" si="27"/>
        <v>0</v>
      </c>
      <c r="I637" s="333">
        <v>5E-05</v>
      </c>
      <c r="J637" s="334">
        <f>F637*I637</f>
        <v>0.0001</v>
      </c>
      <c r="K637" s="509"/>
      <c r="L637" s="509"/>
      <c r="M637" s="509"/>
      <c r="N637" s="509"/>
      <c r="O637" s="509"/>
      <c r="P637" s="509"/>
      <c r="Q637" s="509"/>
      <c r="R637" s="509"/>
      <c r="S637" s="509"/>
      <c r="T637" s="509"/>
    </row>
    <row r="638" spans="1:20" s="22" customFormat="1" ht="21" customHeight="1">
      <c r="A638" s="196" t="s">
        <v>587</v>
      </c>
      <c r="B638" s="197"/>
      <c r="C638" s="199" t="s">
        <v>588</v>
      </c>
      <c r="D638" s="919" t="s">
        <v>2766</v>
      </c>
      <c r="E638" s="198" t="s">
        <v>1718</v>
      </c>
      <c r="F638" s="332">
        <v>2</v>
      </c>
      <c r="G638" s="332"/>
      <c r="H638" s="332">
        <f t="shared" si="27"/>
        <v>0</v>
      </c>
      <c r="I638" s="333">
        <v>0</v>
      </c>
      <c r="J638" s="334">
        <f>F638*I638</f>
        <v>0</v>
      </c>
      <c r="K638" s="509"/>
      <c r="L638" s="509"/>
      <c r="M638" s="509"/>
      <c r="N638" s="509"/>
      <c r="O638" s="509"/>
      <c r="P638" s="509"/>
      <c r="Q638" s="509"/>
      <c r="R638" s="509"/>
      <c r="S638" s="509"/>
      <c r="T638" s="509"/>
    </row>
    <row r="639" spans="1:20" s="22" customFormat="1" ht="30.75" customHeight="1">
      <c r="A639" s="196" t="s">
        <v>589</v>
      </c>
      <c r="B639" s="197"/>
      <c r="C639" s="199" t="s">
        <v>590</v>
      </c>
      <c r="D639" s="919" t="s">
        <v>2766</v>
      </c>
      <c r="E639" s="198" t="s">
        <v>1718</v>
      </c>
      <c r="F639" s="332">
        <v>2</v>
      </c>
      <c r="G639" s="332"/>
      <c r="H639" s="332">
        <f t="shared" si="27"/>
        <v>0</v>
      </c>
      <c r="I639" s="333">
        <v>0.0012</v>
      </c>
      <c r="J639" s="334">
        <f>F639*I639</f>
        <v>0.0024</v>
      </c>
      <c r="K639" s="509"/>
      <c r="L639" s="509"/>
      <c r="M639" s="509"/>
      <c r="N639" s="509"/>
      <c r="O639" s="509"/>
      <c r="P639" s="509"/>
      <c r="Q639" s="509"/>
      <c r="R639" s="509"/>
      <c r="S639" s="509"/>
      <c r="T639" s="509"/>
    </row>
    <row r="640" spans="1:20" s="22" customFormat="1" ht="18.75" customHeight="1">
      <c r="A640" s="196"/>
      <c r="B640" s="197"/>
      <c r="C640" s="199"/>
      <c r="D640" s="919"/>
      <c r="E640" s="198"/>
      <c r="F640" s="332"/>
      <c r="G640" s="332"/>
      <c r="H640" s="332"/>
      <c r="I640" s="333"/>
      <c r="J640" s="334"/>
      <c r="K640" s="509"/>
      <c r="L640" s="509"/>
      <c r="M640" s="509"/>
      <c r="N640" s="509"/>
      <c r="O640" s="509"/>
      <c r="P640" s="509"/>
      <c r="Q640" s="509"/>
      <c r="R640" s="509"/>
      <c r="S640" s="509"/>
      <c r="T640" s="509"/>
    </row>
    <row r="641" spans="1:20" s="22" customFormat="1" ht="18.75" customHeight="1" thickBot="1">
      <c r="A641" s="255" t="s">
        <v>591</v>
      </c>
      <c r="B641" s="256" t="s">
        <v>592</v>
      </c>
      <c r="C641" s="264" t="s">
        <v>593</v>
      </c>
      <c r="D641" s="937"/>
      <c r="E641" s="257" t="s">
        <v>1783</v>
      </c>
      <c r="F641" s="368">
        <f>J614</f>
        <v>0.86499</v>
      </c>
      <c r="G641" s="368"/>
      <c r="H641" s="368">
        <f t="shared" si="27"/>
        <v>0</v>
      </c>
      <c r="I641" s="369">
        <v>0</v>
      </c>
      <c r="J641" s="370">
        <f>F641*I641</f>
        <v>0</v>
      </c>
      <c r="K641" s="509"/>
      <c r="L641" s="509"/>
      <c r="M641" s="509"/>
      <c r="N641" s="509"/>
      <c r="O641" s="509"/>
      <c r="P641" s="509"/>
      <c r="Q641" s="509"/>
      <c r="R641" s="509"/>
      <c r="S641" s="509"/>
      <c r="T641" s="509"/>
    </row>
    <row r="642" spans="1:20" ht="16.5" customHeight="1" thickBot="1">
      <c r="A642" s="266" t="s">
        <v>1657</v>
      </c>
      <c r="B642" s="175" t="s">
        <v>594</v>
      </c>
      <c r="C642" s="176" t="s">
        <v>595</v>
      </c>
      <c r="D642" s="175"/>
      <c r="E642" s="175"/>
      <c r="F642" s="341"/>
      <c r="G642" s="341"/>
      <c r="H642" s="342">
        <f>SUM(H643:H661)</f>
        <v>0</v>
      </c>
      <c r="I642" s="343"/>
      <c r="J642" s="344">
        <f>SUM(J643:J661)</f>
        <v>0</v>
      </c>
      <c r="K642" s="670"/>
      <c r="L642" s="670"/>
      <c r="M642" s="670"/>
      <c r="N642" s="670"/>
      <c r="O642" s="670"/>
      <c r="P642" s="670"/>
      <c r="Q642" s="670"/>
      <c r="R642" s="670"/>
      <c r="S642" s="670"/>
      <c r="T642" s="670"/>
    </row>
    <row r="643" spans="1:22" s="152" customFormat="1" ht="12.75">
      <c r="A643" s="146"/>
      <c r="B643" s="732"/>
      <c r="C643" s="147"/>
      <c r="D643" s="942"/>
      <c r="E643" s="148"/>
      <c r="F643" s="282"/>
      <c r="G643" s="282"/>
      <c r="H643" s="385"/>
      <c r="I643" s="304"/>
      <c r="J643" s="386"/>
      <c r="K643" s="149"/>
      <c r="L643" s="149"/>
      <c r="M643" s="150"/>
      <c r="N643" s="733"/>
      <c r="O643" s="151"/>
      <c r="P643" s="151"/>
      <c r="Q643" s="151"/>
      <c r="R643" s="151"/>
      <c r="S643" s="151"/>
      <c r="T643" s="151"/>
      <c r="U643" s="151"/>
      <c r="V643" s="151"/>
    </row>
    <row r="644" spans="1:20" s="288" customFormat="1" ht="24">
      <c r="A644" s="196" t="s">
        <v>596</v>
      </c>
      <c r="B644" s="285" t="s">
        <v>597</v>
      </c>
      <c r="C644" s="286" t="s">
        <v>598</v>
      </c>
      <c r="D644" s="910" t="s">
        <v>2759</v>
      </c>
      <c r="E644" s="287" t="s">
        <v>1748</v>
      </c>
      <c r="F644" s="734">
        <v>3.2</v>
      </c>
      <c r="G644" s="387"/>
      <c r="H644" s="332">
        <f>F644*G644</f>
        <v>0</v>
      </c>
      <c r="I644" s="388"/>
      <c r="J644" s="334">
        <f>F644*I644</f>
        <v>0</v>
      </c>
      <c r="K644" s="143"/>
      <c r="L644" s="143"/>
      <c r="M644" s="143"/>
      <c r="N644" s="735"/>
      <c r="O644" s="693"/>
      <c r="P644" s="144"/>
      <c r="Q644" s="144"/>
      <c r="R644" s="144"/>
      <c r="S644" s="144"/>
      <c r="T644" s="144"/>
    </row>
    <row r="645" spans="1:22" s="294" customFormat="1" ht="12.75">
      <c r="A645" s="289"/>
      <c r="B645" s="285"/>
      <c r="C645" s="290"/>
      <c r="D645" s="943"/>
      <c r="E645" s="283"/>
      <c r="F645" s="291"/>
      <c r="G645" s="291"/>
      <c r="H645" s="292"/>
      <c r="I645" s="292"/>
      <c r="J645" s="389"/>
      <c r="K645" s="143"/>
      <c r="L645" s="143"/>
      <c r="M645" s="735"/>
      <c r="N645" s="693"/>
      <c r="O645" s="293"/>
      <c r="P645" s="293"/>
      <c r="Q645" s="293"/>
      <c r="R645" s="293"/>
      <c r="S645" s="293"/>
      <c r="T645" s="293"/>
      <c r="U645" s="293"/>
      <c r="V645" s="293"/>
    </row>
    <row r="646" spans="1:57" s="288" customFormat="1" ht="24">
      <c r="A646" s="196" t="s">
        <v>599</v>
      </c>
      <c r="B646" s="285" t="s">
        <v>600</v>
      </c>
      <c r="C646" s="286" t="s">
        <v>601</v>
      </c>
      <c r="D646" s="910" t="s">
        <v>2759</v>
      </c>
      <c r="E646" s="287" t="s">
        <v>1748</v>
      </c>
      <c r="F646" s="734">
        <v>3.2</v>
      </c>
      <c r="G646" s="387"/>
      <c r="H646" s="332">
        <f>F646*G646</f>
        <v>0</v>
      </c>
      <c r="I646" s="388"/>
      <c r="J646" s="334">
        <f>F646*I646</f>
        <v>0</v>
      </c>
      <c r="K646" s="143"/>
      <c r="L646" s="143"/>
      <c r="M646" s="143"/>
      <c r="N646" s="735"/>
      <c r="O646" s="693"/>
      <c r="P646" s="144"/>
      <c r="Q646" s="144"/>
      <c r="R646" s="144"/>
      <c r="S646" s="144"/>
      <c r="T646" s="144"/>
      <c r="Y646" s="288">
        <v>12</v>
      </c>
      <c r="Z646" s="288">
        <v>0</v>
      </c>
      <c r="AA646" s="288">
        <v>92</v>
      </c>
      <c r="AZ646" s="288">
        <v>2</v>
      </c>
      <c r="BA646" s="288">
        <f>IF(AZ646=1,H646,0)</f>
        <v>0</v>
      </c>
      <c r="BB646" s="288">
        <f>IF(AZ646=2,H646,0)</f>
        <v>0</v>
      </c>
      <c r="BC646" s="288">
        <f>IF(AZ646=3,H646,0)</f>
        <v>0</v>
      </c>
      <c r="BD646" s="288">
        <f>IF(AZ646=4,H646,0)</f>
        <v>0</v>
      </c>
      <c r="BE646" s="288">
        <f>IF(AZ646=5,H646,0)</f>
        <v>0</v>
      </c>
    </row>
    <row r="647" spans="1:60" s="288" customFormat="1" ht="24">
      <c r="A647" s="196" t="s">
        <v>602</v>
      </c>
      <c r="B647" s="285" t="s">
        <v>603</v>
      </c>
      <c r="C647" s="286" t="s">
        <v>604</v>
      </c>
      <c r="D647" s="910"/>
      <c r="E647" s="287" t="s">
        <v>1748</v>
      </c>
      <c r="F647" s="734">
        <v>3.2</v>
      </c>
      <c r="G647" s="387"/>
      <c r="H647" s="332">
        <f aca="true" t="shared" si="28" ref="H647:H658">F647*G647</f>
        <v>0</v>
      </c>
      <c r="I647" s="388"/>
      <c r="J647" s="334">
        <f>F647*I647</f>
        <v>0</v>
      </c>
      <c r="K647" s="143"/>
      <c r="L647" s="143"/>
      <c r="M647" s="143"/>
      <c r="N647" s="735"/>
      <c r="O647" s="693"/>
      <c r="P647" s="144"/>
      <c r="Q647" s="144"/>
      <c r="R647" s="144"/>
      <c r="S647" s="144"/>
      <c r="T647" s="144"/>
      <c r="AB647" s="288">
        <v>12</v>
      </c>
      <c r="AC647" s="288">
        <v>0</v>
      </c>
      <c r="AD647" s="288">
        <v>71</v>
      </c>
      <c r="BC647" s="288">
        <v>2</v>
      </c>
      <c r="BD647" s="288">
        <f>IF(BC647=1,H647,0)</f>
        <v>0</v>
      </c>
      <c r="BE647" s="288">
        <f>IF(BC647=2,H647,0)</f>
        <v>0</v>
      </c>
      <c r="BF647" s="288">
        <f>IF(BC647=3,H647,0)</f>
        <v>0</v>
      </c>
      <c r="BG647" s="288">
        <f>IF(BC647=4,H647,0)</f>
        <v>0</v>
      </c>
      <c r="BH647" s="288">
        <f>IF(BC647=5,H647,0)</f>
        <v>0</v>
      </c>
    </row>
    <row r="648" spans="1:20" s="299" customFormat="1" ht="14.25" customHeight="1">
      <c r="A648" s="295"/>
      <c r="B648" s="296"/>
      <c r="C648" s="297"/>
      <c r="D648" s="944"/>
      <c r="E648" s="298"/>
      <c r="F648" s="141"/>
      <c r="G648" s="141"/>
      <c r="H648" s="141"/>
      <c r="I648" s="390"/>
      <c r="J648" s="391"/>
      <c r="K648" s="736"/>
      <c r="L648" s="736"/>
      <c r="M648" s="736"/>
      <c r="N648" s="737"/>
      <c r="O648" s="580"/>
      <c r="P648" s="580"/>
      <c r="Q648" s="580"/>
      <c r="R648" s="580"/>
      <c r="S648" s="580"/>
      <c r="T648" s="580"/>
    </row>
    <row r="649" spans="1:61" s="300" customFormat="1" ht="20.25" customHeight="1">
      <c r="A649" s="738" t="s">
        <v>605</v>
      </c>
      <c r="B649" s="739" t="s">
        <v>606</v>
      </c>
      <c r="C649" s="740" t="s">
        <v>607</v>
      </c>
      <c r="D649" s="913" t="s">
        <v>2759</v>
      </c>
      <c r="E649" s="741" t="s">
        <v>1748</v>
      </c>
      <c r="F649" s="742">
        <v>3.9</v>
      </c>
      <c r="G649" s="742"/>
      <c r="H649" s="742">
        <f t="shared" si="28"/>
        <v>0</v>
      </c>
      <c r="I649" s="392"/>
      <c r="J649" s="393"/>
      <c r="K649" s="743"/>
      <c r="L649" s="743"/>
      <c r="M649" s="744"/>
      <c r="N649" s="744">
        <v>2</v>
      </c>
      <c r="O649" s="744"/>
      <c r="P649" s="744"/>
      <c r="Q649" s="744"/>
      <c r="R649" s="744"/>
      <c r="S649" s="745"/>
      <c r="T649" s="745"/>
      <c r="U649" s="746"/>
      <c r="V649" s="746"/>
      <c r="W649" s="746"/>
      <c r="X649" s="746">
        <v>12</v>
      </c>
      <c r="Y649" s="746">
        <v>0</v>
      </c>
      <c r="Z649" s="746">
        <v>200</v>
      </c>
      <c r="AA649" s="746"/>
      <c r="AB649" s="746"/>
      <c r="AC649" s="746"/>
      <c r="AD649" s="746"/>
      <c r="AE649" s="746"/>
      <c r="AF649" s="746"/>
      <c r="AG649" s="746"/>
      <c r="AH649" s="746"/>
      <c r="AI649" s="746"/>
      <c r="AJ649" s="746"/>
      <c r="AK649" s="746"/>
      <c r="AL649" s="746"/>
      <c r="AM649" s="746"/>
      <c r="AN649" s="746"/>
      <c r="AO649" s="746"/>
      <c r="AP649" s="746"/>
      <c r="AQ649" s="746"/>
      <c r="AR649" s="746"/>
      <c r="AS649" s="746"/>
      <c r="AT649" s="746"/>
      <c r="AU649" s="746"/>
      <c r="AV649" s="746"/>
      <c r="AW649" s="746"/>
      <c r="AX649" s="746"/>
      <c r="AY649" s="746">
        <v>2</v>
      </c>
      <c r="AZ649" s="746">
        <f>IF(AY649=1,H649,0)</f>
        <v>0</v>
      </c>
      <c r="BA649" s="746">
        <f>IF(AY649=2,H649,0)</f>
        <v>0</v>
      </c>
      <c r="BB649" s="746">
        <f>IF(AY649=3,H649,0)</f>
        <v>0</v>
      </c>
      <c r="BC649" s="746">
        <f>IF(AY649=4,H649,0)</f>
        <v>0</v>
      </c>
      <c r="BD649" s="746">
        <f>IF(AY649=5,H649,0)</f>
        <v>0</v>
      </c>
      <c r="BE649" s="746"/>
      <c r="BF649" s="746"/>
      <c r="BG649" s="746"/>
      <c r="BH649" s="746"/>
      <c r="BI649" s="746"/>
    </row>
    <row r="650" spans="1:20" s="299" customFormat="1" ht="15" customHeight="1">
      <c r="A650" s="295"/>
      <c r="B650" s="296"/>
      <c r="C650" s="297"/>
      <c r="D650" s="944"/>
      <c r="E650" s="298"/>
      <c r="F650" s="141"/>
      <c r="G650" s="141"/>
      <c r="H650" s="141"/>
      <c r="I650" s="390"/>
      <c r="J650" s="391"/>
      <c r="K650" s="736"/>
      <c r="L650" s="736"/>
      <c r="M650" s="736"/>
      <c r="N650" s="737"/>
      <c r="O650" s="580"/>
      <c r="P650" s="580"/>
      <c r="Q650" s="580"/>
      <c r="R650" s="580"/>
      <c r="S650" s="580"/>
      <c r="T650" s="580"/>
    </row>
    <row r="651" spans="1:61" s="300" customFormat="1" ht="26.25" customHeight="1">
      <c r="A651" s="738" t="s">
        <v>608</v>
      </c>
      <c r="B651" s="739" t="s">
        <v>609</v>
      </c>
      <c r="C651" s="740" t="s">
        <v>610</v>
      </c>
      <c r="D651" s="913" t="s">
        <v>2759</v>
      </c>
      <c r="E651" s="741" t="s">
        <v>1748</v>
      </c>
      <c r="F651" s="742">
        <f>F649*1.05</f>
        <v>4.095</v>
      </c>
      <c r="G651" s="742"/>
      <c r="H651" s="742">
        <f t="shared" si="28"/>
        <v>0</v>
      </c>
      <c r="I651" s="392"/>
      <c r="J651" s="393"/>
      <c r="K651" s="743"/>
      <c r="L651" s="743"/>
      <c r="M651" s="744"/>
      <c r="N651" s="744">
        <v>2</v>
      </c>
      <c r="O651" s="744"/>
      <c r="P651" s="744"/>
      <c r="Q651" s="744"/>
      <c r="R651" s="744"/>
      <c r="S651" s="745"/>
      <c r="T651" s="745"/>
      <c r="U651" s="746"/>
      <c r="V651" s="746"/>
      <c r="W651" s="746"/>
      <c r="X651" s="746">
        <v>12</v>
      </c>
      <c r="Y651" s="746">
        <v>1</v>
      </c>
      <c r="Z651" s="746">
        <v>201</v>
      </c>
      <c r="AA651" s="746"/>
      <c r="AB651" s="746"/>
      <c r="AC651" s="746"/>
      <c r="AD651" s="746"/>
      <c r="AE651" s="746"/>
      <c r="AF651" s="746"/>
      <c r="AG651" s="746"/>
      <c r="AH651" s="746"/>
      <c r="AI651" s="746"/>
      <c r="AJ651" s="746"/>
      <c r="AK651" s="746"/>
      <c r="AL651" s="746"/>
      <c r="AM651" s="746"/>
      <c r="AN651" s="746"/>
      <c r="AO651" s="746"/>
      <c r="AP651" s="746"/>
      <c r="AQ651" s="746"/>
      <c r="AR651" s="746"/>
      <c r="AS651" s="746"/>
      <c r="AT651" s="746"/>
      <c r="AU651" s="746"/>
      <c r="AV651" s="746"/>
      <c r="AW651" s="746"/>
      <c r="AX651" s="746"/>
      <c r="AY651" s="746">
        <v>2</v>
      </c>
      <c r="AZ651" s="746">
        <f>IF(AY651=1,H651,0)</f>
        <v>0</v>
      </c>
      <c r="BA651" s="746">
        <f>IF(AY651=2,H651,0)</f>
        <v>0</v>
      </c>
      <c r="BB651" s="746">
        <f>IF(AY651=3,H651,0)</f>
        <v>0</v>
      </c>
      <c r="BC651" s="746">
        <f>IF(AY651=4,H651,0)</f>
        <v>0</v>
      </c>
      <c r="BD651" s="746">
        <f>IF(AY651=5,H651,0)</f>
        <v>0</v>
      </c>
      <c r="BE651" s="746"/>
      <c r="BF651" s="746"/>
      <c r="BG651" s="746"/>
      <c r="BH651" s="746"/>
      <c r="BI651" s="746"/>
    </row>
    <row r="652" spans="1:20" s="299" customFormat="1" ht="13.5" customHeight="1">
      <c r="A652" s="295"/>
      <c r="B652" s="296"/>
      <c r="C652" s="297"/>
      <c r="D652" s="944"/>
      <c r="E652" s="298"/>
      <c r="F652" s="141"/>
      <c r="G652" s="141"/>
      <c r="H652" s="141"/>
      <c r="I652" s="390"/>
      <c r="J652" s="391"/>
      <c r="K652" s="736"/>
      <c r="L652" s="736"/>
      <c r="M652" s="736"/>
      <c r="N652" s="737"/>
      <c r="O652" s="580"/>
      <c r="P652" s="580"/>
      <c r="Q652" s="580"/>
      <c r="R652" s="580"/>
      <c r="S652" s="580"/>
      <c r="T652" s="580"/>
    </row>
    <row r="653" spans="1:61" s="300" customFormat="1" ht="20.25" customHeight="1">
      <c r="A653" s="738" t="s">
        <v>611</v>
      </c>
      <c r="B653" s="739" t="s">
        <v>612</v>
      </c>
      <c r="C653" s="740" t="s">
        <v>613</v>
      </c>
      <c r="D653" s="913" t="s">
        <v>2759</v>
      </c>
      <c r="E653" s="741" t="s">
        <v>1826</v>
      </c>
      <c r="F653" s="742">
        <f>E654</f>
        <v>3.3000000000000007</v>
      </c>
      <c r="G653" s="742"/>
      <c r="H653" s="742">
        <f t="shared" si="28"/>
        <v>0</v>
      </c>
      <c r="I653" s="392"/>
      <c r="J653" s="393"/>
      <c r="K653" s="743"/>
      <c r="L653" s="743"/>
      <c r="M653" s="744"/>
      <c r="N653" s="744">
        <v>2</v>
      </c>
      <c r="O653" s="744"/>
      <c r="P653" s="744"/>
      <c r="Q653" s="744"/>
      <c r="R653" s="744"/>
      <c r="S653" s="745"/>
      <c r="T653" s="745"/>
      <c r="U653" s="746"/>
      <c r="V653" s="746"/>
      <c r="W653" s="746"/>
      <c r="X653" s="746">
        <v>12</v>
      </c>
      <c r="Y653" s="746">
        <v>0</v>
      </c>
      <c r="Z653" s="746">
        <v>202</v>
      </c>
      <c r="AA653" s="746"/>
      <c r="AB653" s="746"/>
      <c r="AC653" s="746"/>
      <c r="AD653" s="746"/>
      <c r="AE653" s="746"/>
      <c r="AF653" s="746"/>
      <c r="AG653" s="746"/>
      <c r="AH653" s="746"/>
      <c r="AI653" s="746"/>
      <c r="AJ653" s="746"/>
      <c r="AK653" s="746"/>
      <c r="AL653" s="746"/>
      <c r="AM653" s="746"/>
      <c r="AN653" s="746"/>
      <c r="AO653" s="746"/>
      <c r="AP653" s="746"/>
      <c r="AQ653" s="746"/>
      <c r="AR653" s="746"/>
      <c r="AS653" s="746"/>
      <c r="AT653" s="746"/>
      <c r="AU653" s="746"/>
      <c r="AV653" s="746"/>
      <c r="AW653" s="746"/>
      <c r="AX653" s="746"/>
      <c r="AY653" s="746">
        <v>2</v>
      </c>
      <c r="AZ653" s="746">
        <f>IF(AY653=1,H653,0)</f>
        <v>0</v>
      </c>
      <c r="BA653" s="746">
        <f>IF(AY653=2,H653,0)</f>
        <v>0</v>
      </c>
      <c r="BB653" s="746">
        <f>IF(AY653=3,H653,0)</f>
        <v>0</v>
      </c>
      <c r="BC653" s="746">
        <f>IF(AY653=4,H653,0)</f>
        <v>0</v>
      </c>
      <c r="BD653" s="746">
        <f>IF(AY653=5,H653,0)</f>
        <v>0</v>
      </c>
      <c r="BE653" s="746"/>
      <c r="BF653" s="746"/>
      <c r="BG653" s="746"/>
      <c r="BH653" s="746"/>
      <c r="BI653" s="746"/>
    </row>
    <row r="654" spans="1:20" s="299" customFormat="1" ht="19.5" customHeight="1">
      <c r="A654" s="295"/>
      <c r="B654" s="296"/>
      <c r="C654" s="297" t="s">
        <v>614</v>
      </c>
      <c r="D654" s="944"/>
      <c r="E654" s="298">
        <f>8.8-2.2-3.3</f>
        <v>3.3000000000000007</v>
      </c>
      <c r="F654" s="141"/>
      <c r="G654" s="141"/>
      <c r="H654" s="141"/>
      <c r="I654" s="390"/>
      <c r="J654" s="391"/>
      <c r="K654" s="736"/>
      <c r="L654" s="736"/>
      <c r="M654" s="736"/>
      <c r="N654" s="737"/>
      <c r="O654" s="580"/>
      <c r="P654" s="580"/>
      <c r="Q654" s="580"/>
      <c r="R654" s="580"/>
      <c r="S654" s="580"/>
      <c r="T654" s="580"/>
    </row>
    <row r="655" spans="1:61" s="300" customFormat="1" ht="29.25" customHeight="1">
      <c r="A655" s="738" t="s">
        <v>615</v>
      </c>
      <c r="B655" s="739" t="s">
        <v>616</v>
      </c>
      <c r="C655" s="740" t="s">
        <v>617</v>
      </c>
      <c r="D655" s="913" t="s">
        <v>2759</v>
      </c>
      <c r="E655" s="741" t="s">
        <v>1718</v>
      </c>
      <c r="F655" s="742">
        <v>13</v>
      </c>
      <c r="G655" s="742"/>
      <c r="H655" s="742">
        <f t="shared" si="28"/>
        <v>0</v>
      </c>
      <c r="I655" s="392"/>
      <c r="J655" s="393"/>
      <c r="K655" s="743"/>
      <c r="L655" s="743"/>
      <c r="M655" s="744"/>
      <c r="N655" s="744">
        <v>2</v>
      </c>
      <c r="O655" s="744"/>
      <c r="P655" s="744"/>
      <c r="Q655" s="744"/>
      <c r="R655" s="744"/>
      <c r="S655" s="745"/>
      <c r="T655" s="745"/>
      <c r="U655" s="746"/>
      <c r="V655" s="746"/>
      <c r="W655" s="746"/>
      <c r="X655" s="746">
        <v>12</v>
      </c>
      <c r="Y655" s="746">
        <v>1</v>
      </c>
      <c r="Z655" s="746">
        <v>203</v>
      </c>
      <c r="AA655" s="746"/>
      <c r="AB655" s="746"/>
      <c r="AC655" s="746"/>
      <c r="AD655" s="746"/>
      <c r="AE655" s="746"/>
      <c r="AF655" s="746"/>
      <c r="AG655" s="746"/>
      <c r="AH655" s="746"/>
      <c r="AI655" s="746"/>
      <c r="AJ655" s="746"/>
      <c r="AK655" s="746"/>
      <c r="AL655" s="746"/>
      <c r="AM655" s="746"/>
      <c r="AN655" s="746"/>
      <c r="AO655" s="746"/>
      <c r="AP655" s="746"/>
      <c r="AQ655" s="746"/>
      <c r="AR655" s="746"/>
      <c r="AS655" s="746"/>
      <c r="AT655" s="746"/>
      <c r="AU655" s="746"/>
      <c r="AV655" s="746"/>
      <c r="AW655" s="746"/>
      <c r="AX655" s="746"/>
      <c r="AY655" s="746">
        <v>2</v>
      </c>
      <c r="AZ655" s="746">
        <f>IF(AY655=1,H655,0)</f>
        <v>0</v>
      </c>
      <c r="BA655" s="746">
        <f>IF(AY655=2,H655,0)</f>
        <v>0</v>
      </c>
      <c r="BB655" s="746">
        <f>IF(AY655=3,H655,0)</f>
        <v>0</v>
      </c>
      <c r="BC655" s="746">
        <f>IF(AY655=4,H655,0)</f>
        <v>0</v>
      </c>
      <c r="BD655" s="746">
        <f>IF(AY655=5,H655,0)</f>
        <v>0</v>
      </c>
      <c r="BE655" s="746"/>
      <c r="BF655" s="746"/>
      <c r="BG655" s="746"/>
      <c r="BH655" s="746"/>
      <c r="BI655" s="746"/>
    </row>
    <row r="656" spans="1:20" s="299" customFormat="1" ht="19.5" customHeight="1">
      <c r="A656" s="295"/>
      <c r="B656" s="296"/>
      <c r="C656" s="297"/>
      <c r="D656" s="944"/>
      <c r="E656" s="298"/>
      <c r="F656" s="141"/>
      <c r="G656" s="141"/>
      <c r="H656" s="141"/>
      <c r="I656" s="390"/>
      <c r="J656" s="391"/>
      <c r="K656" s="736"/>
      <c r="L656" s="736"/>
      <c r="M656" s="736"/>
      <c r="N656" s="737"/>
      <c r="O656" s="580"/>
      <c r="P656" s="580"/>
      <c r="Q656" s="580"/>
      <c r="R656" s="580"/>
      <c r="S656" s="580"/>
      <c r="T656" s="580"/>
    </row>
    <row r="657" spans="1:61" s="300" customFormat="1" ht="20.25" customHeight="1">
      <c r="A657" s="738" t="s">
        <v>618</v>
      </c>
      <c r="B657" s="739" t="s">
        <v>619</v>
      </c>
      <c r="C657" s="740" t="s">
        <v>620</v>
      </c>
      <c r="D657" s="913"/>
      <c r="E657" s="741" t="s">
        <v>1748</v>
      </c>
      <c r="F657" s="734">
        <v>3.2</v>
      </c>
      <c r="G657" s="742"/>
      <c r="H657" s="742">
        <f t="shared" si="28"/>
        <v>0</v>
      </c>
      <c r="I657" s="747"/>
      <c r="J657" s="748">
        <v>0</v>
      </c>
      <c r="K657" s="743"/>
      <c r="L657" s="743"/>
      <c r="M657" s="744"/>
      <c r="N657" s="744"/>
      <c r="O657" s="744"/>
      <c r="P657" s="744"/>
      <c r="Q657" s="744"/>
      <c r="R657" s="744"/>
      <c r="S657" s="745"/>
      <c r="T657" s="745"/>
      <c r="U657" s="746"/>
      <c r="V657" s="746"/>
      <c r="W657" s="746"/>
      <c r="X657" s="746"/>
      <c r="Y657" s="746"/>
      <c r="Z657" s="746"/>
      <c r="AA657" s="746"/>
      <c r="AB657" s="746"/>
      <c r="AC657" s="746">
        <v>12</v>
      </c>
      <c r="AD657" s="746">
        <v>0</v>
      </c>
      <c r="AE657" s="746">
        <v>58</v>
      </c>
      <c r="AF657" s="746"/>
      <c r="AG657" s="746"/>
      <c r="AH657" s="746"/>
      <c r="AI657" s="746"/>
      <c r="AJ657" s="746"/>
      <c r="AK657" s="746"/>
      <c r="AL657" s="746"/>
      <c r="AM657" s="746"/>
      <c r="AN657" s="746"/>
      <c r="AO657" s="746"/>
      <c r="AP657" s="746"/>
      <c r="AQ657" s="746"/>
      <c r="AR657" s="746"/>
      <c r="AS657" s="746"/>
      <c r="AT657" s="746"/>
      <c r="AU657" s="746"/>
      <c r="AV657" s="746"/>
      <c r="AW657" s="746"/>
      <c r="AX657" s="746"/>
      <c r="AY657" s="746"/>
      <c r="AZ657" s="746"/>
      <c r="BA657" s="746"/>
      <c r="BB657" s="746"/>
      <c r="BC657" s="746"/>
      <c r="BD657" s="746">
        <v>2</v>
      </c>
      <c r="BE657" s="746">
        <f>IF(BD657=1,H657,0)</f>
        <v>0</v>
      </c>
      <c r="BF657" s="746">
        <f>IF(BD657=2,H657,0)</f>
        <v>0</v>
      </c>
      <c r="BG657" s="746">
        <f>IF(BD657=3,H657,0)</f>
        <v>0</v>
      </c>
      <c r="BH657" s="746">
        <f>IF(BD657=4,H657,0)</f>
        <v>0</v>
      </c>
      <c r="BI657" s="746">
        <f>IF(BD657=5,H657,0)</f>
        <v>0</v>
      </c>
    </row>
    <row r="658" spans="1:61" s="300" customFormat="1" ht="20.25" customHeight="1">
      <c r="A658" s="738" t="s">
        <v>621</v>
      </c>
      <c r="B658" s="739" t="s">
        <v>622</v>
      </c>
      <c r="C658" s="740" t="s">
        <v>623</v>
      </c>
      <c r="D658" s="913" t="s">
        <v>2759</v>
      </c>
      <c r="E658" s="741" t="s">
        <v>624</v>
      </c>
      <c r="F658" s="734">
        <v>2.2</v>
      </c>
      <c r="G658" s="742"/>
      <c r="H658" s="742">
        <f t="shared" si="28"/>
        <v>0</v>
      </c>
      <c r="I658" s="747"/>
      <c r="J658" s="748">
        <v>0</v>
      </c>
      <c r="K658" s="743"/>
      <c r="L658" s="743"/>
      <c r="M658" s="744"/>
      <c r="N658" s="744"/>
      <c r="O658" s="744"/>
      <c r="P658" s="744"/>
      <c r="Q658" s="744"/>
      <c r="R658" s="744"/>
      <c r="S658" s="745"/>
      <c r="T658" s="745"/>
      <c r="U658" s="746"/>
      <c r="V658" s="746"/>
      <c r="W658" s="746"/>
      <c r="X658" s="746"/>
      <c r="Y658" s="746"/>
      <c r="Z658" s="746"/>
      <c r="AA658" s="746"/>
      <c r="AB658" s="746"/>
      <c r="AC658" s="746"/>
      <c r="AD658" s="746"/>
      <c r="AE658" s="746"/>
      <c r="AF658" s="746"/>
      <c r="AG658" s="746"/>
      <c r="AH658" s="746"/>
      <c r="AI658" s="746"/>
      <c r="AJ658" s="746"/>
      <c r="AK658" s="746"/>
      <c r="AL658" s="746"/>
      <c r="AM658" s="746"/>
      <c r="AN658" s="746"/>
      <c r="AO658" s="746"/>
      <c r="AP658" s="746"/>
      <c r="AQ658" s="746"/>
      <c r="AR658" s="746"/>
      <c r="AS658" s="746"/>
      <c r="AT658" s="746"/>
      <c r="AU658" s="746"/>
      <c r="AV658" s="746"/>
      <c r="AW658" s="746"/>
      <c r="AX658" s="746"/>
      <c r="AY658" s="746"/>
      <c r="AZ658" s="746"/>
      <c r="BA658" s="746"/>
      <c r="BB658" s="746"/>
      <c r="BC658" s="746"/>
      <c r="BD658" s="746"/>
      <c r="BE658" s="746"/>
      <c r="BF658" s="746"/>
      <c r="BG658" s="746"/>
      <c r="BH658" s="746"/>
      <c r="BI658" s="746"/>
    </row>
    <row r="659" spans="1:20" s="142" customFormat="1" ht="16.5" customHeight="1">
      <c r="A659" s="153"/>
      <c r="B659" s="154"/>
      <c r="C659" s="155"/>
      <c r="D659" s="945"/>
      <c r="E659" s="155"/>
      <c r="F659" s="141"/>
      <c r="G659" s="141"/>
      <c r="H659" s="141"/>
      <c r="I659" s="394"/>
      <c r="J659" s="395"/>
      <c r="K659" s="749"/>
      <c r="L659" s="749"/>
      <c r="M659" s="749"/>
      <c r="N659" s="749"/>
      <c r="O659" s="750"/>
      <c r="P659" s="750"/>
      <c r="Q659" s="750"/>
      <c r="R659" s="750"/>
      <c r="S659" s="215"/>
      <c r="T659" s="215"/>
    </row>
    <row r="660" spans="1:60" s="145" customFormat="1" ht="17.25" customHeight="1">
      <c r="A660" s="196" t="s">
        <v>625</v>
      </c>
      <c r="B660" s="285" t="s">
        <v>626</v>
      </c>
      <c r="C660" s="286" t="s">
        <v>627</v>
      </c>
      <c r="D660" s="910"/>
      <c r="E660" s="287" t="s">
        <v>1665</v>
      </c>
      <c r="F660" s="387">
        <f>SUM(H644:H659)*0.01</f>
        <v>0</v>
      </c>
      <c r="G660" s="387"/>
      <c r="H660" s="387">
        <f>F660*G660</f>
        <v>0</v>
      </c>
      <c r="I660" s="292">
        <v>0</v>
      </c>
      <c r="J660" s="389">
        <f>F660*I660</f>
        <v>0</v>
      </c>
      <c r="K660" s="143"/>
      <c r="L660" s="143"/>
      <c r="M660" s="143"/>
      <c r="N660" s="144"/>
      <c r="O660" s="144"/>
      <c r="P660" s="144"/>
      <c r="Q660" s="144"/>
      <c r="R660" s="144"/>
      <c r="S660" s="144"/>
      <c r="T660" s="144"/>
      <c r="U660" s="288"/>
      <c r="V660" s="288"/>
      <c r="W660" s="288"/>
      <c r="X660" s="288"/>
      <c r="Y660" s="288"/>
      <c r="Z660" s="288"/>
      <c r="AA660" s="288"/>
      <c r="AB660" s="288">
        <v>12</v>
      </c>
      <c r="AC660" s="288">
        <v>0</v>
      </c>
      <c r="AD660" s="288">
        <v>70</v>
      </c>
      <c r="AE660" s="288"/>
      <c r="AF660" s="288"/>
      <c r="AG660" s="288"/>
      <c r="AH660" s="288"/>
      <c r="AI660" s="288"/>
      <c r="AJ660" s="288"/>
      <c r="AK660" s="288"/>
      <c r="AL660" s="288"/>
      <c r="AM660" s="288"/>
      <c r="AN660" s="288"/>
      <c r="AO660" s="288"/>
      <c r="AP660" s="288"/>
      <c r="AQ660" s="288"/>
      <c r="AR660" s="288"/>
      <c r="AS660" s="288"/>
      <c r="AT660" s="288"/>
      <c r="AU660" s="288"/>
      <c r="AV660" s="288"/>
      <c r="AW660" s="288"/>
      <c r="AX660" s="288"/>
      <c r="AY660" s="288"/>
      <c r="AZ660" s="288"/>
      <c r="BA660" s="288"/>
      <c r="BB660" s="288"/>
      <c r="BC660" s="288">
        <v>2</v>
      </c>
      <c r="BD660" s="288">
        <f>IF(BC660=1,H660,0)</f>
        <v>0</v>
      </c>
      <c r="BE660" s="288">
        <f>IF(BC660=2,H660,0)</f>
        <v>0</v>
      </c>
      <c r="BF660" s="288">
        <f>IF(BC660=3,H660,0)</f>
        <v>0</v>
      </c>
      <c r="BG660" s="288">
        <f>IF(BC660=4,H660,0)</f>
        <v>0</v>
      </c>
      <c r="BH660" s="288">
        <f>IF(BC660=5,H660,0)</f>
        <v>0</v>
      </c>
    </row>
    <row r="661" spans="1:23" s="152" customFormat="1" ht="13.5" thickBot="1">
      <c r="A661" s="156"/>
      <c r="B661" s="751"/>
      <c r="C661" s="157"/>
      <c r="D661" s="946"/>
      <c r="E661" s="158"/>
      <c r="F661" s="396"/>
      <c r="G661" s="284"/>
      <c r="H661" s="284"/>
      <c r="I661" s="397"/>
      <c r="J661" s="398"/>
      <c r="K661" s="149"/>
      <c r="L661" s="149"/>
      <c r="M661" s="149"/>
      <c r="N661" s="150"/>
      <c r="O661" s="733"/>
      <c r="P661" s="151"/>
      <c r="Q661" s="151"/>
      <c r="R661" s="151"/>
      <c r="S661" s="151"/>
      <c r="T661" s="151"/>
      <c r="U661" s="151"/>
      <c r="V661" s="151"/>
      <c r="W661" s="151"/>
    </row>
    <row r="662" spans="1:20" ht="16.5" customHeight="1" thickBot="1">
      <c r="A662" s="266" t="s">
        <v>628</v>
      </c>
      <c r="B662" s="175" t="s">
        <v>629</v>
      </c>
      <c r="C662" s="176" t="s">
        <v>630</v>
      </c>
      <c r="D662" s="175"/>
      <c r="E662" s="175"/>
      <c r="F662" s="341"/>
      <c r="G662" s="341"/>
      <c r="H662" s="342">
        <f>SUM(H663:H704)</f>
        <v>0</v>
      </c>
      <c r="I662" s="343"/>
      <c r="J662" s="344">
        <f>SUM(J663:J703)</f>
        <v>20.218729550000003</v>
      </c>
      <c r="K662" s="670"/>
      <c r="L662" s="670"/>
      <c r="M662" s="670"/>
      <c r="N662" s="670"/>
      <c r="O662" s="670"/>
      <c r="P662" s="670"/>
      <c r="Q662" s="670"/>
      <c r="R662" s="670"/>
      <c r="S662" s="670"/>
      <c r="T662" s="670"/>
    </row>
    <row r="663" spans="1:60" s="129" customFormat="1" ht="17.25" customHeight="1">
      <c r="A663" s="752"/>
      <c r="B663" s="301"/>
      <c r="C663" s="301"/>
      <c r="D663" s="947"/>
      <c r="E663" s="302"/>
      <c r="F663" s="399"/>
      <c r="G663" s="399"/>
      <c r="H663" s="400"/>
      <c r="I663" s="401"/>
      <c r="J663" s="402"/>
      <c r="K663" s="509"/>
      <c r="L663" s="509"/>
      <c r="M663" s="509"/>
      <c r="N663" s="509"/>
      <c r="O663" s="509"/>
      <c r="P663" s="509"/>
      <c r="Q663" s="509"/>
      <c r="R663" s="509"/>
      <c r="S663" s="509"/>
      <c r="T663" s="509"/>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c r="BF663" s="22"/>
      <c r="BG663" s="22"/>
      <c r="BH663" s="22"/>
    </row>
    <row r="664" spans="1:60" s="129" customFormat="1" ht="17.25" customHeight="1">
      <c r="A664" s="196" t="s">
        <v>631</v>
      </c>
      <c r="B664" s="197" t="s">
        <v>632</v>
      </c>
      <c r="C664" s="197" t="s">
        <v>633</v>
      </c>
      <c r="D664" s="919" t="s">
        <v>2763</v>
      </c>
      <c r="E664" s="558" t="s">
        <v>1748</v>
      </c>
      <c r="F664" s="332">
        <f>SUM(E665:E668)</f>
        <v>27.996</v>
      </c>
      <c r="G664" s="332"/>
      <c r="H664" s="332">
        <f>F664*G664</f>
        <v>0</v>
      </c>
      <c r="I664" s="333">
        <v>0</v>
      </c>
      <c r="J664" s="334">
        <f>F664*I664</f>
        <v>0</v>
      </c>
      <c r="K664" s="509"/>
      <c r="L664" s="509"/>
      <c r="M664" s="509"/>
      <c r="N664" s="509"/>
      <c r="O664" s="509"/>
      <c r="P664" s="509"/>
      <c r="Q664" s="509"/>
      <c r="R664" s="509"/>
      <c r="S664" s="509"/>
      <c r="T664" s="509"/>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c r="BF664" s="22"/>
      <c r="BG664" s="22"/>
      <c r="BH664" s="22"/>
    </row>
    <row r="665" spans="1:20" s="130" customFormat="1" ht="18.75" customHeight="1">
      <c r="A665" s="204"/>
      <c r="B665" s="205" t="s">
        <v>634</v>
      </c>
      <c r="C665" s="206" t="s">
        <v>635</v>
      </c>
      <c r="D665" s="948"/>
      <c r="E665" s="260">
        <f>0.6*2</f>
        <v>1.2</v>
      </c>
      <c r="F665" s="335"/>
      <c r="G665" s="335"/>
      <c r="H665" s="335"/>
      <c r="I665" s="336"/>
      <c r="J665" s="337"/>
      <c r="K665" s="508"/>
      <c r="L665" s="508"/>
      <c r="M665" s="508"/>
      <c r="N665" s="508"/>
      <c r="O665" s="508"/>
      <c r="P665" s="508"/>
      <c r="Q665" s="508"/>
      <c r="R665" s="508"/>
      <c r="S665" s="508"/>
      <c r="T665" s="508"/>
    </row>
    <row r="666" spans="1:20" s="130" customFormat="1" ht="18.75" customHeight="1">
      <c r="A666" s="204"/>
      <c r="B666" s="205" t="s">
        <v>1751</v>
      </c>
      <c r="C666" s="206" t="s">
        <v>636</v>
      </c>
      <c r="D666" s="948"/>
      <c r="E666" s="260">
        <f>7.2*2</f>
        <v>14.4</v>
      </c>
      <c r="F666" s="335"/>
      <c r="G666" s="335"/>
      <c r="H666" s="335"/>
      <c r="I666" s="336"/>
      <c r="J666" s="337"/>
      <c r="K666" s="508"/>
      <c r="L666" s="508"/>
      <c r="M666" s="508"/>
      <c r="N666" s="508"/>
      <c r="O666" s="508"/>
      <c r="P666" s="508"/>
      <c r="Q666" s="508"/>
      <c r="R666" s="508"/>
      <c r="S666" s="508"/>
      <c r="T666" s="508"/>
    </row>
    <row r="667" spans="1:20" s="130" customFormat="1" ht="18.75" customHeight="1">
      <c r="A667" s="204"/>
      <c r="B667" s="206" t="s">
        <v>637</v>
      </c>
      <c r="C667" s="206" t="s">
        <v>638</v>
      </c>
      <c r="D667" s="949"/>
      <c r="E667" s="260">
        <f>4*4.5*0.3+3.32*0.3</f>
        <v>6.395999999999999</v>
      </c>
      <c r="F667" s="335"/>
      <c r="G667" s="335"/>
      <c r="H667" s="335"/>
      <c r="I667" s="336"/>
      <c r="J667" s="337"/>
      <c r="K667" s="508"/>
      <c r="L667" s="508"/>
      <c r="M667" s="508"/>
      <c r="N667" s="508"/>
      <c r="O667" s="508"/>
      <c r="P667" s="508"/>
      <c r="Q667" s="508"/>
      <c r="R667" s="508"/>
      <c r="S667" s="508"/>
      <c r="T667" s="508"/>
    </row>
    <row r="668" spans="1:20" s="130" customFormat="1" ht="18.75" customHeight="1">
      <c r="A668" s="204"/>
      <c r="B668" s="206" t="s">
        <v>639</v>
      </c>
      <c r="C668" s="206" t="s">
        <v>640</v>
      </c>
      <c r="D668" s="949"/>
      <c r="E668" s="260">
        <f>4*5*0.3</f>
        <v>6</v>
      </c>
      <c r="F668" s="335"/>
      <c r="G668" s="335"/>
      <c r="H668" s="335"/>
      <c r="I668" s="336"/>
      <c r="J668" s="337"/>
      <c r="K668" s="508"/>
      <c r="L668" s="508"/>
      <c r="M668" s="508"/>
      <c r="N668" s="508"/>
      <c r="O668" s="508"/>
      <c r="P668" s="508"/>
      <c r="Q668" s="508"/>
      <c r="R668" s="508"/>
      <c r="S668" s="508"/>
      <c r="T668" s="508"/>
    </row>
    <row r="669" spans="1:20" s="22" customFormat="1" ht="18.75" customHeight="1">
      <c r="A669" s="196" t="s">
        <v>641</v>
      </c>
      <c r="B669" s="197" t="s">
        <v>642</v>
      </c>
      <c r="C669" s="199" t="s">
        <v>643</v>
      </c>
      <c r="D669" s="919" t="s">
        <v>2763</v>
      </c>
      <c r="E669" s="198" t="s">
        <v>1748</v>
      </c>
      <c r="F669" s="1028">
        <f>SUM(E670:E674)</f>
        <v>52.575</v>
      </c>
      <c r="G669" s="332"/>
      <c r="H669" s="332">
        <f>F669*G669</f>
        <v>0</v>
      </c>
      <c r="I669" s="333">
        <v>0</v>
      </c>
      <c r="J669" s="334">
        <f>F669*I669</f>
        <v>0</v>
      </c>
      <c r="K669" s="509"/>
      <c r="L669" s="509"/>
      <c r="M669" s="509"/>
      <c r="N669" s="509"/>
      <c r="O669" s="509"/>
      <c r="P669" s="509"/>
      <c r="Q669" s="509"/>
      <c r="R669" s="509"/>
      <c r="S669" s="509"/>
      <c r="T669" s="509"/>
    </row>
    <row r="670" spans="1:20" s="130" customFormat="1" ht="18.75" customHeight="1">
      <c r="A670" s="204"/>
      <c r="B670" s="205" t="s">
        <v>634</v>
      </c>
      <c r="C670" s="206" t="s">
        <v>644</v>
      </c>
      <c r="D670" s="948"/>
      <c r="E670" s="260">
        <f>0.6*2+0.05*2.9</f>
        <v>1.345</v>
      </c>
      <c r="F670" s="335"/>
      <c r="G670" s="335"/>
      <c r="H670" s="335"/>
      <c r="I670" s="336"/>
      <c r="J670" s="337"/>
      <c r="K670" s="508"/>
      <c r="L670" s="508"/>
      <c r="M670" s="508"/>
      <c r="N670" s="508"/>
      <c r="O670" s="508"/>
      <c r="P670" s="508"/>
      <c r="Q670" s="508"/>
      <c r="R670" s="508"/>
      <c r="S670" s="508"/>
      <c r="T670" s="508"/>
    </row>
    <row r="671" spans="1:20" s="130" customFormat="1" ht="18.75" customHeight="1">
      <c r="A671" s="204"/>
      <c r="B671" s="205" t="s">
        <v>1751</v>
      </c>
      <c r="C671" s="206" t="s">
        <v>645</v>
      </c>
      <c r="D671" s="948"/>
      <c r="E671" s="260">
        <f>7.2*2+44.2*0.18*2</f>
        <v>30.312</v>
      </c>
      <c r="F671" s="335"/>
      <c r="G671" s="335"/>
      <c r="H671" s="335"/>
      <c r="I671" s="336"/>
      <c r="J671" s="337"/>
      <c r="K671" s="508"/>
      <c r="L671" s="508"/>
      <c r="M671" s="508"/>
      <c r="N671" s="508"/>
      <c r="O671" s="508"/>
      <c r="P671" s="508"/>
      <c r="Q671" s="508"/>
      <c r="R671" s="508"/>
      <c r="S671" s="508"/>
      <c r="T671" s="508"/>
    </row>
    <row r="672" spans="1:10" s="1128" customFormat="1" ht="33.75" customHeight="1">
      <c r="A672" s="1122"/>
      <c r="B672" s="1123" t="s">
        <v>1911</v>
      </c>
      <c r="C672" s="1124" t="s">
        <v>646</v>
      </c>
      <c r="D672" s="1149">
        <f>(16.8+0.8*12+2.2+0.5+2.5+1.2+2.5+0.5+16.8+0.8*12)*(0.3+0.3)</f>
        <v>37.32000000000001</v>
      </c>
      <c r="E672" s="1165" t="s">
        <v>2839</v>
      </c>
      <c r="F672" s="1125"/>
      <c r="G672" s="1125"/>
      <c r="H672" s="1125"/>
      <c r="I672" s="1126"/>
      <c r="J672" s="1127"/>
    </row>
    <row r="673" spans="1:20" s="130" customFormat="1" ht="18.75" customHeight="1">
      <c r="A673" s="204"/>
      <c r="B673" s="206" t="s">
        <v>637</v>
      </c>
      <c r="C673" s="206" t="s">
        <v>647</v>
      </c>
      <c r="D673" s="949"/>
      <c r="E673" s="260">
        <f>4*4.5*0.3+3.32+(4*4.5*0.15+3.32*0.15)</f>
        <v>11.918</v>
      </c>
      <c r="F673" s="335"/>
      <c r="G673" s="335"/>
      <c r="H673" s="335"/>
      <c r="I673" s="336"/>
      <c r="J673" s="337"/>
      <c r="K673" s="508"/>
      <c r="L673" s="508"/>
      <c r="M673" s="508"/>
      <c r="N673" s="508"/>
      <c r="O673" s="508"/>
      <c r="P673" s="508"/>
      <c r="Q673" s="508"/>
      <c r="R673" s="508"/>
      <c r="S673" s="508"/>
      <c r="T673" s="508"/>
    </row>
    <row r="674" spans="1:20" s="130" customFormat="1" ht="18.75" customHeight="1">
      <c r="A674" s="204"/>
      <c r="B674" s="206" t="s">
        <v>639</v>
      </c>
      <c r="C674" s="206" t="s">
        <v>648</v>
      </c>
      <c r="D674" s="949"/>
      <c r="E674" s="260">
        <f>4*5*0.3+4*5*0.15</f>
        <v>9</v>
      </c>
      <c r="F674" s="335"/>
      <c r="G674" s="335"/>
      <c r="H674" s="335"/>
      <c r="I674" s="336"/>
      <c r="J674" s="337"/>
      <c r="K674" s="508"/>
      <c r="L674" s="508"/>
      <c r="M674" s="508"/>
      <c r="N674" s="508"/>
      <c r="O674" s="508"/>
      <c r="P674" s="508"/>
      <c r="Q674" s="508"/>
      <c r="R674" s="508"/>
      <c r="S674" s="508"/>
      <c r="T674" s="508"/>
    </row>
    <row r="675" spans="1:60" s="129" customFormat="1" ht="30.75" customHeight="1">
      <c r="A675" s="196" t="s">
        <v>649</v>
      </c>
      <c r="B675" s="199" t="s">
        <v>650</v>
      </c>
      <c r="C675" s="199" t="s">
        <v>651</v>
      </c>
      <c r="D675" s="919" t="s">
        <v>2763</v>
      </c>
      <c r="E675" s="558" t="s">
        <v>1748</v>
      </c>
      <c r="F675" s="332">
        <f>SUM(E676:E678)</f>
        <v>13.596</v>
      </c>
      <c r="G675" s="332"/>
      <c r="H675" s="332">
        <f>F675*G675</f>
        <v>0</v>
      </c>
      <c r="I675" s="333">
        <v>0.09401</v>
      </c>
      <c r="J675" s="334">
        <f>F675*I675</f>
        <v>1.27815996</v>
      </c>
      <c r="K675" s="509"/>
      <c r="L675" s="509"/>
      <c r="M675" s="509"/>
      <c r="N675" s="509"/>
      <c r="O675" s="509"/>
      <c r="P675" s="509"/>
      <c r="Q675" s="509"/>
      <c r="R675" s="509"/>
      <c r="S675" s="509"/>
      <c r="T675" s="509"/>
      <c r="U675" s="22"/>
      <c r="V675" s="22"/>
      <c r="W675" s="22"/>
      <c r="X675" s="22"/>
      <c r="Y675" s="22"/>
      <c r="Z675" s="22"/>
      <c r="AA675" s="22"/>
      <c r="AB675" s="22"/>
      <c r="AC675" s="22"/>
      <c r="AD675" s="22"/>
      <c r="AE675" s="22"/>
      <c r="AF675" s="22"/>
      <c r="AG675" s="22"/>
      <c r="AH675" s="22"/>
      <c r="AI675" s="22"/>
      <c r="AJ675" s="22"/>
      <c r="AK675" s="22"/>
      <c r="AL675" s="22"/>
      <c r="AM675" s="22"/>
      <c r="AN675" s="22"/>
      <c r="AO675" s="22"/>
      <c r="AP675" s="22"/>
      <c r="AQ675" s="22"/>
      <c r="AR675" s="22"/>
      <c r="AS675" s="22"/>
      <c r="AT675" s="22"/>
      <c r="AU675" s="22"/>
      <c r="AV675" s="22"/>
      <c r="AW675" s="22"/>
      <c r="AX675" s="22"/>
      <c r="AY675" s="22"/>
      <c r="AZ675" s="22"/>
      <c r="BA675" s="22"/>
      <c r="BB675" s="22"/>
      <c r="BC675" s="22"/>
      <c r="BD675" s="22"/>
      <c r="BE675" s="22"/>
      <c r="BF675" s="22"/>
      <c r="BG675" s="22"/>
      <c r="BH675" s="22"/>
    </row>
    <row r="676" spans="1:20" s="130" customFormat="1" ht="18.75" customHeight="1">
      <c r="A676" s="204"/>
      <c r="B676" s="205" t="s">
        <v>634</v>
      </c>
      <c r="C676" s="206" t="s">
        <v>635</v>
      </c>
      <c r="D676" s="948"/>
      <c r="E676" s="260">
        <f>0.6*2</f>
        <v>1.2</v>
      </c>
      <c r="F676" s="335"/>
      <c r="G676" s="335"/>
      <c r="H676" s="335"/>
      <c r="I676" s="336"/>
      <c r="J676" s="337"/>
      <c r="K676" s="508"/>
      <c r="L676" s="508"/>
      <c r="M676" s="508"/>
      <c r="N676" s="508"/>
      <c r="O676" s="508"/>
      <c r="P676" s="508"/>
      <c r="Q676" s="508"/>
      <c r="R676" s="508"/>
      <c r="S676" s="508"/>
      <c r="T676" s="508"/>
    </row>
    <row r="677" spans="1:20" s="130" customFormat="1" ht="18.75" customHeight="1">
      <c r="A677" s="204"/>
      <c r="B677" s="206" t="s">
        <v>637</v>
      </c>
      <c r="C677" s="206" t="s">
        <v>638</v>
      </c>
      <c r="D677" s="949"/>
      <c r="E677" s="260">
        <f>4*4.5*0.3+3.32*0.3</f>
        <v>6.395999999999999</v>
      </c>
      <c r="F677" s="335"/>
      <c r="G677" s="335"/>
      <c r="H677" s="335"/>
      <c r="I677" s="336"/>
      <c r="J677" s="337"/>
      <c r="K677" s="508"/>
      <c r="L677" s="508"/>
      <c r="M677" s="508"/>
      <c r="N677" s="508"/>
      <c r="O677" s="508"/>
      <c r="P677" s="508"/>
      <c r="Q677" s="508"/>
      <c r="R677" s="508"/>
      <c r="S677" s="508"/>
      <c r="T677" s="508"/>
    </row>
    <row r="678" spans="1:20" s="130" customFormat="1" ht="18.75" customHeight="1">
      <c r="A678" s="204"/>
      <c r="B678" s="206" t="s">
        <v>639</v>
      </c>
      <c r="C678" s="206" t="s">
        <v>640</v>
      </c>
      <c r="D678" s="949"/>
      <c r="E678" s="260">
        <f>4*5*0.3</f>
        <v>6</v>
      </c>
      <c r="F678" s="335"/>
      <c r="G678" s="335"/>
      <c r="H678" s="335"/>
      <c r="I678" s="336"/>
      <c r="J678" s="337"/>
      <c r="K678" s="508"/>
      <c r="L678" s="508"/>
      <c r="M678" s="508"/>
      <c r="N678" s="508"/>
      <c r="O678" s="508"/>
      <c r="P678" s="508"/>
      <c r="Q678" s="508"/>
      <c r="R678" s="508"/>
      <c r="S678" s="508"/>
      <c r="T678" s="508"/>
    </row>
    <row r="679" spans="1:20" s="22" customFormat="1" ht="24" customHeight="1">
      <c r="A679" s="196" t="s">
        <v>652</v>
      </c>
      <c r="B679" s="197" t="s">
        <v>653</v>
      </c>
      <c r="C679" s="199" t="s">
        <v>654</v>
      </c>
      <c r="D679" s="919" t="s">
        <v>2763</v>
      </c>
      <c r="E679" s="198" t="s">
        <v>1748</v>
      </c>
      <c r="F679" s="1028">
        <f>SUM(E680:E683)</f>
        <v>26.718</v>
      </c>
      <c r="G679" s="332"/>
      <c r="H679" s="332">
        <f>F679*G679</f>
        <v>0</v>
      </c>
      <c r="I679" s="333">
        <v>0.02214</v>
      </c>
      <c r="J679" s="334">
        <f>F679*I679</f>
        <v>0.59153652</v>
      </c>
      <c r="K679" s="509"/>
      <c r="L679" s="509"/>
      <c r="M679" s="509"/>
      <c r="N679" s="509"/>
      <c r="O679" s="509"/>
      <c r="P679" s="509"/>
      <c r="Q679" s="509"/>
      <c r="R679" s="509"/>
      <c r="S679" s="509"/>
      <c r="T679" s="509"/>
    </row>
    <row r="680" spans="1:20" s="130" customFormat="1" ht="18.75" customHeight="1">
      <c r="A680" s="204"/>
      <c r="B680" s="205" t="s">
        <v>655</v>
      </c>
      <c r="C680" s="206" t="s">
        <v>656</v>
      </c>
      <c r="D680" s="948"/>
      <c r="E680" s="260">
        <f>2.9*2</f>
        <v>5.8</v>
      </c>
      <c r="F680" s="335"/>
      <c r="G680" s="335"/>
      <c r="H680" s="335"/>
      <c r="I680" s="336"/>
      <c r="J680" s="337"/>
      <c r="K680" s="508"/>
      <c r="L680" s="508"/>
      <c r="M680" s="508"/>
      <c r="N680" s="508"/>
      <c r="O680" s="508"/>
      <c r="P680" s="508"/>
      <c r="Q680" s="508"/>
      <c r="R680" s="508"/>
      <c r="S680" s="508"/>
      <c r="T680" s="508"/>
    </row>
    <row r="681" spans="1:10" s="1128" customFormat="1" ht="33.75" customHeight="1">
      <c r="A681" s="1122"/>
      <c r="B681" s="1123" t="s">
        <v>1911</v>
      </c>
      <c r="C681" s="1124" t="s">
        <v>646</v>
      </c>
      <c r="D681" s="1149">
        <f>(16.8+0.8*12+2.2+0.5+2.5+1.2+2.5+0.5+16.8+0.8*12)*(0.3+0.3)</f>
        <v>37.32000000000001</v>
      </c>
      <c r="E681" s="1165" t="s">
        <v>2839</v>
      </c>
      <c r="F681" s="1125"/>
      <c r="G681" s="1125"/>
      <c r="H681" s="1125"/>
      <c r="I681" s="1126"/>
      <c r="J681" s="1127"/>
    </row>
    <row r="682" spans="1:20" s="130" customFormat="1" ht="18.75" customHeight="1">
      <c r="A682" s="204"/>
      <c r="B682" s="206" t="s">
        <v>637</v>
      </c>
      <c r="C682" s="206" t="s">
        <v>647</v>
      </c>
      <c r="D682" s="949"/>
      <c r="E682" s="260">
        <f>4*4.5*0.3+3.32+(4*4.5*0.15+3.32*0.15)</f>
        <v>11.918</v>
      </c>
      <c r="F682" s="335"/>
      <c r="G682" s="335"/>
      <c r="H682" s="335"/>
      <c r="I682" s="336"/>
      <c r="J682" s="337"/>
      <c r="K682" s="508"/>
      <c r="L682" s="508"/>
      <c r="M682" s="508"/>
      <c r="N682" s="508"/>
      <c r="O682" s="508"/>
      <c r="P682" s="508"/>
      <c r="Q682" s="508"/>
      <c r="R682" s="508"/>
      <c r="S682" s="508"/>
      <c r="T682" s="508"/>
    </row>
    <row r="683" spans="1:20" s="130" customFormat="1" ht="18.75" customHeight="1">
      <c r="A683" s="204"/>
      <c r="B683" s="206" t="s">
        <v>639</v>
      </c>
      <c r="C683" s="206" t="s">
        <v>648</v>
      </c>
      <c r="D683" s="949"/>
      <c r="E683" s="260">
        <f>4*5*0.3+4*5*0.15</f>
        <v>9</v>
      </c>
      <c r="F683" s="335"/>
      <c r="G683" s="335"/>
      <c r="H683" s="335"/>
      <c r="I683" s="336"/>
      <c r="J683" s="337"/>
      <c r="K683" s="508"/>
      <c r="L683" s="508"/>
      <c r="M683" s="508"/>
      <c r="N683" s="508"/>
      <c r="O683" s="508"/>
      <c r="P683" s="508"/>
      <c r="Q683" s="508"/>
      <c r="R683" s="508"/>
      <c r="S683" s="508"/>
      <c r="T683" s="508"/>
    </row>
    <row r="684" spans="1:20" s="22" customFormat="1" ht="18.75" customHeight="1">
      <c r="A684" s="196" t="s">
        <v>657</v>
      </c>
      <c r="B684" s="197" t="s">
        <v>658</v>
      </c>
      <c r="C684" s="199" t="s">
        <v>659</v>
      </c>
      <c r="D684" s="919" t="s">
        <v>2763</v>
      </c>
      <c r="E684" s="198" t="s">
        <v>1748</v>
      </c>
      <c r="F684" s="1028">
        <f>SUM(E685:E688)</f>
        <v>22.262999999999998</v>
      </c>
      <c r="G684" s="332"/>
      <c r="H684" s="332">
        <f>F684*G684</f>
        <v>0</v>
      </c>
      <c r="I684" s="333">
        <v>0.00022</v>
      </c>
      <c r="J684" s="334">
        <f>F684*I684</f>
        <v>0.0048978599999999995</v>
      </c>
      <c r="K684" s="509"/>
      <c r="L684" s="509"/>
      <c r="M684" s="509"/>
      <c r="N684" s="509"/>
      <c r="O684" s="509"/>
      <c r="P684" s="509"/>
      <c r="Q684" s="509"/>
      <c r="R684" s="509"/>
      <c r="S684" s="509"/>
      <c r="T684" s="509"/>
    </row>
    <row r="685" spans="1:20" s="130" customFormat="1" ht="18.75" customHeight="1">
      <c r="A685" s="204"/>
      <c r="B685" s="205" t="s">
        <v>655</v>
      </c>
      <c r="C685" s="206" t="s">
        <v>644</v>
      </c>
      <c r="D685" s="925"/>
      <c r="E685" s="260">
        <f>0.6*2+0.05*2.9</f>
        <v>1.345</v>
      </c>
      <c r="F685" s="335"/>
      <c r="G685" s="335"/>
      <c r="H685" s="335"/>
      <c r="I685" s="336"/>
      <c r="J685" s="337"/>
      <c r="K685" s="508"/>
      <c r="L685" s="508"/>
      <c r="M685" s="508"/>
      <c r="N685" s="508"/>
      <c r="O685" s="508"/>
      <c r="P685" s="508"/>
      <c r="Q685" s="508"/>
      <c r="R685" s="508"/>
      <c r="S685" s="508"/>
      <c r="T685" s="508"/>
    </row>
    <row r="686" spans="1:10" s="1128" customFormat="1" ht="33.75" customHeight="1">
      <c r="A686" s="1122"/>
      <c r="B686" s="1123" t="s">
        <v>1911</v>
      </c>
      <c r="C686" s="1124" t="s">
        <v>646</v>
      </c>
      <c r="D686" s="1149">
        <f>(16.8+0.8*12+2.2+0.5+2.5+1.2+2.5+0.5+16.8+0.8*12)*(0.3+0.3)</f>
        <v>37.32000000000001</v>
      </c>
      <c r="E686" s="1165" t="s">
        <v>2839</v>
      </c>
      <c r="F686" s="1125"/>
      <c r="G686" s="1125"/>
      <c r="H686" s="1125"/>
      <c r="I686" s="1126"/>
      <c r="J686" s="1127"/>
    </row>
    <row r="687" spans="1:20" s="130" customFormat="1" ht="18.75" customHeight="1">
      <c r="A687" s="204"/>
      <c r="B687" s="206" t="s">
        <v>637</v>
      </c>
      <c r="C687" s="206" t="s">
        <v>647</v>
      </c>
      <c r="D687" s="949"/>
      <c r="E687" s="260">
        <f>4*4.5*0.3+3.32+(4*4.5*0.15+3.32*0.15)</f>
        <v>11.918</v>
      </c>
      <c r="F687" s="335"/>
      <c r="G687" s="335"/>
      <c r="H687" s="335"/>
      <c r="I687" s="336"/>
      <c r="J687" s="337"/>
      <c r="K687" s="508"/>
      <c r="L687" s="508"/>
      <c r="M687" s="508"/>
      <c r="N687" s="508"/>
      <c r="O687" s="508"/>
      <c r="P687" s="508"/>
      <c r="Q687" s="508"/>
      <c r="R687" s="508"/>
      <c r="S687" s="508"/>
      <c r="T687" s="508"/>
    </row>
    <row r="688" spans="1:20" s="130" customFormat="1" ht="18.75" customHeight="1">
      <c r="A688" s="204"/>
      <c r="B688" s="206" t="s">
        <v>639</v>
      </c>
      <c r="C688" s="206" t="s">
        <v>648</v>
      </c>
      <c r="D688" s="949"/>
      <c r="E688" s="260">
        <f>4*5*0.3+4*5*0.15</f>
        <v>9</v>
      </c>
      <c r="F688" s="335"/>
      <c r="G688" s="335"/>
      <c r="H688" s="335"/>
      <c r="I688" s="336"/>
      <c r="J688" s="337"/>
      <c r="K688" s="508"/>
      <c r="L688" s="508"/>
      <c r="M688" s="508"/>
      <c r="N688" s="508"/>
      <c r="O688" s="508"/>
      <c r="P688" s="508"/>
      <c r="Q688" s="508"/>
      <c r="R688" s="508"/>
      <c r="S688" s="508"/>
      <c r="T688" s="508"/>
    </row>
    <row r="689" spans="1:20" s="22" customFormat="1" ht="18.75" customHeight="1">
      <c r="A689" s="196" t="s">
        <v>660</v>
      </c>
      <c r="B689" s="197" t="s">
        <v>661</v>
      </c>
      <c r="C689" s="199" t="s">
        <v>662</v>
      </c>
      <c r="D689" s="919" t="s">
        <v>2763</v>
      </c>
      <c r="E689" s="198" t="s">
        <v>1748</v>
      </c>
      <c r="F689" s="1028">
        <f>SUM(E690:E693)</f>
        <v>22.262999999999998</v>
      </c>
      <c r="G689" s="332"/>
      <c r="H689" s="332">
        <f>F689*G689</f>
        <v>0</v>
      </c>
      <c r="I689" s="333">
        <v>0.00023</v>
      </c>
      <c r="J689" s="334">
        <f>F689*I689</f>
        <v>0.00512049</v>
      </c>
      <c r="K689" s="509"/>
      <c r="L689" s="509"/>
      <c r="M689" s="509"/>
      <c r="N689" s="509"/>
      <c r="O689" s="509"/>
      <c r="P689" s="509"/>
      <c r="Q689" s="509"/>
      <c r="R689" s="509"/>
      <c r="S689" s="509"/>
      <c r="T689" s="509"/>
    </row>
    <row r="690" spans="1:20" s="130" customFormat="1" ht="18.75" customHeight="1">
      <c r="A690" s="204"/>
      <c r="B690" s="205" t="s">
        <v>655</v>
      </c>
      <c r="C690" s="206" t="s">
        <v>644</v>
      </c>
      <c r="D690" s="925"/>
      <c r="E690" s="260">
        <f>0.6*2+0.05*2.9</f>
        <v>1.345</v>
      </c>
      <c r="F690" s="335"/>
      <c r="G690" s="335"/>
      <c r="H690" s="335"/>
      <c r="I690" s="336"/>
      <c r="J690" s="337"/>
      <c r="K690" s="508"/>
      <c r="L690" s="508"/>
      <c r="M690" s="508"/>
      <c r="N690" s="508"/>
      <c r="O690" s="508"/>
      <c r="P690" s="508"/>
      <c r="Q690" s="508"/>
      <c r="R690" s="508"/>
      <c r="S690" s="508"/>
      <c r="T690" s="508"/>
    </row>
    <row r="691" spans="1:10" s="1128" customFormat="1" ht="33.75" customHeight="1">
      <c r="A691" s="1122"/>
      <c r="B691" s="1123" t="s">
        <v>1911</v>
      </c>
      <c r="C691" s="1124" t="s">
        <v>646</v>
      </c>
      <c r="D691" s="1149">
        <f>(16.8+0.8*12+2.2+0.5+2.5+1.2+2.5+0.5+16.8+0.8*12)*(0.3+0.3)</f>
        <v>37.32000000000001</v>
      </c>
      <c r="E691" s="1165" t="s">
        <v>2839</v>
      </c>
      <c r="F691" s="1125"/>
      <c r="G691" s="1125"/>
      <c r="H691" s="1125"/>
      <c r="I691" s="1126"/>
      <c r="J691" s="1127"/>
    </row>
    <row r="692" spans="1:20" s="130" customFormat="1" ht="18.75" customHeight="1">
      <c r="A692" s="204"/>
      <c r="B692" s="206" t="s">
        <v>637</v>
      </c>
      <c r="C692" s="206" t="s">
        <v>647</v>
      </c>
      <c r="D692" s="949"/>
      <c r="E692" s="260">
        <f>4*4.5*0.3+3.32+(4*4.5*0.15+3.32*0.15)</f>
        <v>11.918</v>
      </c>
      <c r="F692" s="335"/>
      <c r="G692" s="335"/>
      <c r="H692" s="335"/>
      <c r="I692" s="336"/>
      <c r="J692" s="337"/>
      <c r="K692" s="508"/>
      <c r="L692" s="508"/>
      <c r="M692" s="508"/>
      <c r="N692" s="508"/>
      <c r="O692" s="508"/>
      <c r="P692" s="508"/>
      <c r="Q692" s="508"/>
      <c r="R692" s="508"/>
      <c r="S692" s="508"/>
      <c r="T692" s="508"/>
    </row>
    <row r="693" spans="1:20" s="130" customFormat="1" ht="18.75" customHeight="1">
      <c r="A693" s="204"/>
      <c r="B693" s="206" t="s">
        <v>639</v>
      </c>
      <c r="C693" s="206" t="s">
        <v>648</v>
      </c>
      <c r="D693" s="949"/>
      <c r="E693" s="260">
        <f>4*5*0.3+4*5*0.15</f>
        <v>9</v>
      </c>
      <c r="F693" s="335"/>
      <c r="G693" s="335"/>
      <c r="H693" s="335"/>
      <c r="I693" s="336"/>
      <c r="J693" s="337"/>
      <c r="K693" s="508"/>
      <c r="L693" s="508"/>
      <c r="M693" s="508"/>
      <c r="N693" s="508"/>
      <c r="O693" s="508"/>
      <c r="P693" s="508"/>
      <c r="Q693" s="508"/>
      <c r="R693" s="508"/>
      <c r="S693" s="508"/>
      <c r="T693" s="508"/>
    </row>
    <row r="694" spans="1:20" s="130" customFormat="1" ht="10.5" customHeight="1">
      <c r="A694" s="204"/>
      <c r="B694" s="206"/>
      <c r="C694" s="206"/>
      <c r="D694" s="949"/>
      <c r="E694" s="260"/>
      <c r="F694" s="335"/>
      <c r="G694" s="335"/>
      <c r="H694" s="335"/>
      <c r="I694" s="336"/>
      <c r="J694" s="337"/>
      <c r="K694" s="508"/>
      <c r="L694" s="508"/>
      <c r="M694" s="508"/>
      <c r="N694" s="508"/>
      <c r="O694" s="508"/>
      <c r="P694" s="508"/>
      <c r="Q694" s="508"/>
      <c r="R694" s="508"/>
      <c r="S694" s="508"/>
      <c r="T694" s="508"/>
    </row>
    <row r="695" spans="1:20" s="22" customFormat="1" ht="42.75" customHeight="1">
      <c r="A695" s="196" t="s">
        <v>663</v>
      </c>
      <c r="B695" s="197" t="s">
        <v>664</v>
      </c>
      <c r="C695" s="199" t="s">
        <v>665</v>
      </c>
      <c r="D695" s="919" t="s">
        <v>2766</v>
      </c>
      <c r="E695" s="198" t="s">
        <v>1709</v>
      </c>
      <c r="F695" s="332">
        <f>SUM(E696)</f>
        <v>3.6400000000000006</v>
      </c>
      <c r="G695" s="332"/>
      <c r="H695" s="332">
        <f>F695*G695</f>
        <v>0</v>
      </c>
      <c r="I695" s="333">
        <v>1.2</v>
      </c>
      <c r="J695" s="334">
        <f>F695*I695</f>
        <v>4.368</v>
      </c>
      <c r="K695" s="509"/>
      <c r="L695" s="509"/>
      <c r="M695" s="509"/>
      <c r="N695" s="509"/>
      <c r="O695" s="509"/>
      <c r="P695" s="509"/>
      <c r="Q695" s="509"/>
      <c r="R695" s="509"/>
      <c r="S695" s="509"/>
      <c r="T695" s="509"/>
    </row>
    <row r="696" spans="1:20" s="22" customFormat="1" ht="15.75" customHeight="1">
      <c r="A696" s="196"/>
      <c r="B696" s="197"/>
      <c r="C696" s="206" t="s">
        <v>666</v>
      </c>
      <c r="D696" s="919"/>
      <c r="E696" s="207">
        <f>52*0.07</f>
        <v>3.6400000000000006</v>
      </c>
      <c r="F696" s="332"/>
      <c r="G696" s="332"/>
      <c r="H696" s="332"/>
      <c r="I696" s="333"/>
      <c r="J696" s="334"/>
      <c r="K696" s="509"/>
      <c r="L696" s="509"/>
      <c r="M696" s="509"/>
      <c r="N696" s="509"/>
      <c r="O696" s="509"/>
      <c r="P696" s="509"/>
      <c r="Q696" s="509"/>
      <c r="R696" s="509"/>
      <c r="S696" s="509"/>
      <c r="T696" s="509"/>
    </row>
    <row r="697" spans="1:20" s="22" customFormat="1" ht="30" customHeight="1">
      <c r="A697" s="196" t="s">
        <v>667</v>
      </c>
      <c r="B697" s="197" t="s">
        <v>668</v>
      </c>
      <c r="C697" s="199" t="s">
        <v>669</v>
      </c>
      <c r="D697" s="919" t="s">
        <v>2766</v>
      </c>
      <c r="E697" s="198" t="s">
        <v>1748</v>
      </c>
      <c r="F697" s="332">
        <f>SUM(E698)</f>
        <v>52</v>
      </c>
      <c r="G697" s="332"/>
      <c r="H697" s="332">
        <f>F697*G697</f>
        <v>0</v>
      </c>
      <c r="I697" s="333">
        <v>0.13325</v>
      </c>
      <c r="J697" s="334">
        <f>F697*I697</f>
        <v>6.929</v>
      </c>
      <c r="T697" s="509"/>
    </row>
    <row r="698" spans="1:20" s="22" customFormat="1" ht="15.75" customHeight="1">
      <c r="A698" s="196"/>
      <c r="B698" s="197"/>
      <c r="C698" s="206" t="s">
        <v>2400</v>
      </c>
      <c r="D698" s="919"/>
      <c r="E698" s="207">
        <v>52</v>
      </c>
      <c r="F698" s="332"/>
      <c r="G698" s="332"/>
      <c r="H698" s="332"/>
      <c r="I698" s="333"/>
      <c r="J698" s="334"/>
      <c r="K698" s="509"/>
      <c r="L698" s="509"/>
      <c r="M698" s="509"/>
      <c r="N698" s="509"/>
      <c r="O698" s="509"/>
      <c r="P698" s="509"/>
      <c r="Q698" s="509"/>
      <c r="R698" s="509"/>
      <c r="S698" s="509"/>
      <c r="T698" s="509"/>
    </row>
    <row r="699" spans="1:20" s="22" customFormat="1" ht="19.5" customHeight="1">
      <c r="A699" s="196"/>
      <c r="B699" s="197" t="s">
        <v>670</v>
      </c>
      <c r="C699" s="199" t="s">
        <v>671</v>
      </c>
      <c r="D699" s="919" t="s">
        <v>2766</v>
      </c>
      <c r="E699" s="198" t="s">
        <v>624</v>
      </c>
      <c r="F699" s="332">
        <f>SUM(E700)</f>
        <v>21.6</v>
      </c>
      <c r="G699" s="332"/>
      <c r="H699" s="332">
        <f>F699*G699</f>
        <v>0</v>
      </c>
      <c r="I699" s="333">
        <v>0.15674</v>
      </c>
      <c r="J699" s="334">
        <f>F699*I699</f>
        <v>3.385584</v>
      </c>
      <c r="T699" s="509"/>
    </row>
    <row r="700" spans="1:20" s="22" customFormat="1" ht="18" customHeight="1">
      <c r="A700" s="526"/>
      <c r="B700" s="445"/>
      <c r="C700" s="581" t="s">
        <v>672</v>
      </c>
      <c r="D700" s="938"/>
      <c r="E700" s="582">
        <f>10.8*2</f>
        <v>21.6</v>
      </c>
      <c r="F700" s="448"/>
      <c r="G700" s="448"/>
      <c r="H700" s="448"/>
      <c r="I700" s="449"/>
      <c r="J700" s="450"/>
      <c r="K700" s="509"/>
      <c r="L700" s="509"/>
      <c r="M700" s="509"/>
      <c r="N700" s="509"/>
      <c r="O700" s="509"/>
      <c r="P700" s="509"/>
      <c r="Q700" s="509"/>
      <c r="R700" s="509"/>
      <c r="S700" s="509"/>
      <c r="T700" s="509"/>
    </row>
    <row r="701" spans="1:20" s="22" customFormat="1" ht="15.75" customHeight="1">
      <c r="A701" s="526"/>
      <c r="B701" s="445" t="s">
        <v>673</v>
      </c>
      <c r="C701" s="199" t="s">
        <v>674</v>
      </c>
      <c r="D701" s="938" t="s">
        <v>2766</v>
      </c>
      <c r="E701" s="198" t="s">
        <v>624</v>
      </c>
      <c r="F701" s="332">
        <f>SUM(E702)</f>
        <v>23.328000000000003</v>
      </c>
      <c r="G701" s="332"/>
      <c r="H701" s="332">
        <f>F701*G701</f>
        <v>0</v>
      </c>
      <c r="I701" s="333">
        <v>0.15674</v>
      </c>
      <c r="J701" s="334">
        <f>F701*I701</f>
        <v>3.6564307200000004</v>
      </c>
      <c r="K701" s="509"/>
      <c r="L701" s="509"/>
      <c r="M701" s="509"/>
      <c r="N701" s="509"/>
      <c r="O701" s="509"/>
      <c r="P701" s="509"/>
      <c r="Q701" s="509"/>
      <c r="R701" s="509"/>
      <c r="S701" s="509"/>
      <c r="T701" s="509"/>
    </row>
    <row r="702" spans="1:20" s="22" customFormat="1" ht="18" customHeight="1">
      <c r="A702" s="526"/>
      <c r="B702" s="445"/>
      <c r="C702" s="581" t="s">
        <v>675</v>
      </c>
      <c r="D702" s="938"/>
      <c r="E702" s="582">
        <f>10.8*2*1.08</f>
        <v>23.328000000000003</v>
      </c>
      <c r="F702" s="448"/>
      <c r="G702" s="448"/>
      <c r="H702" s="448"/>
      <c r="I702" s="449"/>
      <c r="J702" s="450"/>
      <c r="K702" s="509"/>
      <c r="L702" s="509"/>
      <c r="M702" s="509"/>
      <c r="N702" s="509"/>
      <c r="O702" s="509"/>
      <c r="P702" s="509"/>
      <c r="Q702" s="509"/>
      <c r="R702" s="509"/>
      <c r="S702" s="509"/>
      <c r="T702" s="509"/>
    </row>
    <row r="703" spans="1:20" s="22" customFormat="1" ht="15.75" customHeight="1">
      <c r="A703" s="526"/>
      <c r="B703" s="445"/>
      <c r="C703" s="581"/>
      <c r="D703" s="938"/>
      <c r="E703" s="582"/>
      <c r="F703" s="448"/>
      <c r="G703" s="448"/>
      <c r="H703" s="448"/>
      <c r="I703" s="449"/>
      <c r="J703" s="450"/>
      <c r="K703" s="509"/>
      <c r="L703" s="509"/>
      <c r="M703" s="509"/>
      <c r="N703" s="509"/>
      <c r="O703" s="509"/>
      <c r="P703" s="509"/>
      <c r="Q703" s="509"/>
      <c r="R703" s="509"/>
      <c r="S703" s="509"/>
      <c r="T703" s="509"/>
    </row>
    <row r="704" spans="1:20" s="22" customFormat="1" ht="18.75" customHeight="1" thickBot="1">
      <c r="A704" s="255" t="s">
        <v>676</v>
      </c>
      <c r="B704" s="256" t="s">
        <v>677</v>
      </c>
      <c r="C704" s="264" t="s">
        <v>678</v>
      </c>
      <c r="D704" s="937"/>
      <c r="E704" s="257" t="s">
        <v>1783</v>
      </c>
      <c r="F704" s="1120">
        <f>SUM(J662)</f>
        <v>20.218729550000003</v>
      </c>
      <c r="G704" s="368"/>
      <c r="H704" s="368">
        <f>F704*G704</f>
        <v>0</v>
      </c>
      <c r="I704" s="369">
        <v>0</v>
      </c>
      <c r="J704" s="370">
        <f>F704*I704</f>
        <v>0</v>
      </c>
      <c r="K704" s="509"/>
      <c r="L704" s="509"/>
      <c r="M704" s="509"/>
      <c r="N704" s="509"/>
      <c r="O704" s="509"/>
      <c r="P704" s="509"/>
      <c r="Q704" s="509"/>
      <c r="R704" s="509"/>
      <c r="S704" s="509"/>
      <c r="T704" s="509"/>
    </row>
    <row r="705" spans="1:20" ht="16.5" customHeight="1" thickBot="1">
      <c r="A705" s="266" t="s">
        <v>679</v>
      </c>
      <c r="B705" s="175" t="s">
        <v>680</v>
      </c>
      <c r="C705" s="176" t="s">
        <v>681</v>
      </c>
      <c r="D705" s="175"/>
      <c r="E705" s="175"/>
      <c r="F705" s="341"/>
      <c r="G705" s="341"/>
      <c r="H705" s="342">
        <f>SUM(H706:H715)</f>
        <v>0</v>
      </c>
      <c r="I705" s="343"/>
      <c r="J705" s="344">
        <f>SUM(J706:J715)</f>
        <v>0.076521375</v>
      </c>
      <c r="K705" s="670"/>
      <c r="L705" s="670"/>
      <c r="M705" s="670"/>
      <c r="N705" s="670"/>
      <c r="O705" s="670"/>
      <c r="P705" s="670"/>
      <c r="Q705" s="670"/>
      <c r="R705" s="670"/>
      <c r="S705" s="670"/>
      <c r="T705" s="670"/>
    </row>
    <row r="706" spans="1:20" s="22" customFormat="1" ht="18.75" customHeight="1">
      <c r="A706" s="190" t="s">
        <v>682</v>
      </c>
      <c r="B706" s="191" t="s">
        <v>683</v>
      </c>
      <c r="C706" s="265" t="s">
        <v>684</v>
      </c>
      <c r="D706" s="920" t="s">
        <v>2763</v>
      </c>
      <c r="E706" s="192" t="s">
        <v>1748</v>
      </c>
      <c r="F706" s="345">
        <f>E707</f>
        <v>28.102500000000003</v>
      </c>
      <c r="G706" s="345"/>
      <c r="H706" s="345">
        <f>F706*G706</f>
        <v>0</v>
      </c>
      <c r="I706" s="346">
        <v>0.00031</v>
      </c>
      <c r="J706" s="347">
        <f>F706*I706</f>
        <v>0.008711775000000001</v>
      </c>
      <c r="K706" s="509"/>
      <c r="L706" s="509"/>
      <c r="M706" s="509"/>
      <c r="N706" s="509"/>
      <c r="O706" s="509"/>
      <c r="P706" s="509"/>
      <c r="Q706" s="509"/>
      <c r="R706" s="509"/>
      <c r="S706" s="509"/>
      <c r="T706" s="509"/>
    </row>
    <row r="707" spans="1:20" s="130" customFormat="1" ht="18.75" customHeight="1">
      <c r="A707" s="204"/>
      <c r="B707" s="205" t="s">
        <v>1911</v>
      </c>
      <c r="C707" s="206" t="s">
        <v>685</v>
      </c>
      <c r="D707" s="925"/>
      <c r="E707" s="260">
        <f>1.15*12+5.9*0.15*12+0.97*3+5.15*0.15</f>
        <v>28.102500000000003</v>
      </c>
      <c r="F707" s="335"/>
      <c r="G707" s="335"/>
      <c r="H707" s="335"/>
      <c r="I707" s="336"/>
      <c r="J707" s="337"/>
      <c r="K707" s="508"/>
      <c r="L707" s="508"/>
      <c r="M707" s="508"/>
      <c r="N707" s="508"/>
      <c r="O707" s="508"/>
      <c r="P707" s="508"/>
      <c r="Q707" s="508"/>
      <c r="R707" s="508"/>
      <c r="S707" s="508"/>
      <c r="T707" s="508"/>
    </row>
    <row r="708" spans="1:20" s="22" customFormat="1" ht="18.75" customHeight="1">
      <c r="A708" s="196"/>
      <c r="B708" s="197"/>
      <c r="C708" s="199"/>
      <c r="D708" s="919"/>
      <c r="E708" s="198"/>
      <c r="F708" s="332"/>
      <c r="G708" s="332"/>
      <c r="H708" s="332"/>
      <c r="I708" s="333"/>
      <c r="J708" s="334"/>
      <c r="K708" s="509"/>
      <c r="L708" s="509"/>
      <c r="M708" s="509"/>
      <c r="N708" s="509"/>
      <c r="O708" s="509"/>
      <c r="P708" s="509"/>
      <c r="Q708" s="509"/>
      <c r="R708" s="509"/>
      <c r="S708" s="509"/>
      <c r="T708" s="509"/>
    </row>
    <row r="709" spans="1:20" s="22" customFormat="1" ht="18.75" customHeight="1">
      <c r="A709" s="196" t="s">
        <v>686</v>
      </c>
      <c r="B709" s="197" t="s">
        <v>687</v>
      </c>
      <c r="C709" s="199" t="s">
        <v>688</v>
      </c>
      <c r="D709" s="919" t="s">
        <v>2763</v>
      </c>
      <c r="E709" s="198" t="s">
        <v>1748</v>
      </c>
      <c r="F709" s="332">
        <f>E710</f>
        <v>28.102500000000003</v>
      </c>
      <c r="G709" s="332"/>
      <c r="H709" s="332">
        <f>F709*G709</f>
        <v>0</v>
      </c>
      <c r="I709" s="333">
        <v>1E-05</v>
      </c>
      <c r="J709" s="334">
        <f>F709*I709</f>
        <v>0.00028102500000000007</v>
      </c>
      <c r="K709" s="509"/>
      <c r="L709" s="509"/>
      <c r="M709" s="509"/>
      <c r="N709" s="509"/>
      <c r="O709" s="509"/>
      <c r="P709" s="509"/>
      <c r="Q709" s="509"/>
      <c r="R709" s="509"/>
      <c r="S709" s="509"/>
      <c r="T709" s="509"/>
    </row>
    <row r="710" spans="1:20" s="130" customFormat="1" ht="18.75" customHeight="1">
      <c r="A710" s="204"/>
      <c r="B710" s="205" t="s">
        <v>1911</v>
      </c>
      <c r="C710" s="206" t="s">
        <v>685</v>
      </c>
      <c r="D710" s="925"/>
      <c r="E710" s="260">
        <f>1.15*12+5.9*0.15*12+0.97*3+5.15*0.15</f>
        <v>28.102500000000003</v>
      </c>
      <c r="F710" s="335"/>
      <c r="G710" s="335"/>
      <c r="H710" s="335"/>
      <c r="I710" s="336"/>
      <c r="J710" s="337"/>
      <c r="K710" s="508"/>
      <c r="L710" s="508"/>
      <c r="M710" s="508"/>
      <c r="N710" s="508"/>
      <c r="O710" s="508"/>
      <c r="P710" s="508"/>
      <c r="Q710" s="508"/>
      <c r="R710" s="508"/>
      <c r="S710" s="508"/>
      <c r="T710" s="508"/>
    </row>
    <row r="711" spans="1:20" s="22" customFormat="1" ht="18.75" customHeight="1">
      <c r="A711" s="196"/>
      <c r="B711" s="197"/>
      <c r="C711" s="199"/>
      <c r="D711" s="919"/>
      <c r="E711" s="198"/>
      <c r="F711" s="332"/>
      <c r="G711" s="332"/>
      <c r="H711" s="332"/>
      <c r="I711" s="333"/>
      <c r="J711" s="334"/>
      <c r="K711" s="509"/>
      <c r="L711" s="509"/>
      <c r="M711" s="509"/>
      <c r="N711" s="509"/>
      <c r="O711" s="509"/>
      <c r="P711" s="509"/>
      <c r="Q711" s="509"/>
      <c r="R711" s="509"/>
      <c r="S711" s="509"/>
      <c r="T711" s="509"/>
    </row>
    <row r="712" spans="1:20" s="22" customFormat="1" ht="18.75" customHeight="1">
      <c r="A712" s="196" t="s">
        <v>689</v>
      </c>
      <c r="B712" s="197" t="s">
        <v>690</v>
      </c>
      <c r="C712" s="199" t="s">
        <v>691</v>
      </c>
      <c r="D712" s="919" t="s">
        <v>2763</v>
      </c>
      <c r="E712" s="198" t="s">
        <v>1748</v>
      </c>
      <c r="F712" s="332">
        <f>E713</f>
        <v>28.102500000000003</v>
      </c>
      <c r="G712" s="332"/>
      <c r="H712" s="332">
        <f>F712*G712</f>
        <v>0</v>
      </c>
      <c r="I712" s="333">
        <v>0.00039</v>
      </c>
      <c r="J712" s="334">
        <f>F712*I712</f>
        <v>0.010959975</v>
      </c>
      <c r="K712" s="509"/>
      <c r="L712" s="509"/>
      <c r="M712" s="509"/>
      <c r="N712" s="509"/>
      <c r="O712" s="509"/>
      <c r="P712" s="509"/>
      <c r="Q712" s="509"/>
      <c r="R712" s="509"/>
      <c r="S712" s="509"/>
      <c r="T712" s="509"/>
    </row>
    <row r="713" spans="1:20" s="130" customFormat="1" ht="18.75" customHeight="1">
      <c r="A713" s="204"/>
      <c r="B713" s="205" t="s">
        <v>1911</v>
      </c>
      <c r="C713" s="206" t="s">
        <v>685</v>
      </c>
      <c r="D713" s="925"/>
      <c r="E713" s="260">
        <f>1.15*12+5.9*0.15*12+0.97*3+5.15*0.15</f>
        <v>28.102500000000003</v>
      </c>
      <c r="F713" s="335"/>
      <c r="G713" s="335"/>
      <c r="H713" s="335"/>
      <c r="I713" s="336"/>
      <c r="J713" s="337"/>
      <c r="K713" s="508"/>
      <c r="L713" s="508"/>
      <c r="M713" s="508"/>
      <c r="N713" s="508"/>
      <c r="O713" s="508"/>
      <c r="P713" s="508"/>
      <c r="Q713" s="508"/>
      <c r="R713" s="508"/>
      <c r="S713" s="508"/>
      <c r="T713" s="508"/>
    </row>
    <row r="714" spans="1:20" s="22" customFormat="1" ht="18.75" customHeight="1">
      <c r="A714" s="196" t="s">
        <v>692</v>
      </c>
      <c r="B714" s="197" t="s">
        <v>1720</v>
      </c>
      <c r="C714" s="199" t="s">
        <v>693</v>
      </c>
      <c r="D714" s="919" t="s">
        <v>2763</v>
      </c>
      <c r="E714" s="198" t="s">
        <v>1748</v>
      </c>
      <c r="F714" s="332">
        <f>SUM(E715:E716)</f>
        <v>188.562</v>
      </c>
      <c r="G714" s="332"/>
      <c r="H714" s="332">
        <f>F714*G714</f>
        <v>0</v>
      </c>
      <c r="I714" s="333">
        <v>0.0003</v>
      </c>
      <c r="J714" s="334">
        <f>F714*I714</f>
        <v>0.0565686</v>
      </c>
      <c r="K714" s="509"/>
      <c r="L714" s="509"/>
      <c r="M714" s="509"/>
      <c r="N714" s="509"/>
      <c r="O714" s="509"/>
      <c r="P714" s="509"/>
      <c r="Q714" s="509"/>
      <c r="R714" s="509"/>
      <c r="S714" s="509"/>
      <c r="T714" s="509"/>
    </row>
    <row r="715" spans="1:20" s="130" customFormat="1" ht="18.75" customHeight="1">
      <c r="A715" s="204"/>
      <c r="B715" s="205" t="s">
        <v>2018</v>
      </c>
      <c r="C715" s="206" t="s">
        <v>694</v>
      </c>
      <c r="D715" s="925"/>
      <c r="E715" s="260">
        <f>(78.11+78.11)*1.1</f>
        <v>171.842</v>
      </c>
      <c r="F715" s="335"/>
      <c r="G715" s="335"/>
      <c r="H715" s="335"/>
      <c r="I715" s="336"/>
      <c r="J715" s="337"/>
      <c r="K715" s="508"/>
      <c r="L715" s="508"/>
      <c r="M715" s="508"/>
      <c r="N715" s="508"/>
      <c r="O715" s="508"/>
      <c r="P715" s="508"/>
      <c r="Q715" s="508"/>
      <c r="R715" s="508"/>
      <c r="S715" s="508"/>
      <c r="T715" s="508"/>
    </row>
    <row r="716" spans="1:20" s="130" customFormat="1" ht="18.75" customHeight="1" thickBot="1">
      <c r="A716" s="241"/>
      <c r="B716" s="242" t="s">
        <v>2024</v>
      </c>
      <c r="C716" s="243" t="s">
        <v>2585</v>
      </c>
      <c r="D716" s="935"/>
      <c r="E716" s="305">
        <f>15.2*1.1</f>
        <v>16.72</v>
      </c>
      <c r="F716" s="360"/>
      <c r="G716" s="360"/>
      <c r="H716" s="360"/>
      <c r="I716" s="361"/>
      <c r="J716" s="362"/>
      <c r="K716" s="508"/>
      <c r="L716" s="508"/>
      <c r="M716" s="508"/>
      <c r="N716" s="508"/>
      <c r="O716" s="508"/>
      <c r="P716" s="508"/>
      <c r="Q716" s="508"/>
      <c r="R716" s="508"/>
      <c r="S716" s="508"/>
      <c r="T716" s="508"/>
    </row>
    <row r="717" spans="1:20" ht="16.5" customHeight="1" thickBot="1">
      <c r="A717" s="266" t="s">
        <v>695</v>
      </c>
      <c r="B717" s="175" t="s">
        <v>696</v>
      </c>
      <c r="C717" s="176" t="s">
        <v>697</v>
      </c>
      <c r="D717" s="175"/>
      <c r="E717" s="175"/>
      <c r="F717" s="341"/>
      <c r="G717" s="341"/>
      <c r="H717" s="342">
        <f>SUM(H718:H720)</f>
        <v>0</v>
      </c>
      <c r="I717" s="343"/>
      <c r="J717" s="344">
        <f>SUM(J718:J720)</f>
        <v>0.8696599999999999</v>
      </c>
      <c r="K717" s="670"/>
      <c r="L717" s="670"/>
      <c r="M717" s="670"/>
      <c r="N717" s="670"/>
      <c r="O717" s="670"/>
      <c r="P717" s="670"/>
      <c r="Q717" s="670"/>
      <c r="R717" s="670"/>
      <c r="S717" s="670"/>
      <c r="T717" s="670"/>
    </row>
    <row r="718" spans="1:20" s="22" customFormat="1" ht="18.75" customHeight="1">
      <c r="A718" s="196" t="s">
        <v>698</v>
      </c>
      <c r="B718" s="197" t="s">
        <v>699</v>
      </c>
      <c r="C718" s="199" t="s">
        <v>700</v>
      </c>
      <c r="D718" s="919" t="s">
        <v>2762</v>
      </c>
      <c r="E718" s="198" t="s">
        <v>1748</v>
      </c>
      <c r="F718" s="332">
        <f>3953*0.85</f>
        <v>3360.0499999999997</v>
      </c>
      <c r="G718" s="332"/>
      <c r="H718" s="332">
        <f>F718*G718</f>
        <v>0</v>
      </c>
      <c r="I718" s="333">
        <v>0</v>
      </c>
      <c r="J718" s="334">
        <f>F718*I718</f>
        <v>0</v>
      </c>
      <c r="K718" s="509"/>
      <c r="L718" s="509"/>
      <c r="M718" s="509"/>
      <c r="N718" s="509"/>
      <c r="O718" s="509"/>
      <c r="P718" s="509"/>
      <c r="Q718" s="509"/>
      <c r="R718" s="509"/>
      <c r="S718" s="509"/>
      <c r="T718" s="509"/>
    </row>
    <row r="719" spans="1:20" s="22" customFormat="1" ht="18.75" customHeight="1">
      <c r="A719" s="196" t="s">
        <v>701</v>
      </c>
      <c r="B719" s="197" t="s">
        <v>702</v>
      </c>
      <c r="C719" s="199" t="s">
        <v>703</v>
      </c>
      <c r="D719" s="919" t="s">
        <v>2762</v>
      </c>
      <c r="E719" s="198" t="s">
        <v>1748</v>
      </c>
      <c r="F719" s="332">
        <v>3953</v>
      </c>
      <c r="G719" s="332"/>
      <c r="H719" s="332">
        <f>F719*G719</f>
        <v>0</v>
      </c>
      <c r="I719" s="333">
        <v>7E-05</v>
      </c>
      <c r="J719" s="334">
        <f>F719*I719</f>
        <v>0.27670999999999996</v>
      </c>
      <c r="K719" s="509"/>
      <c r="L719" s="509"/>
      <c r="M719" s="509"/>
      <c r="N719" s="509"/>
      <c r="O719" s="509"/>
      <c r="P719" s="509"/>
      <c r="Q719" s="509"/>
      <c r="R719" s="509"/>
      <c r="S719" s="509"/>
      <c r="T719" s="509"/>
    </row>
    <row r="720" spans="1:20" s="22" customFormat="1" ht="18.75" customHeight="1" thickBot="1">
      <c r="A720" s="196" t="s">
        <v>704</v>
      </c>
      <c r="B720" s="197" t="s">
        <v>705</v>
      </c>
      <c r="C720" s="199" t="s">
        <v>706</v>
      </c>
      <c r="D720" s="919" t="s">
        <v>2762</v>
      </c>
      <c r="E720" s="198" t="s">
        <v>1748</v>
      </c>
      <c r="F720" s="332">
        <f>F719</f>
        <v>3953</v>
      </c>
      <c r="G720" s="332"/>
      <c r="H720" s="332">
        <f>F720*G720</f>
        <v>0</v>
      </c>
      <c r="I720" s="333">
        <v>0.00015</v>
      </c>
      <c r="J720" s="334">
        <f>F720*I720</f>
        <v>0.59295</v>
      </c>
      <c r="K720" s="509"/>
      <c r="L720" s="509"/>
      <c r="M720" s="509"/>
      <c r="N720" s="509"/>
      <c r="O720" s="509"/>
      <c r="P720" s="509"/>
      <c r="Q720" s="509"/>
      <c r="R720" s="509"/>
      <c r="S720" s="509"/>
      <c r="T720" s="509"/>
    </row>
    <row r="721" spans="1:20" ht="16.5" customHeight="1" thickBot="1">
      <c r="A721" s="266" t="s">
        <v>707</v>
      </c>
      <c r="B721" s="175" t="s">
        <v>708</v>
      </c>
      <c r="C721" s="176" t="s">
        <v>709</v>
      </c>
      <c r="D721" s="175"/>
      <c r="E721" s="175"/>
      <c r="F721" s="341"/>
      <c r="G721" s="341"/>
      <c r="H721" s="342">
        <f>SUM(H722:H725)</f>
        <v>0</v>
      </c>
      <c r="I721" s="343"/>
      <c r="J721" s="344">
        <f>SUM(J722:J725)</f>
        <v>0</v>
      </c>
      <c r="K721" s="670"/>
      <c r="L721" s="670"/>
      <c r="M721" s="670"/>
      <c r="N721" s="670"/>
      <c r="O721" s="670"/>
      <c r="P721" s="670"/>
      <c r="Q721" s="670"/>
      <c r="R721" s="670"/>
      <c r="S721" s="670"/>
      <c r="T721" s="670"/>
    </row>
    <row r="722" spans="1:20" s="22" customFormat="1" ht="18.75" customHeight="1">
      <c r="A722" s="196"/>
      <c r="B722" s="197"/>
      <c r="C722" s="199"/>
      <c r="D722" s="919"/>
      <c r="E722" s="198"/>
      <c r="F722" s="332"/>
      <c r="G722" s="332"/>
      <c r="H722" s="332"/>
      <c r="I722" s="333"/>
      <c r="J722" s="334"/>
      <c r="K722" s="509"/>
      <c r="L722" s="509"/>
      <c r="M722" s="509"/>
      <c r="N722" s="509"/>
      <c r="O722" s="509"/>
      <c r="P722" s="509"/>
      <c r="Q722" s="509"/>
      <c r="R722" s="509"/>
      <c r="S722" s="509"/>
      <c r="T722" s="509"/>
    </row>
    <row r="723" spans="1:20" s="22" customFormat="1" ht="24">
      <c r="A723" s="196" t="s">
        <v>710</v>
      </c>
      <c r="B723" s="197" t="s">
        <v>711</v>
      </c>
      <c r="C723" s="199" t="s">
        <v>712</v>
      </c>
      <c r="D723" s="950" t="s">
        <v>2761</v>
      </c>
      <c r="E723" s="198" t="s">
        <v>2695</v>
      </c>
      <c r="F723" s="332">
        <v>1</v>
      </c>
      <c r="G723" s="332"/>
      <c r="H723" s="332">
        <f>F723*G723</f>
        <v>0</v>
      </c>
      <c r="I723" s="333">
        <v>0</v>
      </c>
      <c r="J723" s="334">
        <f>F723*I723</f>
        <v>0</v>
      </c>
      <c r="K723" s="509"/>
      <c r="L723" s="509"/>
      <c r="M723" s="509"/>
      <c r="N723" s="509"/>
      <c r="O723" s="509"/>
      <c r="P723" s="509"/>
      <c r="Q723" s="509"/>
      <c r="R723" s="509"/>
      <c r="S723" s="509"/>
      <c r="T723" s="509"/>
    </row>
    <row r="724" spans="1:20" s="22" customFormat="1" ht="18.75" customHeight="1">
      <c r="A724" s="196" t="s">
        <v>713</v>
      </c>
      <c r="B724" s="197" t="s">
        <v>714</v>
      </c>
      <c r="C724" s="199" t="s">
        <v>715</v>
      </c>
      <c r="D724" s="919"/>
      <c r="E724" s="198" t="s">
        <v>2695</v>
      </c>
      <c r="F724" s="332">
        <v>1</v>
      </c>
      <c r="G724" s="332"/>
      <c r="H724" s="332">
        <f>F724*G724</f>
        <v>0</v>
      </c>
      <c r="I724" s="333">
        <v>0</v>
      </c>
      <c r="J724" s="334">
        <f>F724*I724</f>
        <v>0</v>
      </c>
      <c r="K724" s="509"/>
      <c r="L724" s="509"/>
      <c r="M724" s="509"/>
      <c r="N724" s="509"/>
      <c r="O724" s="509"/>
      <c r="P724" s="509"/>
      <c r="Q724" s="509"/>
      <c r="R724" s="509"/>
      <c r="S724" s="509"/>
      <c r="T724" s="509"/>
    </row>
    <row r="725" spans="1:20" s="22" customFormat="1" ht="18.75" customHeight="1" thickBot="1">
      <c r="A725" s="196"/>
      <c r="B725" s="197"/>
      <c r="C725" s="199"/>
      <c r="D725" s="919"/>
      <c r="E725" s="198"/>
      <c r="F725" s="332"/>
      <c r="G725" s="332"/>
      <c r="H725" s="332"/>
      <c r="I725" s="333"/>
      <c r="J725" s="334"/>
      <c r="K725" s="509"/>
      <c r="L725" s="509"/>
      <c r="M725" s="509"/>
      <c r="N725" s="509"/>
      <c r="O725" s="509"/>
      <c r="P725" s="509"/>
      <c r="Q725" s="509"/>
      <c r="R725" s="509"/>
      <c r="S725" s="509"/>
      <c r="T725" s="509"/>
    </row>
    <row r="726" spans="1:20" ht="16.5" customHeight="1" thickBot="1">
      <c r="A726" s="266"/>
      <c r="B726" s="175"/>
      <c r="C726" s="176"/>
      <c r="D726" s="175"/>
      <c r="E726" s="175"/>
      <c r="F726" s="175"/>
      <c r="G726" s="175"/>
      <c r="H726" s="185"/>
      <c r="I726" s="177"/>
      <c r="J726" s="178"/>
      <c r="K726" s="670"/>
      <c r="L726" s="670"/>
      <c r="M726" s="670"/>
      <c r="N726" s="670"/>
      <c r="O726" s="670"/>
      <c r="P726" s="670"/>
      <c r="Q726" s="670"/>
      <c r="R726" s="670"/>
      <c r="S726" s="670"/>
      <c r="T726" s="670"/>
    </row>
    <row r="727" spans="1:20" ht="15">
      <c r="A727" s="24"/>
      <c r="B727" s="186"/>
      <c r="C727" s="186"/>
      <c r="D727" s="187"/>
      <c r="E727" s="187"/>
      <c r="F727" s="186"/>
      <c r="G727" s="186"/>
      <c r="H727" s="186"/>
      <c r="I727" s="188"/>
      <c r="J727" s="189"/>
      <c r="K727" s="670"/>
      <c r="L727" s="670"/>
      <c r="M727" s="670"/>
      <c r="N727" s="670"/>
      <c r="O727" s="670"/>
      <c r="P727" s="670"/>
      <c r="Q727" s="670"/>
      <c r="R727" s="670"/>
      <c r="S727" s="670"/>
      <c r="T727" s="670"/>
    </row>
    <row r="728" spans="1:20" s="577" customFormat="1" ht="24" customHeight="1" thickBot="1">
      <c r="A728" s="753"/>
      <c r="B728" s="754"/>
      <c r="C728" s="755" t="s">
        <v>716</v>
      </c>
      <c r="D728" s="756"/>
      <c r="E728" s="756"/>
      <c r="F728" s="754"/>
      <c r="G728" s="754"/>
      <c r="H728" s="757">
        <f>H721+H717+H705+H662+H642+H614+H585+H560+H555+H553+H511+H472+H439+H352+H342+H336+H213+H199+H128+H117+H96+H77+H72+H39+H18</f>
        <v>0</v>
      </c>
      <c r="I728" s="758"/>
      <c r="J728" s="759"/>
      <c r="K728" s="760"/>
      <c r="L728" s="760"/>
      <c r="M728" s="760"/>
      <c r="N728" s="760"/>
      <c r="O728" s="760"/>
      <c r="P728" s="760"/>
      <c r="Q728" s="760"/>
      <c r="R728" s="760"/>
      <c r="S728" s="760"/>
      <c r="T728" s="760"/>
    </row>
  </sheetData>
  <mergeCells count="21">
    <mergeCell ref="H8:J9"/>
    <mergeCell ref="I14:J14"/>
    <mergeCell ref="G2:G3"/>
    <mergeCell ref="G6:G7"/>
    <mergeCell ref="G14:H14"/>
    <mergeCell ref="G4:G5"/>
    <mergeCell ref="G8:G9"/>
    <mergeCell ref="H2:J3"/>
    <mergeCell ref="H4:J5"/>
    <mergeCell ref="H6:J7"/>
    <mergeCell ref="C8:C9"/>
    <mergeCell ref="D2:E3"/>
    <mergeCell ref="C2:C3"/>
    <mergeCell ref="C4:C5"/>
    <mergeCell ref="C6:C7"/>
    <mergeCell ref="D4:E5"/>
    <mergeCell ref="D6:E7"/>
    <mergeCell ref="D8:F9"/>
    <mergeCell ref="F2:F3"/>
    <mergeCell ref="F6:F7"/>
    <mergeCell ref="F4:F5"/>
  </mergeCells>
  <printOptions/>
  <pageMargins left="0.4" right="0.36" top="0.59" bottom="0.66" header="0.24" footer="0.24"/>
  <pageSetup horizontalDpi="600" verticalDpi="600" orientation="portrait" paperSize="9" scale="70" r:id="rId1"/>
  <headerFooter alignWithMargins="0">
    <oddFooter>&amp;L&amp;F
&amp;A&amp;C&amp;P/&amp;N</oddFooter>
  </headerFooter>
  <colBreaks count="1" manualBreakCount="1">
    <brk id="10"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BH346"/>
  <sheetViews>
    <sheetView showGridLines="0" view="pageBreakPreview" zoomScaleSheetLayoutView="100" workbookViewId="0" topLeftCell="A1">
      <selection activeCell="E1" sqref="D1:E1"/>
    </sheetView>
  </sheetViews>
  <sheetFormatPr defaultColWidth="9.140625" defaultRowHeight="12.75"/>
  <cols>
    <col min="1" max="1" width="5.28125" style="28" customWidth="1"/>
    <col min="2" max="2" width="14.7109375" style="0" customWidth="1"/>
    <col min="3" max="3" width="43.140625" style="0" customWidth="1"/>
    <col min="4" max="4" width="10.57421875" style="987" customWidth="1"/>
    <col min="5" max="5" width="8.140625" style="33" customWidth="1"/>
    <col min="6" max="6" width="9.8515625" style="0" customWidth="1"/>
    <col min="7" max="7" width="11.140625" style="0" customWidth="1"/>
    <col min="8" max="8" width="14.00390625" style="0" customWidth="1"/>
    <col min="9" max="9" width="9.140625" style="12" customWidth="1"/>
    <col min="10" max="10" width="13.140625" style="12" customWidth="1"/>
    <col min="11" max="11" width="7.421875" style="583" customWidth="1"/>
    <col min="12" max="12" width="9.00390625" style="583" customWidth="1"/>
    <col min="13" max="14" width="7.421875" style="583" customWidth="1"/>
    <col min="15" max="15" width="7.28125" style="583" customWidth="1"/>
    <col min="16" max="16" width="9.140625" style="583" customWidth="1"/>
    <col min="17" max="17" width="9.140625" style="584" customWidth="1"/>
    <col min="18" max="19" width="9.140625" style="579" customWidth="1"/>
  </cols>
  <sheetData>
    <row r="1" spans="1:19" ht="23.25">
      <c r="A1" s="23"/>
      <c r="B1" s="13"/>
      <c r="C1" s="14" t="s">
        <v>1683</v>
      </c>
      <c r="D1" s="13"/>
      <c r="E1" s="13"/>
      <c r="F1" s="13"/>
      <c r="G1" s="13"/>
      <c r="H1" s="13"/>
      <c r="I1" s="15"/>
      <c r="J1" s="16"/>
      <c r="K1" s="761"/>
      <c r="L1" s="761"/>
      <c r="M1" s="761"/>
      <c r="N1" s="761"/>
      <c r="O1" s="761"/>
      <c r="P1" s="761"/>
      <c r="Q1" s="762"/>
      <c r="R1" s="670"/>
      <c r="S1" s="670"/>
    </row>
    <row r="2" spans="1:19" ht="12.75">
      <c r="A2" s="24"/>
      <c r="B2" s="653"/>
      <c r="C2" s="1310" t="s">
        <v>1684</v>
      </c>
      <c r="D2" s="1308" t="s">
        <v>1685</v>
      </c>
      <c r="E2" s="1308"/>
      <c r="F2" s="1308"/>
      <c r="G2" s="1320" t="s">
        <v>1686</v>
      </c>
      <c r="H2" s="1324" t="s">
        <v>1687</v>
      </c>
      <c r="I2" s="1325"/>
      <c r="J2" s="1326"/>
      <c r="K2" s="761"/>
      <c r="L2" s="761"/>
      <c r="M2" s="761"/>
      <c r="N2" s="761"/>
      <c r="O2" s="761"/>
      <c r="P2" s="761"/>
      <c r="Q2" s="762"/>
      <c r="R2" s="670"/>
      <c r="S2" s="670"/>
    </row>
    <row r="3" spans="1:19" ht="12.75">
      <c r="A3" s="24"/>
      <c r="B3" s="652"/>
      <c r="C3" s="1311"/>
      <c r="D3" s="1309"/>
      <c r="E3" s="1309"/>
      <c r="F3" s="1309"/>
      <c r="G3" s="1321"/>
      <c r="H3" s="1316"/>
      <c r="I3" s="1316"/>
      <c r="J3" s="1317"/>
      <c r="K3" s="761"/>
      <c r="L3" s="761"/>
      <c r="M3" s="761"/>
      <c r="N3" s="761"/>
      <c r="O3" s="761"/>
      <c r="P3" s="761"/>
      <c r="Q3" s="762"/>
      <c r="R3" s="670"/>
      <c r="S3" s="670"/>
    </row>
    <row r="4" spans="1:19" ht="12.75">
      <c r="A4" s="24"/>
      <c r="B4" s="652"/>
      <c r="C4" s="1309" t="s">
        <v>1688</v>
      </c>
      <c r="D4" s="1309" t="s">
        <v>1689</v>
      </c>
      <c r="E4" s="1309"/>
      <c r="F4" s="1327"/>
      <c r="G4" s="1321" t="s">
        <v>1690</v>
      </c>
      <c r="H4" s="1315" t="s">
        <v>1586</v>
      </c>
      <c r="I4" s="1315"/>
      <c r="J4" s="1328"/>
      <c r="K4" s="761"/>
      <c r="L4" s="761"/>
      <c r="M4" s="761"/>
      <c r="N4" s="761"/>
      <c r="O4" s="761"/>
      <c r="P4" s="761"/>
      <c r="Q4" s="762"/>
      <c r="R4" s="670"/>
      <c r="S4" s="670"/>
    </row>
    <row r="5" spans="1:19" ht="12.75">
      <c r="A5" s="24"/>
      <c r="B5" s="652"/>
      <c r="C5" s="1312"/>
      <c r="D5" s="1309"/>
      <c r="E5" s="1309"/>
      <c r="F5" s="1327"/>
      <c r="G5" s="1321"/>
      <c r="H5" s="1315"/>
      <c r="I5" s="1315"/>
      <c r="J5" s="1328"/>
      <c r="K5" s="761"/>
      <c r="L5" s="761"/>
      <c r="M5" s="761"/>
      <c r="N5" s="761"/>
      <c r="O5" s="761"/>
      <c r="P5" s="761"/>
      <c r="Q5" s="762"/>
      <c r="R5" s="670"/>
      <c r="S5" s="670"/>
    </row>
    <row r="6" spans="1:19" ht="12.75">
      <c r="A6" s="24"/>
      <c r="B6" s="652"/>
      <c r="C6" s="1309" t="s">
        <v>1580</v>
      </c>
      <c r="D6" s="1309" t="s">
        <v>1691</v>
      </c>
      <c r="E6" s="1309"/>
      <c r="F6" s="1327"/>
      <c r="G6" s="1321" t="s">
        <v>1692</v>
      </c>
      <c r="H6" s="1315"/>
      <c r="I6" s="1316"/>
      <c r="J6" s="1317"/>
      <c r="K6" s="761"/>
      <c r="L6" s="761"/>
      <c r="M6" s="761"/>
      <c r="N6" s="761"/>
      <c r="O6" s="761"/>
      <c r="P6" s="761"/>
      <c r="Q6" s="762"/>
      <c r="R6" s="670"/>
      <c r="S6" s="670"/>
    </row>
    <row r="7" spans="1:19" ht="12.75">
      <c r="A7" s="24"/>
      <c r="B7" s="652"/>
      <c r="C7" s="1312"/>
      <c r="D7" s="1309"/>
      <c r="E7" s="1309"/>
      <c r="F7" s="1327"/>
      <c r="G7" s="1321"/>
      <c r="H7" s="1316"/>
      <c r="I7" s="1316"/>
      <c r="J7" s="1317"/>
      <c r="K7" s="761"/>
      <c r="L7" s="761"/>
      <c r="M7" s="761"/>
      <c r="N7" s="761"/>
      <c r="O7" s="761"/>
      <c r="P7" s="761"/>
      <c r="Q7" s="762"/>
      <c r="R7" s="670"/>
      <c r="S7" s="670"/>
    </row>
    <row r="8" spans="1:19" ht="12.75">
      <c r="A8" s="24"/>
      <c r="B8" s="652"/>
      <c r="C8" s="1306" t="s">
        <v>717</v>
      </c>
      <c r="D8" s="1313" t="s">
        <v>2830</v>
      </c>
      <c r="E8" s="1314"/>
      <c r="F8" s="1314"/>
      <c r="G8" s="1321" t="s">
        <v>1693</v>
      </c>
      <c r="H8" s="1315" t="s">
        <v>1586</v>
      </c>
      <c r="I8" s="1316"/>
      <c r="J8" s="1317"/>
      <c r="K8" s="761"/>
      <c r="L8" s="761"/>
      <c r="M8" s="761"/>
      <c r="N8" s="761"/>
      <c r="O8" s="761"/>
      <c r="P8" s="761"/>
      <c r="Q8" s="762"/>
      <c r="R8" s="670"/>
      <c r="S8" s="670"/>
    </row>
    <row r="9" spans="1:19" ht="12.75">
      <c r="A9" s="24"/>
      <c r="B9" s="652"/>
      <c r="C9" s="1329"/>
      <c r="D9" s="1314"/>
      <c r="E9" s="1314"/>
      <c r="F9" s="1314"/>
      <c r="G9" s="1321"/>
      <c r="H9" s="1316"/>
      <c r="I9" s="1316"/>
      <c r="J9" s="1317"/>
      <c r="K9" s="761"/>
      <c r="L9" s="761"/>
      <c r="M9" s="761"/>
      <c r="N9" s="761"/>
      <c r="O9" s="761"/>
      <c r="P9" s="761"/>
      <c r="Q9" s="762"/>
      <c r="R9" s="670"/>
      <c r="S9" s="670"/>
    </row>
    <row r="10" spans="1:20" s="18" customFormat="1" ht="15" customHeight="1">
      <c r="A10" s="25"/>
      <c r="B10" s="652"/>
      <c r="C10" s="1015"/>
      <c r="D10" s="1021" t="s">
        <v>2748</v>
      </c>
      <c r="E10" s="1020"/>
      <c r="F10" s="1020"/>
      <c r="G10" s="1000"/>
      <c r="H10" s="1001"/>
      <c r="I10" s="1001"/>
      <c r="J10" s="1002"/>
      <c r="K10" s="671"/>
      <c r="L10" s="671"/>
      <c r="M10" s="671"/>
      <c r="N10" s="671"/>
      <c r="O10" s="671"/>
      <c r="P10" s="671"/>
      <c r="Q10" s="671"/>
      <c r="R10" s="671"/>
      <c r="S10" s="671"/>
      <c r="T10" s="671"/>
    </row>
    <row r="11" spans="1:20" s="18" customFormat="1" ht="16.5" customHeight="1">
      <c r="A11" s="25"/>
      <c r="B11" s="652"/>
      <c r="C11" s="1015"/>
      <c r="D11" s="1035" t="s">
        <v>2828</v>
      </c>
      <c r="E11" s="1035"/>
      <c r="F11" s="1035"/>
      <c r="G11" s="1000"/>
      <c r="H11" s="1001"/>
      <c r="I11" s="1001"/>
      <c r="J11" s="1002"/>
      <c r="O11" s="512"/>
      <c r="P11" s="512"/>
      <c r="T11" s="671"/>
    </row>
    <row r="12" spans="1:20" s="18" customFormat="1" ht="16.5" customHeight="1" thickBot="1">
      <c r="A12" s="889"/>
      <c r="B12" s="890"/>
      <c r="C12" s="891"/>
      <c r="D12" s="1036" t="s">
        <v>2834</v>
      </c>
      <c r="E12" s="1036"/>
      <c r="F12" s="1036"/>
      <c r="G12" s="892"/>
      <c r="H12" s="893"/>
      <c r="I12" s="893"/>
      <c r="J12" s="894"/>
      <c r="O12" s="512"/>
      <c r="P12" s="512"/>
      <c r="T12" s="671"/>
    </row>
    <row r="13" spans="1:19" ht="13.5" thickBot="1">
      <c r="A13" s="160"/>
      <c r="B13" s="161"/>
      <c r="C13" s="162"/>
      <c r="D13" s="1129"/>
      <c r="E13" s="161"/>
      <c r="F13" s="161"/>
      <c r="G13" s="161"/>
      <c r="H13" s="161"/>
      <c r="I13" s="163"/>
      <c r="J13" s="164"/>
      <c r="K13" s="670"/>
      <c r="L13" s="670"/>
      <c r="M13" s="670"/>
      <c r="N13" s="670"/>
      <c r="O13" s="670"/>
      <c r="P13" s="670"/>
      <c r="Q13" s="670"/>
      <c r="R13" s="670"/>
      <c r="S13" s="670"/>
    </row>
    <row r="14" spans="1:19" s="18" customFormat="1" ht="12.75">
      <c r="A14" s="25"/>
      <c r="B14" s="17" t="s">
        <v>1694</v>
      </c>
      <c r="C14" s="2" t="s">
        <v>1694</v>
      </c>
      <c r="D14" s="961"/>
      <c r="E14" s="30" t="s">
        <v>1694</v>
      </c>
      <c r="F14" s="2" t="s">
        <v>1694</v>
      </c>
      <c r="G14" s="1322" t="s">
        <v>1695</v>
      </c>
      <c r="H14" s="1323"/>
      <c r="I14" s="1318" t="s">
        <v>1696</v>
      </c>
      <c r="J14" s="1319"/>
      <c r="K14" s="763"/>
      <c r="L14" s="763"/>
      <c r="M14" s="763"/>
      <c r="N14" s="763"/>
      <c r="O14" s="763"/>
      <c r="P14" s="763"/>
      <c r="Q14" s="764"/>
      <c r="R14" s="671"/>
      <c r="S14" s="671"/>
    </row>
    <row r="15" spans="1:19" s="18" customFormat="1" ht="13.5" thickBot="1">
      <c r="A15" s="26"/>
      <c r="B15" s="19" t="s">
        <v>1697</v>
      </c>
      <c r="C15" s="4" t="s">
        <v>1698</v>
      </c>
      <c r="D15" s="924" t="s">
        <v>2751</v>
      </c>
      <c r="E15" s="6" t="s">
        <v>1699</v>
      </c>
      <c r="F15" s="6" t="s">
        <v>1700</v>
      </c>
      <c r="G15" s="7" t="s">
        <v>1701</v>
      </c>
      <c r="H15" s="8" t="s">
        <v>1702</v>
      </c>
      <c r="I15" s="10" t="s">
        <v>1701</v>
      </c>
      <c r="J15" s="11" t="s">
        <v>1702</v>
      </c>
      <c r="K15" s="763"/>
      <c r="L15" s="763"/>
      <c r="M15" s="763"/>
      <c r="N15" s="763"/>
      <c r="O15" s="763"/>
      <c r="P15" s="763"/>
      <c r="Q15" s="764"/>
      <c r="R15" s="671"/>
      <c r="S15" s="671"/>
    </row>
    <row r="16" spans="1:19" ht="16.5" customHeight="1" thickBot="1">
      <c r="A16" s="266"/>
      <c r="B16" s="175"/>
      <c r="C16" s="176"/>
      <c r="D16" s="1008"/>
      <c r="E16" s="175"/>
      <c r="F16" s="175"/>
      <c r="G16" s="175"/>
      <c r="H16" s="185"/>
      <c r="I16" s="177"/>
      <c r="J16" s="178"/>
      <c r="K16" s="670"/>
      <c r="L16" s="670"/>
      <c r="M16" s="670"/>
      <c r="N16" s="670"/>
      <c r="O16" s="670"/>
      <c r="P16" s="670"/>
      <c r="Q16" s="670"/>
      <c r="R16" s="670"/>
      <c r="S16" s="670"/>
    </row>
    <row r="17" spans="1:19" s="18" customFormat="1" ht="16.5" customHeight="1" thickBot="1">
      <c r="A17" s="27"/>
      <c r="B17" s="122"/>
      <c r="C17" s="122" t="s">
        <v>1703</v>
      </c>
      <c r="D17" s="963"/>
      <c r="E17" s="123"/>
      <c r="F17" s="123"/>
      <c r="G17" s="124"/>
      <c r="H17" s="125">
        <f>H18+H29+H34+H36+H38+H54+H62+H92+H97+H130+H135+H145+H190+H205+H222+H231+H233+H267+H238+H240+H255+H286+H288+H292+H296</f>
        <v>0</v>
      </c>
      <c r="I17" s="126"/>
      <c r="J17" s="127"/>
      <c r="K17" s="763"/>
      <c r="L17" s="763"/>
      <c r="M17" s="763"/>
      <c r="N17" s="763"/>
      <c r="O17" s="763"/>
      <c r="P17" s="763"/>
      <c r="Q17" s="764"/>
      <c r="R17" s="671"/>
      <c r="S17" s="671"/>
    </row>
    <row r="18" spans="1:19" ht="16.5" customHeight="1" thickBot="1">
      <c r="A18" s="266" t="s">
        <v>1704</v>
      </c>
      <c r="B18" s="175" t="s">
        <v>1616</v>
      </c>
      <c r="C18" s="176" t="s">
        <v>1705</v>
      </c>
      <c r="D18" s="1008"/>
      <c r="E18" s="175"/>
      <c r="F18" s="175"/>
      <c r="G18" s="175"/>
      <c r="H18" s="185">
        <f>SUM(H19:H28)</f>
        <v>0</v>
      </c>
      <c r="I18" s="177"/>
      <c r="J18" s="178">
        <f>SUM(J19:J28)</f>
        <v>41.29075</v>
      </c>
      <c r="K18" s="670"/>
      <c r="L18" s="670"/>
      <c r="M18" s="670"/>
      <c r="N18" s="670"/>
      <c r="O18" s="670"/>
      <c r="P18" s="670"/>
      <c r="Q18" s="670"/>
      <c r="R18" s="670"/>
      <c r="S18" s="670"/>
    </row>
    <row r="19" spans="1:19" s="22" customFormat="1" ht="17.25" customHeight="1">
      <c r="A19" s="190" t="s">
        <v>1706</v>
      </c>
      <c r="B19" s="191" t="s">
        <v>1707</v>
      </c>
      <c r="C19" s="191" t="s">
        <v>1708</v>
      </c>
      <c r="D19" s="964" t="s">
        <v>2774</v>
      </c>
      <c r="E19" s="192" t="s">
        <v>1709</v>
      </c>
      <c r="F19" s="345">
        <f>E20</f>
        <v>93.89999999999999</v>
      </c>
      <c r="G19" s="345"/>
      <c r="H19" s="345">
        <f aca="true" t="shared" si="0" ref="H19:H28">F19*G19</f>
        <v>0</v>
      </c>
      <c r="I19" s="346">
        <v>0</v>
      </c>
      <c r="J19" s="347">
        <f aca="true" t="shared" si="1" ref="J19:J28">F19*I19</f>
        <v>0</v>
      </c>
      <c r="K19" s="693"/>
      <c r="L19" s="693"/>
      <c r="M19" s="693"/>
      <c r="N19" s="693"/>
      <c r="O19" s="693"/>
      <c r="P19" s="693"/>
      <c r="Q19" s="694"/>
      <c r="R19" s="509"/>
      <c r="S19" s="509"/>
    </row>
    <row r="20" spans="1:19" s="130" customFormat="1" ht="20.25" customHeight="1">
      <c r="A20" s="204"/>
      <c r="B20" s="205"/>
      <c r="C20" s="205" t="s">
        <v>718</v>
      </c>
      <c r="D20" s="916"/>
      <c r="E20" s="207">
        <f>17.2*0.6*1+14.4*2.5*2+19.3*0.6*1</f>
        <v>93.89999999999999</v>
      </c>
      <c r="F20" s="335"/>
      <c r="G20" s="335"/>
      <c r="H20" s="335"/>
      <c r="I20" s="336"/>
      <c r="J20" s="337"/>
      <c r="K20" s="672"/>
      <c r="L20" s="672"/>
      <c r="M20" s="672"/>
      <c r="N20" s="672"/>
      <c r="O20" s="672"/>
      <c r="P20" s="672"/>
      <c r="Q20" s="673"/>
      <c r="R20" s="508"/>
      <c r="S20" s="508"/>
    </row>
    <row r="21" spans="1:19" s="22" customFormat="1" ht="17.25" customHeight="1">
      <c r="A21" s="196" t="s">
        <v>1711</v>
      </c>
      <c r="B21" s="197" t="s">
        <v>1712</v>
      </c>
      <c r="C21" s="197" t="s">
        <v>1713</v>
      </c>
      <c r="D21" s="917" t="s">
        <v>2774</v>
      </c>
      <c r="E21" s="198" t="s">
        <v>1709</v>
      </c>
      <c r="F21" s="332">
        <f>E22</f>
        <v>10.18</v>
      </c>
      <c r="G21" s="332"/>
      <c r="H21" s="332">
        <f t="shared" si="0"/>
        <v>0</v>
      </c>
      <c r="I21" s="333">
        <v>0</v>
      </c>
      <c r="J21" s="334">
        <f t="shared" si="1"/>
        <v>0</v>
      </c>
      <c r="K21" s="693"/>
      <c r="L21" s="693"/>
      <c r="M21" s="693"/>
      <c r="N21" s="693"/>
      <c r="O21" s="693"/>
      <c r="P21" s="693"/>
      <c r="Q21" s="694"/>
      <c r="R21" s="509"/>
      <c r="S21" s="509"/>
    </row>
    <row r="22" spans="1:19" s="130" customFormat="1" ht="20.25" customHeight="1">
      <c r="A22" s="204"/>
      <c r="B22" s="205"/>
      <c r="C22" s="205" t="s">
        <v>719</v>
      </c>
      <c r="D22" s="916"/>
      <c r="E22" s="207">
        <f>(17.2+14.4)*0.2*1+19.3*0.2*1</f>
        <v>10.18</v>
      </c>
      <c r="F22" s="335"/>
      <c r="G22" s="335"/>
      <c r="H22" s="335"/>
      <c r="I22" s="336"/>
      <c r="J22" s="337"/>
      <c r="K22" s="672"/>
      <c r="L22" s="672"/>
      <c r="M22" s="672"/>
      <c r="N22" s="672"/>
      <c r="O22" s="672"/>
      <c r="P22" s="672"/>
      <c r="Q22" s="673"/>
      <c r="R22" s="508"/>
      <c r="S22" s="508"/>
    </row>
    <row r="23" spans="1:19" s="22" customFormat="1" ht="17.25" customHeight="1">
      <c r="A23" s="196" t="s">
        <v>1715</v>
      </c>
      <c r="B23" s="197" t="s">
        <v>1723</v>
      </c>
      <c r="C23" s="197" t="s">
        <v>1724</v>
      </c>
      <c r="D23" s="917" t="s">
        <v>2774</v>
      </c>
      <c r="E23" s="198" t="s">
        <v>1709</v>
      </c>
      <c r="F23" s="332">
        <f>E24</f>
        <v>60.379999999999995</v>
      </c>
      <c r="G23" s="332"/>
      <c r="H23" s="332">
        <f t="shared" si="0"/>
        <v>0</v>
      </c>
      <c r="I23" s="333">
        <v>0</v>
      </c>
      <c r="J23" s="334">
        <f t="shared" si="1"/>
        <v>0</v>
      </c>
      <c r="K23" s="693"/>
      <c r="L23" s="693"/>
      <c r="M23" s="693"/>
      <c r="N23" s="693"/>
      <c r="O23" s="693"/>
      <c r="P23" s="693"/>
      <c r="Q23" s="694"/>
      <c r="R23" s="509"/>
      <c r="S23" s="509"/>
    </row>
    <row r="24" spans="1:19" s="130" customFormat="1" ht="37.5" customHeight="1">
      <c r="A24" s="204"/>
      <c r="B24" s="205"/>
      <c r="C24" s="206" t="s">
        <v>720</v>
      </c>
      <c r="D24" s="916"/>
      <c r="E24" s="207">
        <f>82.32+6.32-9.4*0.5*0.14-5*0.1*0.1-17.2*0.5*0.14-20.2*0.24-21.5</f>
        <v>60.379999999999995</v>
      </c>
      <c r="F24" s="335"/>
      <c r="G24" s="335"/>
      <c r="H24" s="335"/>
      <c r="I24" s="336"/>
      <c r="J24" s="337"/>
      <c r="K24" s="672"/>
      <c r="L24" s="672"/>
      <c r="M24" s="672"/>
      <c r="N24" s="672"/>
      <c r="O24" s="672"/>
      <c r="P24" s="672"/>
      <c r="Q24" s="673"/>
      <c r="R24" s="508"/>
      <c r="S24" s="508"/>
    </row>
    <row r="25" spans="1:19" s="1034" customFormat="1" ht="17.25" customHeight="1">
      <c r="A25" s="196" t="s">
        <v>1719</v>
      </c>
      <c r="B25" s="197" t="s">
        <v>1726</v>
      </c>
      <c r="C25" s="199" t="s">
        <v>1727</v>
      </c>
      <c r="D25" s="916"/>
      <c r="E25" s="198" t="s">
        <v>1709</v>
      </c>
      <c r="F25" s="1028">
        <f>E26</f>
        <v>43.70000000000001</v>
      </c>
      <c r="G25" s="332"/>
      <c r="H25" s="332">
        <f t="shared" si="0"/>
        <v>0</v>
      </c>
      <c r="I25" s="333">
        <v>0</v>
      </c>
      <c r="J25" s="334">
        <f t="shared" si="1"/>
        <v>0</v>
      </c>
      <c r="K25" s="1031"/>
      <c r="L25" s="1031"/>
      <c r="M25" s="1031"/>
      <c r="N25" s="1031"/>
      <c r="O25" s="1031"/>
      <c r="P25" s="1031"/>
      <c r="Q25" s="1032"/>
      <c r="R25" s="1033"/>
      <c r="S25" s="1033"/>
    </row>
    <row r="26" spans="1:19" s="1059" customFormat="1" ht="15" customHeight="1">
      <c r="A26" s="204"/>
      <c r="B26" s="205"/>
      <c r="C26" s="205" t="s">
        <v>2845</v>
      </c>
      <c r="D26" s="916"/>
      <c r="E26" s="1051">
        <f>93.9+10.18-60.38</f>
        <v>43.70000000000001</v>
      </c>
      <c r="F26" s="335"/>
      <c r="G26" s="335"/>
      <c r="H26" s="335"/>
      <c r="I26" s="336"/>
      <c r="J26" s="337"/>
      <c r="K26" s="1082"/>
      <c r="L26" s="1082"/>
      <c r="M26" s="1082"/>
      <c r="N26" s="1082"/>
      <c r="O26" s="1082"/>
      <c r="P26" s="1082"/>
      <c r="Q26" s="1083"/>
      <c r="R26" s="1058"/>
      <c r="S26" s="1058"/>
    </row>
    <row r="27" spans="1:19" s="22" customFormat="1" ht="17.25" customHeight="1">
      <c r="A27" s="196" t="s">
        <v>1722</v>
      </c>
      <c r="B27" s="197" t="s">
        <v>1729</v>
      </c>
      <c r="C27" s="199" t="s">
        <v>1730</v>
      </c>
      <c r="D27" s="965"/>
      <c r="E27" s="198" t="s">
        <v>1709</v>
      </c>
      <c r="F27" s="1028">
        <f>F25</f>
        <v>43.70000000000001</v>
      </c>
      <c r="G27" s="332"/>
      <c r="H27" s="332">
        <f t="shared" si="0"/>
        <v>0</v>
      </c>
      <c r="I27" s="333">
        <v>0</v>
      </c>
      <c r="J27" s="334">
        <f t="shared" si="1"/>
        <v>0</v>
      </c>
      <c r="K27" s="693"/>
      <c r="L27" s="693"/>
      <c r="M27" s="693"/>
      <c r="N27" s="693"/>
      <c r="O27" s="693"/>
      <c r="P27" s="693"/>
      <c r="Q27" s="694"/>
      <c r="R27" s="509"/>
      <c r="S27" s="509"/>
    </row>
    <row r="28" spans="1:19" s="22" customFormat="1" ht="17.25" customHeight="1" thickBot="1">
      <c r="A28" s="255" t="s">
        <v>1725</v>
      </c>
      <c r="B28" s="256" t="s">
        <v>1732</v>
      </c>
      <c r="C28" s="264" t="s">
        <v>1733</v>
      </c>
      <c r="D28" s="966"/>
      <c r="E28" s="257" t="s">
        <v>1709</v>
      </c>
      <c r="F28" s="368">
        <v>21.5</v>
      </c>
      <c r="G28" s="368"/>
      <c r="H28" s="368">
        <f t="shared" si="0"/>
        <v>0</v>
      </c>
      <c r="I28" s="369">
        <v>1.9205</v>
      </c>
      <c r="J28" s="370">
        <f t="shared" si="1"/>
        <v>41.29075</v>
      </c>
      <c r="K28" s="693"/>
      <c r="L28" s="693"/>
      <c r="M28" s="693"/>
      <c r="N28" s="693"/>
      <c r="O28" s="693"/>
      <c r="P28" s="693"/>
      <c r="Q28" s="694"/>
      <c r="R28" s="509"/>
      <c r="S28" s="509"/>
    </row>
    <row r="29" spans="1:19" ht="16.5" customHeight="1" thickBot="1">
      <c r="A29" s="266" t="s">
        <v>1743</v>
      </c>
      <c r="B29" s="175" t="s">
        <v>1744</v>
      </c>
      <c r="C29" s="176" t="s">
        <v>1745</v>
      </c>
      <c r="D29" s="175"/>
      <c r="E29" s="175"/>
      <c r="F29" s="341"/>
      <c r="G29" s="341"/>
      <c r="H29" s="342">
        <f>SUM(H30:H33)</f>
        <v>0</v>
      </c>
      <c r="I29" s="343"/>
      <c r="J29" s="344">
        <f>SUM(J30:J33)</f>
        <v>2.6868486999999996</v>
      </c>
      <c r="K29" s="670"/>
      <c r="L29" s="670"/>
      <c r="M29" s="670"/>
      <c r="N29" s="670"/>
      <c r="O29" s="670"/>
      <c r="P29" s="670"/>
      <c r="Q29" s="670"/>
      <c r="R29" s="670"/>
      <c r="S29" s="670"/>
    </row>
    <row r="30" spans="1:19" s="22" customFormat="1" ht="27.75" customHeight="1">
      <c r="A30" s="196" t="s">
        <v>1734</v>
      </c>
      <c r="B30" s="197" t="s">
        <v>1746</v>
      </c>
      <c r="C30" s="199" t="s">
        <v>1747</v>
      </c>
      <c r="D30" s="964" t="s">
        <v>2774</v>
      </c>
      <c r="E30" s="198" t="s">
        <v>1748</v>
      </c>
      <c r="F30" s="332">
        <f>SUM(E31:E31)</f>
        <v>58.339999999999996</v>
      </c>
      <c r="G30" s="332"/>
      <c r="H30" s="332">
        <f>F30*G30</f>
        <v>0</v>
      </c>
      <c r="I30" s="333">
        <v>0.03279</v>
      </c>
      <c r="J30" s="334">
        <f>F30*I30</f>
        <v>1.9129686</v>
      </c>
      <c r="K30" s="693"/>
      <c r="L30" s="693"/>
      <c r="M30" s="693"/>
      <c r="N30" s="693"/>
      <c r="O30" s="693"/>
      <c r="P30" s="693"/>
      <c r="Q30" s="694"/>
      <c r="R30" s="509"/>
      <c r="S30" s="509"/>
    </row>
    <row r="31" spans="1:19" s="130" customFormat="1" ht="20.25" customHeight="1">
      <c r="A31" s="204"/>
      <c r="B31" s="205" t="s">
        <v>1749</v>
      </c>
      <c r="C31" s="205" t="s">
        <v>721</v>
      </c>
      <c r="D31" s="916"/>
      <c r="E31" s="207">
        <f>(17.2)*0.8+14.4*2.5-5*1*0.6+19.3*0.6</f>
        <v>58.339999999999996</v>
      </c>
      <c r="F31" s="335"/>
      <c r="G31" s="335"/>
      <c r="H31" s="335"/>
      <c r="I31" s="336"/>
      <c r="J31" s="337"/>
      <c r="K31" s="672"/>
      <c r="L31" s="672"/>
      <c r="M31" s="672"/>
      <c r="N31" s="672"/>
      <c r="O31" s="672"/>
      <c r="P31" s="672"/>
      <c r="Q31" s="673"/>
      <c r="R31" s="508"/>
      <c r="S31" s="508"/>
    </row>
    <row r="32" spans="1:19" s="22" customFormat="1" ht="26.25" customHeight="1">
      <c r="A32" s="196" t="s">
        <v>1753</v>
      </c>
      <c r="B32" s="197" t="s">
        <v>1754</v>
      </c>
      <c r="C32" s="199" t="s">
        <v>1755</v>
      </c>
      <c r="D32" s="1175" t="s">
        <v>2774</v>
      </c>
      <c r="E32" s="198" t="s">
        <v>1748</v>
      </c>
      <c r="F32" s="332">
        <f>SUM(E33)</f>
        <v>14.584999999999999</v>
      </c>
      <c r="G32" s="332"/>
      <c r="H32" s="332">
        <f>F32*G32</f>
        <v>0</v>
      </c>
      <c r="I32" s="333">
        <v>0.05306</v>
      </c>
      <c r="J32" s="334">
        <f>F32*I32</f>
        <v>0.7738801</v>
      </c>
      <c r="K32" s="693"/>
      <c r="L32" s="693"/>
      <c r="M32" s="693"/>
      <c r="N32" s="693"/>
      <c r="O32" s="693"/>
      <c r="P32" s="693"/>
      <c r="Q32" s="694"/>
      <c r="R32" s="509"/>
      <c r="S32" s="509"/>
    </row>
    <row r="33" spans="1:19" s="130" customFormat="1" ht="20.25" customHeight="1" thickBot="1">
      <c r="A33" s="204"/>
      <c r="B33" s="205" t="s">
        <v>1749</v>
      </c>
      <c r="C33" s="205" t="s">
        <v>722</v>
      </c>
      <c r="D33" s="916"/>
      <c r="E33" s="207">
        <f>((17.2)*0.8+14.4*2.5-5*1*0.6+19.3*0.6)*0.25</f>
        <v>14.584999999999999</v>
      </c>
      <c r="F33" s="335"/>
      <c r="G33" s="335"/>
      <c r="H33" s="335"/>
      <c r="I33" s="336"/>
      <c r="J33" s="337"/>
      <c r="K33" s="672"/>
      <c r="L33" s="672"/>
      <c r="M33" s="672"/>
      <c r="N33" s="672"/>
      <c r="O33" s="672"/>
      <c r="P33" s="672"/>
      <c r="Q33" s="673"/>
      <c r="R33" s="508"/>
      <c r="S33" s="508"/>
    </row>
    <row r="34" spans="1:19" ht="16.5" customHeight="1" thickBot="1">
      <c r="A34" s="266" t="s">
        <v>1801</v>
      </c>
      <c r="B34" s="175" t="s">
        <v>1802</v>
      </c>
      <c r="C34" s="176" t="s">
        <v>1803</v>
      </c>
      <c r="D34" s="175"/>
      <c r="E34" s="175"/>
      <c r="F34" s="341"/>
      <c r="G34" s="341"/>
      <c r="H34" s="342">
        <f>SUM(H35)</f>
        <v>0</v>
      </c>
      <c r="I34" s="343"/>
      <c r="J34" s="344">
        <f>SUM(J35)</f>
        <v>0</v>
      </c>
      <c r="K34" s="670"/>
      <c r="L34" s="670"/>
      <c r="M34" s="670"/>
      <c r="N34" s="670"/>
      <c r="O34" s="670"/>
      <c r="P34" s="670"/>
      <c r="Q34" s="670"/>
      <c r="R34" s="670"/>
      <c r="S34" s="670"/>
    </row>
    <row r="35" spans="1:19" s="22" customFormat="1" ht="17.25" customHeight="1" thickBot="1">
      <c r="A35" s="196"/>
      <c r="B35" s="197"/>
      <c r="C35" s="199"/>
      <c r="D35" s="965"/>
      <c r="E35" s="198"/>
      <c r="F35" s="332"/>
      <c r="G35" s="332"/>
      <c r="H35" s="332"/>
      <c r="I35" s="333"/>
      <c r="J35" s="334"/>
      <c r="K35" s="693"/>
      <c r="L35" s="693"/>
      <c r="M35" s="693"/>
      <c r="N35" s="693"/>
      <c r="O35" s="693"/>
      <c r="P35" s="693"/>
      <c r="Q35" s="694"/>
      <c r="R35" s="509"/>
      <c r="S35" s="509"/>
    </row>
    <row r="36" spans="1:19" ht="16.5" customHeight="1" thickBot="1">
      <c r="A36" s="266" t="s">
        <v>1809</v>
      </c>
      <c r="B36" s="175" t="s">
        <v>1810</v>
      </c>
      <c r="C36" s="176" t="s">
        <v>1811</v>
      </c>
      <c r="D36" s="175"/>
      <c r="E36" s="175"/>
      <c r="F36" s="341"/>
      <c r="G36" s="341"/>
      <c r="H36" s="342">
        <f>SUM(H37:H37)</f>
        <v>0</v>
      </c>
      <c r="I36" s="343"/>
      <c r="J36" s="344">
        <f>SUM(J37:J37)</f>
        <v>0</v>
      </c>
      <c r="K36" s="670"/>
      <c r="L36" s="670"/>
      <c r="M36" s="670"/>
      <c r="N36" s="670"/>
      <c r="O36" s="670"/>
      <c r="P36" s="670"/>
      <c r="Q36" s="670"/>
      <c r="R36" s="670"/>
      <c r="S36" s="670"/>
    </row>
    <row r="37" spans="1:19" s="22" customFormat="1" ht="17.25" customHeight="1" thickBot="1">
      <c r="A37" s="196"/>
      <c r="B37" s="197"/>
      <c r="C37" s="199"/>
      <c r="D37" s="965"/>
      <c r="E37" s="198"/>
      <c r="F37" s="332"/>
      <c r="G37" s="332"/>
      <c r="H37" s="332"/>
      <c r="I37" s="333"/>
      <c r="J37" s="334"/>
      <c r="K37" s="693"/>
      <c r="L37" s="693"/>
      <c r="M37" s="693"/>
      <c r="N37" s="693"/>
      <c r="O37" s="693"/>
      <c r="P37" s="693"/>
      <c r="Q37" s="694"/>
      <c r="R37" s="509"/>
      <c r="S37" s="509"/>
    </row>
    <row r="38" spans="1:19" ht="16.5" customHeight="1" thickBot="1">
      <c r="A38" s="266" t="s">
        <v>1846</v>
      </c>
      <c r="B38" s="175" t="s">
        <v>1628</v>
      </c>
      <c r="C38" s="176" t="s">
        <v>1847</v>
      </c>
      <c r="D38" s="175"/>
      <c r="E38" s="175"/>
      <c r="F38" s="341"/>
      <c r="G38" s="341"/>
      <c r="H38" s="342">
        <f>SUM(H39:H53)</f>
        <v>0</v>
      </c>
      <c r="I38" s="343"/>
      <c r="J38" s="344">
        <f>SUM(J39:J53)</f>
        <v>14.553300400000001</v>
      </c>
      <c r="K38" s="670"/>
      <c r="L38" s="670"/>
      <c r="M38" s="670"/>
      <c r="N38" s="670"/>
      <c r="O38" s="670"/>
      <c r="P38" s="670"/>
      <c r="Q38" s="670"/>
      <c r="R38" s="670"/>
      <c r="S38" s="670"/>
    </row>
    <row r="39" spans="1:19" s="22" customFormat="1" ht="16.5" customHeight="1">
      <c r="A39" s="190"/>
      <c r="B39" s="191"/>
      <c r="C39" s="191"/>
      <c r="D39" s="964"/>
      <c r="E39" s="192"/>
      <c r="F39" s="345"/>
      <c r="G39" s="345"/>
      <c r="H39" s="345"/>
      <c r="I39" s="346"/>
      <c r="J39" s="347"/>
      <c r="K39" s="693"/>
      <c r="L39" s="693"/>
      <c r="M39" s="693"/>
      <c r="N39" s="693"/>
      <c r="O39" s="693"/>
      <c r="P39" s="693"/>
      <c r="Q39" s="694"/>
      <c r="R39" s="509"/>
      <c r="S39" s="509"/>
    </row>
    <row r="40" spans="1:19" s="22" customFormat="1" ht="16.5" customHeight="1">
      <c r="A40" s="196" t="s">
        <v>1848</v>
      </c>
      <c r="B40" s="197" t="s">
        <v>1849</v>
      </c>
      <c r="C40" s="197" t="s">
        <v>1850</v>
      </c>
      <c r="D40" s="917" t="s">
        <v>2775</v>
      </c>
      <c r="E40" s="198" t="s">
        <v>1748</v>
      </c>
      <c r="F40" s="332">
        <f>4.65*1.1</f>
        <v>5.115000000000001</v>
      </c>
      <c r="G40" s="332"/>
      <c r="H40" s="332">
        <f>F40*G40</f>
        <v>0</v>
      </c>
      <c r="I40" s="333">
        <v>0.0005</v>
      </c>
      <c r="J40" s="334">
        <f>F40*I40</f>
        <v>0.0025575000000000007</v>
      </c>
      <c r="K40" s="509"/>
      <c r="L40" s="509"/>
      <c r="M40" s="509"/>
      <c r="N40" s="509"/>
      <c r="O40" s="509"/>
      <c r="P40" s="509"/>
      <c r="Q40" s="509"/>
      <c r="R40" s="509"/>
      <c r="S40" s="509"/>
    </row>
    <row r="41" spans="1:19" s="22" customFormat="1" ht="16.5" customHeight="1">
      <c r="A41" s="196" t="s">
        <v>1851</v>
      </c>
      <c r="B41" s="197" t="s">
        <v>1813</v>
      </c>
      <c r="C41" s="197" t="s">
        <v>1814</v>
      </c>
      <c r="D41" s="917"/>
      <c r="E41" s="198" t="s">
        <v>1748</v>
      </c>
      <c r="F41" s="332">
        <v>4.65</v>
      </c>
      <c r="G41" s="332"/>
      <c r="H41" s="332">
        <f>F41*G41</f>
        <v>0</v>
      </c>
      <c r="I41" s="333">
        <v>0.25094</v>
      </c>
      <c r="J41" s="334">
        <f>F41*I41</f>
        <v>1.166871</v>
      </c>
      <c r="K41" s="509"/>
      <c r="L41" s="509"/>
      <c r="M41" s="509"/>
      <c r="N41" s="509"/>
      <c r="O41" s="509"/>
      <c r="P41" s="509"/>
      <c r="Q41" s="509"/>
      <c r="R41" s="509"/>
      <c r="S41" s="509"/>
    </row>
    <row r="42" spans="1:19" s="22" customFormat="1" ht="31.5" customHeight="1">
      <c r="A42" s="196" t="s">
        <v>1852</v>
      </c>
      <c r="B42" s="245" t="s">
        <v>1853</v>
      </c>
      <c r="C42" s="246" t="s">
        <v>1854</v>
      </c>
      <c r="D42" s="967" t="s">
        <v>2775</v>
      </c>
      <c r="E42" s="247" t="s">
        <v>1748</v>
      </c>
      <c r="F42" s="363">
        <f>E43</f>
        <v>4.65</v>
      </c>
      <c r="G42" s="363"/>
      <c r="H42" s="363">
        <f>F42*G42</f>
        <v>0</v>
      </c>
      <c r="I42" s="364">
        <v>0.19825</v>
      </c>
      <c r="J42" s="365">
        <f>F42*I42</f>
        <v>0.9218625000000001</v>
      </c>
      <c r="K42" s="509"/>
      <c r="L42" s="509"/>
      <c r="M42" s="509"/>
      <c r="N42" s="509"/>
      <c r="O42" s="509"/>
      <c r="P42" s="509"/>
      <c r="Q42" s="509"/>
      <c r="R42" s="509"/>
      <c r="S42" s="509"/>
    </row>
    <row r="43" spans="1:19" s="240" customFormat="1" ht="16.5" customHeight="1">
      <c r="A43" s="231"/>
      <c r="B43" s="232" t="s">
        <v>1855</v>
      </c>
      <c r="C43" s="233" t="s">
        <v>723</v>
      </c>
      <c r="D43" s="902"/>
      <c r="E43" s="213">
        <f>9.3*0.5</f>
        <v>4.65</v>
      </c>
      <c r="F43" s="387"/>
      <c r="G43" s="387"/>
      <c r="H43" s="356"/>
      <c r="I43" s="356"/>
      <c r="J43" s="357"/>
      <c r="K43" s="679"/>
      <c r="L43" s="679"/>
      <c r="M43" s="239"/>
      <c r="N43" s="239"/>
      <c r="O43" s="239"/>
      <c r="P43" s="239"/>
      <c r="Q43" s="239"/>
      <c r="R43" s="239"/>
      <c r="S43" s="239"/>
    </row>
    <row r="44" spans="1:21" s="1034" customFormat="1" ht="16.5" customHeight="1">
      <c r="A44" s="1023" t="s">
        <v>2884</v>
      </c>
      <c r="B44" s="1024" t="s">
        <v>2879</v>
      </c>
      <c r="C44" s="1024" t="s">
        <v>2880</v>
      </c>
      <c r="D44" s="902"/>
      <c r="E44" s="1027" t="s">
        <v>1748</v>
      </c>
      <c r="F44" s="1028">
        <f>F47+F41</f>
        <v>26.85</v>
      </c>
      <c r="G44" s="1028"/>
      <c r="H44" s="1028">
        <f>F44*G44</f>
        <v>0</v>
      </c>
      <c r="I44" s="1029">
        <v>0</v>
      </c>
      <c r="J44" s="1030">
        <f>F44*I44</f>
        <v>0</v>
      </c>
      <c r="K44" s="1031"/>
      <c r="L44" s="1031"/>
      <c r="M44" s="1031"/>
      <c r="N44" s="1031"/>
      <c r="O44" s="1031"/>
      <c r="P44" s="1031"/>
      <c r="Q44" s="1032"/>
      <c r="R44" s="1033"/>
      <c r="S44" s="1033"/>
      <c r="T44" s="1033"/>
      <c r="U44" s="1033"/>
    </row>
    <row r="45" spans="1:19" s="22" customFormat="1" ht="16.5" customHeight="1">
      <c r="A45" s="196" t="s">
        <v>1857</v>
      </c>
      <c r="B45" s="197" t="s">
        <v>1860</v>
      </c>
      <c r="C45" s="197" t="s">
        <v>1861</v>
      </c>
      <c r="D45" s="917" t="s">
        <v>2775</v>
      </c>
      <c r="E45" s="198" t="s">
        <v>1748</v>
      </c>
      <c r="F45" s="332">
        <f>E46</f>
        <v>22.2</v>
      </c>
      <c r="G45" s="332"/>
      <c r="H45" s="332">
        <f>F45*G45</f>
        <v>0</v>
      </c>
      <c r="I45" s="333">
        <v>0.27994</v>
      </c>
      <c r="J45" s="334">
        <f>F45*I45</f>
        <v>6.2146680000000005</v>
      </c>
      <c r="K45" s="509"/>
      <c r="L45" s="509"/>
      <c r="M45" s="509"/>
      <c r="N45" s="509"/>
      <c r="O45" s="509"/>
      <c r="P45" s="509"/>
      <c r="Q45" s="509"/>
      <c r="R45" s="509"/>
      <c r="S45" s="509"/>
    </row>
    <row r="46" spans="1:19" s="251" customFormat="1" ht="14.25" customHeight="1">
      <c r="A46" s="248"/>
      <c r="B46" s="249"/>
      <c r="C46" s="250" t="s">
        <v>724</v>
      </c>
      <c r="D46" s="902"/>
      <c r="E46" s="213">
        <f>27.2-5</f>
        <v>22.2</v>
      </c>
      <c r="F46" s="387"/>
      <c r="G46" s="387"/>
      <c r="H46" s="356"/>
      <c r="I46" s="356"/>
      <c r="J46" s="357"/>
      <c r="K46" s="681"/>
      <c r="L46" s="681"/>
      <c r="M46" s="682"/>
      <c r="N46" s="682"/>
      <c r="O46" s="682"/>
      <c r="P46" s="682"/>
      <c r="Q46" s="682"/>
      <c r="R46" s="682"/>
      <c r="S46" s="682"/>
    </row>
    <row r="47" spans="1:19" s="22" customFormat="1" ht="16.5" customHeight="1">
      <c r="A47" s="196" t="s">
        <v>1864</v>
      </c>
      <c r="B47" s="1106" t="s">
        <v>2886</v>
      </c>
      <c r="C47" s="1106" t="s">
        <v>2887</v>
      </c>
      <c r="D47" s="967" t="s">
        <v>2775</v>
      </c>
      <c r="E47" s="247" t="s">
        <v>1748</v>
      </c>
      <c r="F47" s="363">
        <f>E48</f>
        <v>22.2</v>
      </c>
      <c r="G47" s="363"/>
      <c r="H47" s="363">
        <f>F47*G47</f>
        <v>0</v>
      </c>
      <c r="I47" s="364">
        <v>0.0739</v>
      </c>
      <c r="J47" s="365">
        <f>F47*I47</f>
        <v>1.6405799999999997</v>
      </c>
      <c r="K47" s="509"/>
      <c r="L47" s="509"/>
      <c r="M47" s="509"/>
      <c r="N47" s="509"/>
      <c r="O47" s="509"/>
      <c r="P47" s="509"/>
      <c r="Q47" s="509"/>
      <c r="R47" s="509"/>
      <c r="S47" s="509"/>
    </row>
    <row r="48" spans="1:19" s="251" customFormat="1" ht="14.25" customHeight="1">
      <c r="A48" s="248"/>
      <c r="B48" s="249"/>
      <c r="C48" s="250" t="s">
        <v>724</v>
      </c>
      <c r="D48" s="902"/>
      <c r="E48" s="213">
        <f>27.2-5</f>
        <v>22.2</v>
      </c>
      <c r="F48" s="387"/>
      <c r="G48" s="387"/>
      <c r="H48" s="356"/>
      <c r="I48" s="356"/>
      <c r="J48" s="357"/>
      <c r="K48" s="681"/>
      <c r="L48" s="681"/>
      <c r="M48" s="682"/>
      <c r="N48" s="682"/>
      <c r="O48" s="682"/>
      <c r="P48" s="682"/>
      <c r="Q48" s="682"/>
      <c r="R48" s="682"/>
      <c r="S48" s="682"/>
    </row>
    <row r="49" spans="1:19" s="22" customFormat="1" ht="16.5" customHeight="1">
      <c r="A49" s="196" t="s">
        <v>1865</v>
      </c>
      <c r="B49" s="197" t="s">
        <v>1866</v>
      </c>
      <c r="C49" s="197" t="s">
        <v>1867</v>
      </c>
      <c r="D49" s="917" t="s">
        <v>2775</v>
      </c>
      <c r="E49" s="198" t="s">
        <v>1748</v>
      </c>
      <c r="F49" s="332">
        <f>SUM(E50:E50)</f>
        <v>22.644</v>
      </c>
      <c r="G49" s="332"/>
      <c r="H49" s="332">
        <f>F49*G49</f>
        <v>0</v>
      </c>
      <c r="I49" s="333">
        <v>0.1296</v>
      </c>
      <c r="J49" s="334">
        <f>F49*I49</f>
        <v>2.9346623999999997</v>
      </c>
      <c r="K49" s="509"/>
      <c r="L49" s="509"/>
      <c r="M49" s="509"/>
      <c r="N49" s="509"/>
      <c r="O49" s="509"/>
      <c r="P49" s="509"/>
      <c r="Q49" s="509"/>
      <c r="R49" s="509"/>
      <c r="S49" s="509"/>
    </row>
    <row r="50" spans="1:19" s="251" customFormat="1" ht="14.25" customHeight="1">
      <c r="A50" s="248"/>
      <c r="B50" s="249"/>
      <c r="C50" s="250" t="s">
        <v>725</v>
      </c>
      <c r="D50" s="902"/>
      <c r="E50" s="213">
        <f>(27.2-5)*1.02</f>
        <v>22.644</v>
      </c>
      <c r="F50" s="387"/>
      <c r="G50" s="387"/>
      <c r="H50" s="356"/>
      <c r="I50" s="356"/>
      <c r="J50" s="357"/>
      <c r="K50" s="681"/>
      <c r="L50" s="681"/>
      <c r="M50" s="682"/>
      <c r="N50" s="682"/>
      <c r="O50" s="682"/>
      <c r="P50" s="682"/>
      <c r="Q50" s="682"/>
      <c r="R50" s="682"/>
      <c r="S50" s="682"/>
    </row>
    <row r="51" spans="1:19" s="22" customFormat="1" ht="30" customHeight="1">
      <c r="A51" s="196" t="s">
        <v>1870</v>
      </c>
      <c r="B51" s="197" t="s">
        <v>1871</v>
      </c>
      <c r="C51" s="683" t="s">
        <v>1872</v>
      </c>
      <c r="D51" s="917" t="s">
        <v>2775</v>
      </c>
      <c r="E51" s="198" t="s">
        <v>1826</v>
      </c>
      <c r="F51" s="332">
        <f>E52</f>
        <v>14.299999999999999</v>
      </c>
      <c r="G51" s="332"/>
      <c r="H51" s="332">
        <f>F51*G51</f>
        <v>0</v>
      </c>
      <c r="I51" s="333">
        <v>0.11693</v>
      </c>
      <c r="J51" s="334">
        <f>F51*I51</f>
        <v>1.672099</v>
      </c>
      <c r="K51" s="509"/>
      <c r="L51" s="509"/>
      <c r="M51" s="509"/>
      <c r="N51" s="509"/>
      <c r="O51" s="509"/>
      <c r="P51" s="509"/>
      <c r="Q51" s="509"/>
      <c r="R51" s="509"/>
      <c r="S51" s="509"/>
    </row>
    <row r="52" spans="1:19" s="251" customFormat="1" ht="17.25" customHeight="1">
      <c r="A52" s="248"/>
      <c r="B52" s="249"/>
      <c r="C52" s="250" t="s">
        <v>726</v>
      </c>
      <c r="D52" s="902"/>
      <c r="E52" s="213">
        <f>1.2+13.1</f>
        <v>14.299999999999999</v>
      </c>
      <c r="F52" s="387"/>
      <c r="G52" s="387"/>
      <c r="H52" s="356"/>
      <c r="I52" s="356"/>
      <c r="J52" s="357"/>
      <c r="K52" s="681"/>
      <c r="L52" s="681"/>
      <c r="M52" s="682"/>
      <c r="N52" s="682"/>
      <c r="O52" s="682"/>
      <c r="P52" s="682"/>
      <c r="Q52" s="682"/>
      <c r="R52" s="682"/>
      <c r="S52" s="682"/>
    </row>
    <row r="53" spans="1:19" s="22" customFormat="1" ht="16.5" customHeight="1" thickBot="1">
      <c r="A53" s="255"/>
      <c r="B53" s="256"/>
      <c r="C53" s="256"/>
      <c r="D53" s="968"/>
      <c r="E53" s="257"/>
      <c r="F53" s="368"/>
      <c r="G53" s="368"/>
      <c r="H53" s="368"/>
      <c r="I53" s="369"/>
      <c r="J53" s="370"/>
      <c r="K53" s="693"/>
      <c r="L53" s="693"/>
      <c r="M53" s="693"/>
      <c r="N53" s="693"/>
      <c r="O53" s="693"/>
      <c r="P53" s="693"/>
      <c r="Q53" s="694"/>
      <c r="R53" s="509"/>
      <c r="S53" s="509"/>
    </row>
    <row r="54" spans="1:19" ht="16.5" customHeight="1" thickBot="1">
      <c r="A54" s="266" t="s">
        <v>1874</v>
      </c>
      <c r="B54" s="175" t="s">
        <v>1875</v>
      </c>
      <c r="C54" s="176" t="s">
        <v>1876</v>
      </c>
      <c r="D54" s="175"/>
      <c r="E54" s="175"/>
      <c r="F54" s="341"/>
      <c r="G54" s="341"/>
      <c r="H54" s="342">
        <f>SUM(H55:H61)</f>
        <v>0</v>
      </c>
      <c r="I54" s="343"/>
      <c r="J54" s="344">
        <f>SUM(J55:J61)</f>
        <v>1.1517150999999997</v>
      </c>
      <c r="K54" s="670"/>
      <c r="L54" s="670"/>
      <c r="M54" s="670"/>
      <c r="N54" s="670"/>
      <c r="O54" s="670"/>
      <c r="P54" s="670"/>
      <c r="Q54" s="670"/>
      <c r="R54" s="670"/>
      <c r="S54" s="670"/>
    </row>
    <row r="55" spans="1:19" s="22" customFormat="1" ht="15" customHeight="1">
      <c r="A55" s="190"/>
      <c r="B55" s="191"/>
      <c r="C55" s="191"/>
      <c r="D55" s="964"/>
      <c r="E55" s="192"/>
      <c r="F55" s="345"/>
      <c r="G55" s="345"/>
      <c r="H55" s="345"/>
      <c r="I55" s="346"/>
      <c r="J55" s="347"/>
      <c r="K55" s="693"/>
      <c r="L55" s="693"/>
      <c r="M55" s="693"/>
      <c r="N55" s="693"/>
      <c r="O55" s="693"/>
      <c r="P55" s="693"/>
      <c r="Q55" s="694"/>
      <c r="R55" s="509"/>
      <c r="S55" s="509"/>
    </row>
    <row r="56" spans="1:19" s="22" customFormat="1" ht="20.25" customHeight="1">
      <c r="A56" s="196" t="s">
        <v>1877</v>
      </c>
      <c r="B56" s="197" t="s">
        <v>1890</v>
      </c>
      <c r="C56" s="197" t="s">
        <v>1891</v>
      </c>
      <c r="D56" s="917" t="s">
        <v>2761</v>
      </c>
      <c r="E56" s="198" t="s">
        <v>1826</v>
      </c>
      <c r="F56" s="332">
        <f>E57</f>
        <v>180.34999999999997</v>
      </c>
      <c r="G56" s="332"/>
      <c r="H56" s="332">
        <f>F56*G56</f>
        <v>0</v>
      </c>
      <c r="I56" s="333">
        <v>0.00431</v>
      </c>
      <c r="J56" s="334">
        <f>F56*I56</f>
        <v>0.7773084999999997</v>
      </c>
      <c r="K56" s="509"/>
      <c r="L56" s="509"/>
      <c r="M56" s="509"/>
      <c r="N56" s="509"/>
      <c r="O56" s="509"/>
      <c r="P56" s="509"/>
      <c r="Q56" s="509"/>
      <c r="R56" s="509"/>
      <c r="S56" s="509"/>
    </row>
    <row r="57" spans="1:19" s="251" customFormat="1" ht="17.25" customHeight="1">
      <c r="A57" s="248"/>
      <c r="B57" s="249"/>
      <c r="C57" s="250" t="s">
        <v>727</v>
      </c>
      <c r="D57" s="969"/>
      <c r="E57" s="213">
        <f>130.26+29.83+20.26</f>
        <v>180.34999999999997</v>
      </c>
      <c r="F57" s="367"/>
      <c r="G57" s="387"/>
      <c r="H57" s="387"/>
      <c r="I57" s="356"/>
      <c r="J57" s="357"/>
      <c r="K57" s="681"/>
      <c r="L57" s="681"/>
      <c r="M57" s="681"/>
      <c r="N57" s="682"/>
      <c r="O57" s="682"/>
      <c r="P57" s="682"/>
      <c r="Q57" s="682"/>
      <c r="R57" s="682"/>
      <c r="S57" s="682"/>
    </row>
    <row r="58" spans="1:19" s="22" customFormat="1" ht="20.25" customHeight="1">
      <c r="A58" s="196" t="s">
        <v>1882</v>
      </c>
      <c r="B58" s="197" t="s">
        <v>1883</v>
      </c>
      <c r="C58" s="197" t="s">
        <v>1884</v>
      </c>
      <c r="D58" s="917" t="s">
        <v>2761</v>
      </c>
      <c r="E58" s="198" t="s">
        <v>1748</v>
      </c>
      <c r="F58" s="332">
        <f>E59</f>
        <v>54.10499999999999</v>
      </c>
      <c r="G58" s="332"/>
      <c r="H58" s="332">
        <f>F58*G58</f>
        <v>0</v>
      </c>
      <c r="I58" s="333">
        <v>0.00034</v>
      </c>
      <c r="J58" s="334">
        <f>F58*I58</f>
        <v>0.018395699999999997</v>
      </c>
      <c r="K58" s="693"/>
      <c r="L58" s="693"/>
      <c r="M58" s="693"/>
      <c r="N58" s="693"/>
      <c r="O58" s="693"/>
      <c r="P58" s="693"/>
      <c r="Q58" s="694"/>
      <c r="R58" s="509"/>
      <c r="S58" s="509"/>
    </row>
    <row r="59" spans="1:19" s="251" customFormat="1" ht="17.25" customHeight="1">
      <c r="A59" s="248"/>
      <c r="B59" s="249"/>
      <c r="C59" s="250" t="s">
        <v>728</v>
      </c>
      <c r="D59" s="969"/>
      <c r="E59" s="213">
        <f>(130.26+29.83+20.26)*0.3</f>
        <v>54.10499999999999</v>
      </c>
      <c r="F59" s="367"/>
      <c r="G59" s="387"/>
      <c r="H59" s="387"/>
      <c r="I59" s="356"/>
      <c r="J59" s="357"/>
      <c r="K59" s="681"/>
      <c r="L59" s="681"/>
      <c r="M59" s="681"/>
      <c r="N59" s="682"/>
      <c r="O59" s="682"/>
      <c r="P59" s="682"/>
      <c r="Q59" s="682"/>
      <c r="R59" s="682"/>
      <c r="S59" s="682"/>
    </row>
    <row r="60" spans="1:19" s="22" customFormat="1" ht="20.25" customHeight="1">
      <c r="A60" s="196" t="s">
        <v>1886</v>
      </c>
      <c r="B60" s="197" t="s">
        <v>1887</v>
      </c>
      <c r="C60" s="197" t="s">
        <v>1888</v>
      </c>
      <c r="D60" s="917" t="s">
        <v>2761</v>
      </c>
      <c r="E60" s="198" t="s">
        <v>1748</v>
      </c>
      <c r="F60" s="332">
        <f>F58</f>
        <v>54.10499999999999</v>
      </c>
      <c r="G60" s="332"/>
      <c r="H60" s="332">
        <f>F60*G60</f>
        <v>0</v>
      </c>
      <c r="I60" s="333">
        <v>0.00658</v>
      </c>
      <c r="J60" s="334">
        <f>F60*I60</f>
        <v>0.3560108999999999</v>
      </c>
      <c r="K60" s="693"/>
      <c r="L60" s="693"/>
      <c r="M60" s="693"/>
      <c r="N60" s="693"/>
      <c r="O60" s="693"/>
      <c r="P60" s="693"/>
      <c r="Q60" s="694"/>
      <c r="R60" s="509"/>
      <c r="S60" s="509"/>
    </row>
    <row r="61" spans="1:19" s="22" customFormat="1" ht="20.25" customHeight="1" thickBot="1">
      <c r="A61" s="255"/>
      <c r="B61" s="256"/>
      <c r="C61" s="256"/>
      <c r="D61" s="968"/>
      <c r="E61" s="257"/>
      <c r="F61" s="368"/>
      <c r="G61" s="368"/>
      <c r="H61" s="368"/>
      <c r="I61" s="369"/>
      <c r="J61" s="370"/>
      <c r="K61" s="693"/>
      <c r="L61" s="693"/>
      <c r="M61" s="693"/>
      <c r="N61" s="693"/>
      <c r="O61" s="693"/>
      <c r="P61" s="693"/>
      <c r="Q61" s="694"/>
      <c r="R61" s="509"/>
      <c r="S61" s="509"/>
    </row>
    <row r="62" spans="1:19" ht="16.5" customHeight="1" thickBot="1">
      <c r="A62" s="266" t="s">
        <v>1893</v>
      </c>
      <c r="B62" s="175" t="s">
        <v>1894</v>
      </c>
      <c r="C62" s="176" t="s">
        <v>1895</v>
      </c>
      <c r="D62" s="175"/>
      <c r="E62" s="175"/>
      <c r="F62" s="341"/>
      <c r="G62" s="341"/>
      <c r="H62" s="342">
        <f>SUM(H63:H91)</f>
        <v>0</v>
      </c>
      <c r="I62" s="343"/>
      <c r="J62" s="344">
        <f>SUM(J63:J91)</f>
        <v>24.6962250485</v>
      </c>
      <c r="K62" s="670"/>
      <c r="L62" s="670"/>
      <c r="M62" s="670"/>
      <c r="N62" s="670"/>
      <c r="O62" s="670"/>
      <c r="P62" s="670"/>
      <c r="Q62" s="670"/>
      <c r="R62" s="670"/>
      <c r="S62" s="670"/>
    </row>
    <row r="63" spans="1:19" s="22" customFormat="1" ht="20.25" customHeight="1">
      <c r="A63" s="190" t="s">
        <v>1896</v>
      </c>
      <c r="B63" s="191" t="s">
        <v>1897</v>
      </c>
      <c r="C63" s="191" t="s">
        <v>1898</v>
      </c>
      <c r="D63" s="917" t="s">
        <v>2761</v>
      </c>
      <c r="E63" s="192" t="s">
        <v>1748</v>
      </c>
      <c r="F63" s="345">
        <v>54.19</v>
      </c>
      <c r="G63" s="345"/>
      <c r="H63" s="345">
        <f aca="true" t="shared" si="2" ref="H63:H89">F63*G63</f>
        <v>0</v>
      </c>
      <c r="I63" s="346">
        <v>4E-05</v>
      </c>
      <c r="J63" s="347">
        <f aca="true" t="shared" si="3" ref="J63:J89">F63*I63</f>
        <v>0.0021676</v>
      </c>
      <c r="K63" s="693"/>
      <c r="L63" s="693"/>
      <c r="M63" s="693"/>
      <c r="N63" s="693"/>
      <c r="O63" s="693"/>
      <c r="P63" s="693"/>
      <c r="Q63" s="694"/>
      <c r="R63" s="509"/>
      <c r="S63" s="509"/>
    </row>
    <row r="64" spans="1:19" s="22" customFormat="1" ht="20.25" customHeight="1">
      <c r="A64" s="196" t="s">
        <v>1900</v>
      </c>
      <c r="B64" s="197" t="s">
        <v>1901</v>
      </c>
      <c r="C64" s="197" t="s">
        <v>1902</v>
      </c>
      <c r="D64" s="917" t="s">
        <v>2761</v>
      </c>
      <c r="E64" s="198" t="s">
        <v>1748</v>
      </c>
      <c r="F64" s="332">
        <f>E65</f>
        <v>393.34000000000003</v>
      </c>
      <c r="G64" s="332"/>
      <c r="H64" s="332">
        <f t="shared" si="2"/>
        <v>0</v>
      </c>
      <c r="I64" s="333">
        <v>2E-05</v>
      </c>
      <c r="J64" s="334">
        <f t="shared" si="3"/>
        <v>0.007866800000000002</v>
      </c>
      <c r="K64" s="693"/>
      <c r="L64" s="693"/>
      <c r="M64" s="693"/>
      <c r="N64" s="693"/>
      <c r="O64" s="693"/>
      <c r="P64" s="693"/>
      <c r="Q64" s="694"/>
      <c r="R64" s="509"/>
      <c r="S64" s="509"/>
    </row>
    <row r="65" spans="1:19" s="251" customFormat="1" ht="14.25" customHeight="1">
      <c r="A65" s="248"/>
      <c r="B65" s="249"/>
      <c r="C65" s="250" t="s">
        <v>729</v>
      </c>
      <c r="D65" s="902"/>
      <c r="E65" s="213">
        <f>335+58.34</f>
        <v>393.34000000000003</v>
      </c>
      <c r="F65" s="387"/>
      <c r="G65" s="387"/>
      <c r="H65" s="356"/>
      <c r="I65" s="356"/>
      <c r="J65" s="357"/>
      <c r="K65" s="681"/>
      <c r="L65" s="681"/>
      <c r="M65" s="682"/>
      <c r="N65" s="682"/>
      <c r="O65" s="682"/>
      <c r="P65" s="682"/>
      <c r="Q65" s="682"/>
      <c r="R65" s="682"/>
      <c r="S65" s="682"/>
    </row>
    <row r="66" spans="1:19" s="22" customFormat="1" ht="20.25" customHeight="1">
      <c r="A66" s="196" t="s">
        <v>1904</v>
      </c>
      <c r="B66" s="197" t="s">
        <v>1905</v>
      </c>
      <c r="C66" s="197" t="s">
        <v>1906</v>
      </c>
      <c r="D66" s="917" t="s">
        <v>2761</v>
      </c>
      <c r="E66" s="198" t="s">
        <v>1748</v>
      </c>
      <c r="F66" s="332">
        <v>335</v>
      </c>
      <c r="G66" s="332"/>
      <c r="H66" s="332">
        <f t="shared" si="2"/>
        <v>0</v>
      </c>
      <c r="I66" s="333">
        <v>0.04634</v>
      </c>
      <c r="J66" s="334">
        <f t="shared" si="3"/>
        <v>15.5239</v>
      </c>
      <c r="K66" s="693"/>
      <c r="L66" s="693"/>
      <c r="M66" s="693"/>
      <c r="N66" s="693"/>
      <c r="O66" s="693"/>
      <c r="P66" s="693"/>
      <c r="Q66" s="694"/>
      <c r="R66" s="509"/>
      <c r="S66" s="509"/>
    </row>
    <row r="67" spans="1:20" s="1034" customFormat="1" ht="15.75" customHeight="1">
      <c r="A67" s="1023" t="s">
        <v>2844</v>
      </c>
      <c r="B67" s="1024" t="s">
        <v>2837</v>
      </c>
      <c r="C67" s="1024" t="s">
        <v>2838</v>
      </c>
      <c r="D67" s="1053"/>
      <c r="E67" s="1027" t="s">
        <v>1748</v>
      </c>
      <c r="F67" s="1028">
        <f>SUM(E68:E69)</f>
        <v>115.52</v>
      </c>
      <c r="G67" s="1028"/>
      <c r="H67" s="1028">
        <f>F67*G67</f>
        <v>0</v>
      </c>
      <c r="I67" s="1052">
        <v>0.0063</v>
      </c>
      <c r="J67" s="1060">
        <f>F67*I67</f>
        <v>0.727776</v>
      </c>
      <c r="K67" s="1033"/>
      <c r="L67" s="1033"/>
      <c r="M67" s="1033"/>
      <c r="N67" s="1033"/>
      <c r="O67" s="1033"/>
      <c r="P67" s="1033"/>
      <c r="Q67" s="1033"/>
      <c r="R67" s="1033"/>
      <c r="S67" s="1033"/>
      <c r="T67" s="1033"/>
    </row>
    <row r="68" spans="1:24" s="211" customFormat="1" ht="16.5" customHeight="1">
      <c r="A68" s="223"/>
      <c r="B68" s="224" t="s">
        <v>1920</v>
      </c>
      <c r="C68" s="224" t="s">
        <v>730</v>
      </c>
      <c r="D68" s="970"/>
      <c r="E68" s="220">
        <f>(17.2)*0.8+14.4*0.8+19.3*0.8</f>
        <v>40.72</v>
      </c>
      <c r="F68" s="225"/>
      <c r="G68" s="674"/>
      <c r="H68" s="225"/>
      <c r="I68" s="348"/>
      <c r="J68" s="349"/>
      <c r="K68" s="675"/>
      <c r="L68" s="675"/>
      <c r="M68" s="675"/>
      <c r="N68" s="675"/>
      <c r="O68" s="676"/>
      <c r="P68" s="676"/>
      <c r="Q68" s="676"/>
      <c r="R68" s="676"/>
      <c r="S68" s="515"/>
      <c r="T68" s="210"/>
      <c r="U68" s="210"/>
      <c r="V68" s="210"/>
      <c r="W68" s="210"/>
      <c r="X68" s="210"/>
    </row>
    <row r="69" spans="1:19" s="142" customFormat="1" ht="16.5" customHeight="1">
      <c r="A69" s="204"/>
      <c r="B69" s="212" t="s">
        <v>1921</v>
      </c>
      <c r="C69" s="212">
        <v>74.8</v>
      </c>
      <c r="D69" s="971"/>
      <c r="E69" s="141">
        <v>74.8</v>
      </c>
      <c r="F69" s="141"/>
      <c r="G69" s="141"/>
      <c r="H69" s="352"/>
      <c r="I69" s="352"/>
      <c r="J69" s="353"/>
      <c r="K69" s="677"/>
      <c r="L69" s="677"/>
      <c r="M69" s="215"/>
      <c r="N69" s="215"/>
      <c r="O69" s="215"/>
      <c r="P69" s="215"/>
      <c r="Q69" s="215"/>
      <c r="R69" s="215"/>
      <c r="S69" s="215"/>
    </row>
    <row r="70" spans="1:19" s="22" customFormat="1" ht="17.25" customHeight="1">
      <c r="A70" s="196" t="s">
        <v>1907</v>
      </c>
      <c r="B70" s="197" t="s">
        <v>1918</v>
      </c>
      <c r="C70" s="1024" t="s">
        <v>2841</v>
      </c>
      <c r="D70" s="917" t="s">
        <v>2761</v>
      </c>
      <c r="E70" s="198" t="s">
        <v>1748</v>
      </c>
      <c r="F70" s="332">
        <f>SUM(E71:E72)</f>
        <v>115.52</v>
      </c>
      <c r="G70" s="332"/>
      <c r="H70" s="332">
        <f t="shared" si="2"/>
        <v>0</v>
      </c>
      <c r="I70" s="333">
        <v>0.026</v>
      </c>
      <c r="J70" s="334">
        <f t="shared" si="3"/>
        <v>3.00352</v>
      </c>
      <c r="K70" s="693"/>
      <c r="L70" s="693"/>
      <c r="M70" s="693"/>
      <c r="N70" s="693"/>
      <c r="O70" s="693"/>
      <c r="P70" s="693"/>
      <c r="Q70" s="694"/>
      <c r="R70" s="509"/>
      <c r="S70" s="509"/>
    </row>
    <row r="71" spans="1:24" s="211" customFormat="1" ht="18" customHeight="1">
      <c r="A71" s="223"/>
      <c r="B71" s="224" t="s">
        <v>1920</v>
      </c>
      <c r="C71" s="224" t="s">
        <v>730</v>
      </c>
      <c r="D71" s="970"/>
      <c r="E71" s="220">
        <f>(17.2)*0.8+14.4*0.8+19.3*0.8</f>
        <v>40.72</v>
      </c>
      <c r="F71" s="225"/>
      <c r="G71" s="674"/>
      <c r="H71" s="225"/>
      <c r="I71" s="348"/>
      <c r="J71" s="349"/>
      <c r="K71" s="675"/>
      <c r="L71" s="675"/>
      <c r="M71" s="675"/>
      <c r="N71" s="675"/>
      <c r="O71" s="676"/>
      <c r="P71" s="676"/>
      <c r="Q71" s="676"/>
      <c r="R71" s="676"/>
      <c r="S71" s="515"/>
      <c r="T71" s="210"/>
      <c r="U71" s="210"/>
      <c r="V71" s="210"/>
      <c r="W71" s="210"/>
      <c r="X71" s="210"/>
    </row>
    <row r="72" spans="1:19" s="142" customFormat="1" ht="17.25" customHeight="1">
      <c r="A72" s="204"/>
      <c r="B72" s="212" t="s">
        <v>1921</v>
      </c>
      <c r="C72" s="212">
        <v>74.8</v>
      </c>
      <c r="D72" s="971"/>
      <c r="E72" s="141">
        <v>74.8</v>
      </c>
      <c r="F72" s="141"/>
      <c r="G72" s="141"/>
      <c r="H72" s="352"/>
      <c r="I72" s="352"/>
      <c r="J72" s="353"/>
      <c r="K72" s="677"/>
      <c r="L72" s="677"/>
      <c r="M72" s="215"/>
      <c r="N72" s="215"/>
      <c r="O72" s="215"/>
      <c r="P72" s="215"/>
      <c r="Q72" s="215"/>
      <c r="R72" s="215"/>
      <c r="S72" s="215"/>
    </row>
    <row r="73" spans="1:19" s="22" customFormat="1" ht="20.25" customHeight="1">
      <c r="A73" s="196" t="s">
        <v>1914</v>
      </c>
      <c r="B73" s="197" t="s">
        <v>1923</v>
      </c>
      <c r="C73" s="197" t="s">
        <v>1924</v>
      </c>
      <c r="D73" s="917" t="s">
        <v>1925</v>
      </c>
      <c r="E73" s="198" t="s">
        <v>1748</v>
      </c>
      <c r="F73" s="332">
        <f>E74</f>
        <v>56.41</v>
      </c>
      <c r="G73" s="332"/>
      <c r="H73" s="332">
        <f>F73*G73</f>
        <v>0</v>
      </c>
      <c r="I73" s="333">
        <v>0.01021</v>
      </c>
      <c r="J73" s="334">
        <f>F73*I73</f>
        <v>0.5759461</v>
      </c>
      <c r="K73" s="509"/>
      <c r="L73" s="509"/>
      <c r="M73" s="509"/>
      <c r="N73" s="509"/>
      <c r="O73" s="509"/>
      <c r="P73" s="509"/>
      <c r="Q73" s="509"/>
      <c r="R73" s="509"/>
      <c r="S73" s="509"/>
    </row>
    <row r="74" spans="1:24" s="211" customFormat="1" ht="18" customHeight="1">
      <c r="A74" s="223"/>
      <c r="B74" s="224" t="s">
        <v>1749</v>
      </c>
      <c r="C74" s="224" t="s">
        <v>731</v>
      </c>
      <c r="D74" s="970"/>
      <c r="E74" s="220">
        <f>(17.2)*0.8+14.4*2.5-5*1*0.6+19.3*0.5</f>
        <v>56.41</v>
      </c>
      <c r="F74" s="225"/>
      <c r="G74" s="674"/>
      <c r="H74" s="225"/>
      <c r="I74" s="348"/>
      <c r="J74" s="349"/>
      <c r="K74" s="675"/>
      <c r="L74" s="675"/>
      <c r="M74" s="675"/>
      <c r="N74" s="675"/>
      <c r="O74" s="676"/>
      <c r="P74" s="676"/>
      <c r="Q74" s="676"/>
      <c r="R74" s="676"/>
      <c r="S74" s="515"/>
      <c r="T74" s="210"/>
      <c r="U74" s="210"/>
      <c r="V74" s="210"/>
      <c r="W74" s="210"/>
      <c r="X74" s="210"/>
    </row>
    <row r="75" spans="1:19" s="22" customFormat="1" ht="30.75" customHeight="1">
      <c r="A75" s="196" t="s">
        <v>1917</v>
      </c>
      <c r="B75" s="197" t="s">
        <v>1927</v>
      </c>
      <c r="C75" s="199" t="s">
        <v>1928</v>
      </c>
      <c r="D75" s="917" t="s">
        <v>1929</v>
      </c>
      <c r="E75" s="198" t="s">
        <v>1748</v>
      </c>
      <c r="F75" s="332">
        <f>E76</f>
        <v>40.72</v>
      </c>
      <c r="G75" s="332"/>
      <c r="H75" s="332">
        <f>F75*G75</f>
        <v>0</v>
      </c>
      <c r="I75" s="333">
        <v>0.01396</v>
      </c>
      <c r="J75" s="334">
        <f>F75*I75</f>
        <v>0.5684512</v>
      </c>
      <c r="K75" s="509"/>
      <c r="L75" s="509"/>
      <c r="M75" s="509"/>
      <c r="N75" s="509"/>
      <c r="O75" s="509"/>
      <c r="P75" s="509"/>
      <c r="Q75" s="509"/>
      <c r="R75" s="509"/>
      <c r="S75" s="509"/>
    </row>
    <row r="76" spans="1:24" s="211" customFormat="1" ht="18.75" customHeight="1">
      <c r="A76" s="223"/>
      <c r="B76" s="224" t="s">
        <v>1920</v>
      </c>
      <c r="C76" s="224" t="s">
        <v>730</v>
      </c>
      <c r="D76" s="970"/>
      <c r="E76" s="220">
        <f>(17.2)*0.8+14.4*0.8+19.3*0.8</f>
        <v>40.72</v>
      </c>
      <c r="F76" s="225"/>
      <c r="G76" s="674"/>
      <c r="H76" s="225"/>
      <c r="I76" s="348"/>
      <c r="J76" s="349"/>
      <c r="K76" s="675"/>
      <c r="L76" s="675"/>
      <c r="M76" s="675"/>
      <c r="N76" s="675"/>
      <c r="O76" s="676"/>
      <c r="P76" s="676"/>
      <c r="Q76" s="676"/>
      <c r="R76" s="676"/>
      <c r="S76" s="515"/>
      <c r="T76" s="210"/>
      <c r="U76" s="210"/>
      <c r="V76" s="210"/>
      <c r="W76" s="210"/>
      <c r="X76" s="210"/>
    </row>
    <row r="77" spans="1:19" s="22" customFormat="1" ht="20.25" customHeight="1">
      <c r="A77" s="196" t="s">
        <v>1922</v>
      </c>
      <c r="B77" s="197" t="s">
        <v>1939</v>
      </c>
      <c r="C77" s="197" t="s">
        <v>1940</v>
      </c>
      <c r="D77" s="917" t="s">
        <v>1929</v>
      </c>
      <c r="E77" s="198" t="s">
        <v>1748</v>
      </c>
      <c r="F77" s="332">
        <f>F75</f>
        <v>40.72</v>
      </c>
      <c r="G77" s="332"/>
      <c r="H77" s="332">
        <f t="shared" si="2"/>
        <v>0</v>
      </c>
      <c r="I77" s="333">
        <v>0.00618</v>
      </c>
      <c r="J77" s="334">
        <f t="shared" si="3"/>
        <v>0.2516496</v>
      </c>
      <c r="K77" s="693"/>
      <c r="L77" s="693"/>
      <c r="M77" s="693"/>
      <c r="N77" s="693"/>
      <c r="O77" s="693"/>
      <c r="P77" s="693"/>
      <c r="Q77" s="694"/>
      <c r="R77" s="509"/>
      <c r="S77" s="509"/>
    </row>
    <row r="78" spans="1:19" s="22" customFormat="1" ht="20.25" customHeight="1">
      <c r="A78" s="196" t="s">
        <v>1926</v>
      </c>
      <c r="B78" s="197" t="s">
        <v>1961</v>
      </c>
      <c r="C78" s="197" t="s">
        <v>1962</v>
      </c>
      <c r="D78" s="917" t="s">
        <v>1963</v>
      </c>
      <c r="E78" s="198" t="s">
        <v>1748</v>
      </c>
      <c r="F78" s="332">
        <f>335-40.72</f>
        <v>294.28</v>
      </c>
      <c r="G78" s="332"/>
      <c r="H78" s="332">
        <f t="shared" si="2"/>
        <v>0</v>
      </c>
      <c r="I78" s="333">
        <v>0.01011</v>
      </c>
      <c r="J78" s="334">
        <f t="shared" si="3"/>
        <v>2.9751707999999994</v>
      </c>
      <c r="K78" s="693"/>
      <c r="L78" s="693"/>
      <c r="M78" s="693"/>
      <c r="N78" s="693"/>
      <c r="O78" s="693"/>
      <c r="P78" s="693"/>
      <c r="Q78" s="694"/>
      <c r="R78" s="509"/>
      <c r="S78" s="509"/>
    </row>
    <row r="79" spans="1:20" s="1034" customFormat="1" ht="20.25" customHeight="1">
      <c r="A79" s="1023" t="s">
        <v>2948</v>
      </c>
      <c r="B79" s="1024" t="s">
        <v>2937</v>
      </c>
      <c r="C79" s="1024" t="s">
        <v>2936</v>
      </c>
      <c r="D79" s="1109"/>
      <c r="E79" s="1027" t="s">
        <v>1748</v>
      </c>
      <c r="F79" s="1028">
        <f>SUM(E80)</f>
        <v>7.635000000000001</v>
      </c>
      <c r="G79" s="1028"/>
      <c r="H79" s="1028">
        <f>F79*G79</f>
        <v>0</v>
      </c>
      <c r="I79" s="1029">
        <v>0.0098511</v>
      </c>
      <c r="J79" s="1030">
        <f>F79*I79</f>
        <v>0.07521314850000001</v>
      </c>
      <c r="K79" s="1033"/>
      <c r="L79" s="1033"/>
      <c r="M79" s="1033"/>
      <c r="N79" s="1033"/>
      <c r="O79" s="1033"/>
      <c r="P79" s="1033"/>
      <c r="Q79" s="1033"/>
      <c r="R79" s="1033"/>
      <c r="S79" s="1033"/>
      <c r="T79" s="1033"/>
    </row>
    <row r="80" spans="1:20" s="1231" customFormat="1" ht="15.75" customHeight="1">
      <c r="A80" s="1223"/>
      <c r="B80" s="1224" t="s">
        <v>2935</v>
      </c>
      <c r="C80" s="1225" t="s">
        <v>2962</v>
      </c>
      <c r="D80" s="1222"/>
      <c r="E80" s="1226">
        <f>(17.2+14.4+19.3)*0.15</f>
        <v>7.635000000000001</v>
      </c>
      <c r="F80" s="1226"/>
      <c r="G80" s="1226"/>
      <c r="H80" s="1227"/>
      <c r="I80" s="1227"/>
      <c r="J80" s="1228"/>
      <c r="K80" s="1229"/>
      <c r="L80" s="1229"/>
      <c r="M80" s="1230"/>
      <c r="N80" s="1230"/>
      <c r="O80" s="1230"/>
      <c r="P80" s="1230"/>
      <c r="Q80" s="1230"/>
      <c r="R80" s="1230"/>
      <c r="S80" s="1230"/>
      <c r="T80" s="1230"/>
    </row>
    <row r="81" spans="1:19" s="22" customFormat="1" ht="20.25" customHeight="1">
      <c r="A81" s="196" t="s">
        <v>1931</v>
      </c>
      <c r="B81" s="197" t="s">
        <v>1987</v>
      </c>
      <c r="C81" s="197" t="s">
        <v>1988</v>
      </c>
      <c r="D81" s="917" t="s">
        <v>2761</v>
      </c>
      <c r="E81" s="198" t="s">
        <v>1826</v>
      </c>
      <c r="F81" s="332">
        <v>12</v>
      </c>
      <c r="G81" s="332"/>
      <c r="H81" s="332">
        <f t="shared" si="2"/>
        <v>0</v>
      </c>
      <c r="I81" s="333">
        <v>0.0005</v>
      </c>
      <c r="J81" s="334">
        <f t="shared" si="3"/>
        <v>0.006</v>
      </c>
      <c r="K81" s="509"/>
      <c r="L81" s="509"/>
      <c r="M81" s="509"/>
      <c r="N81" s="509"/>
      <c r="O81" s="509"/>
      <c r="P81" s="509"/>
      <c r="Q81" s="509"/>
      <c r="R81" s="509"/>
      <c r="S81" s="509"/>
    </row>
    <row r="82" spans="1:19" s="22" customFormat="1" ht="20.25" customHeight="1">
      <c r="A82" s="196" t="s">
        <v>1935</v>
      </c>
      <c r="B82" s="197" t="s">
        <v>1990</v>
      </c>
      <c r="C82" s="197" t="s">
        <v>1991</v>
      </c>
      <c r="D82" s="917" t="s">
        <v>2761</v>
      </c>
      <c r="E82" s="198" t="s">
        <v>1826</v>
      </c>
      <c r="F82" s="332">
        <f>E83</f>
        <v>150.51999999999998</v>
      </c>
      <c r="G82" s="332"/>
      <c r="H82" s="332">
        <f t="shared" si="2"/>
        <v>0</v>
      </c>
      <c r="I82" s="333">
        <v>0</v>
      </c>
      <c r="J82" s="334">
        <f t="shared" si="3"/>
        <v>0</v>
      </c>
      <c r="K82" s="693"/>
      <c r="L82" s="693"/>
      <c r="M82" s="693"/>
      <c r="N82" s="693"/>
      <c r="O82" s="693"/>
      <c r="P82" s="693"/>
      <c r="Q82" s="694"/>
      <c r="R82" s="509"/>
      <c r="S82" s="509"/>
    </row>
    <row r="83" spans="1:24" s="211" customFormat="1" ht="21.75" customHeight="1">
      <c r="A83" s="223"/>
      <c r="B83" s="224"/>
      <c r="C83" s="224" t="s">
        <v>732</v>
      </c>
      <c r="D83" s="970"/>
      <c r="E83" s="220">
        <f>120.69+29.83</f>
        <v>150.51999999999998</v>
      </c>
      <c r="F83" s="225"/>
      <c r="G83" s="674"/>
      <c r="H83" s="225"/>
      <c r="I83" s="348"/>
      <c r="J83" s="349"/>
      <c r="K83" s="675"/>
      <c r="L83" s="675"/>
      <c r="M83" s="675"/>
      <c r="N83" s="675"/>
      <c r="O83" s="676"/>
      <c r="P83" s="676"/>
      <c r="Q83" s="676"/>
      <c r="R83" s="676"/>
      <c r="S83" s="515"/>
      <c r="T83" s="210"/>
      <c r="U83" s="210"/>
      <c r="V83" s="210"/>
      <c r="W83" s="210"/>
      <c r="X83" s="210"/>
    </row>
    <row r="84" spans="1:19" s="22" customFormat="1" ht="20.25" customHeight="1">
      <c r="A84" s="196" t="s">
        <v>1938</v>
      </c>
      <c r="B84" s="197" t="s">
        <v>1993</v>
      </c>
      <c r="C84" s="197" t="s">
        <v>1994</v>
      </c>
      <c r="D84" s="917" t="s">
        <v>2761</v>
      </c>
      <c r="E84" s="198" t="s">
        <v>1826</v>
      </c>
      <c r="F84" s="332">
        <f>E85</f>
        <v>56.00000000000001</v>
      </c>
      <c r="G84" s="332"/>
      <c r="H84" s="332">
        <f t="shared" si="2"/>
        <v>0</v>
      </c>
      <c r="I84" s="333">
        <v>0.00011</v>
      </c>
      <c r="J84" s="334">
        <f t="shared" si="3"/>
        <v>0.006160000000000001</v>
      </c>
      <c r="K84" s="693"/>
      <c r="L84" s="693"/>
      <c r="M84" s="693"/>
      <c r="N84" s="693"/>
      <c r="O84" s="693"/>
      <c r="P84" s="693"/>
      <c r="Q84" s="694"/>
      <c r="R84" s="509"/>
      <c r="S84" s="509"/>
    </row>
    <row r="85" spans="1:24" s="211" customFormat="1" ht="21.75" customHeight="1">
      <c r="A85" s="223"/>
      <c r="B85" s="224" t="s">
        <v>1920</v>
      </c>
      <c r="C85" s="224" t="s">
        <v>733</v>
      </c>
      <c r="D85" s="970"/>
      <c r="E85" s="220">
        <f>(17.2+14.4+19.3)*1.1+0.01</f>
        <v>56.00000000000001</v>
      </c>
      <c r="F85" s="225"/>
      <c r="G85" s="674"/>
      <c r="H85" s="225"/>
      <c r="I85" s="348"/>
      <c r="J85" s="349"/>
      <c r="K85" s="675"/>
      <c r="L85" s="675"/>
      <c r="M85" s="675"/>
      <c r="N85" s="675"/>
      <c r="O85" s="676"/>
      <c r="P85" s="676"/>
      <c r="Q85" s="676"/>
      <c r="R85" s="676"/>
      <c r="S85" s="515"/>
      <c r="T85" s="210"/>
      <c r="U85" s="210"/>
      <c r="V85" s="210"/>
      <c r="W85" s="210"/>
      <c r="X85" s="210"/>
    </row>
    <row r="86" spans="1:19" s="22" customFormat="1" ht="20.25" customHeight="1">
      <c r="A86" s="196" t="s">
        <v>1942</v>
      </c>
      <c r="B86" s="197" t="s">
        <v>1996</v>
      </c>
      <c r="C86" s="197" t="s">
        <v>1997</v>
      </c>
      <c r="D86" s="917" t="s">
        <v>2761</v>
      </c>
      <c r="E86" s="198" t="s">
        <v>1826</v>
      </c>
      <c r="F86" s="332">
        <v>136.3</v>
      </c>
      <c r="G86" s="332"/>
      <c r="H86" s="332">
        <f t="shared" si="2"/>
        <v>0</v>
      </c>
      <c r="I86" s="333">
        <v>0.00011</v>
      </c>
      <c r="J86" s="334">
        <f t="shared" si="3"/>
        <v>0.014993000000000001</v>
      </c>
      <c r="K86" s="693"/>
      <c r="L86" s="509"/>
      <c r="M86" s="693"/>
      <c r="N86" s="693"/>
      <c r="O86" s="693"/>
      <c r="P86" s="693"/>
      <c r="Q86" s="694"/>
      <c r="R86" s="509"/>
      <c r="S86" s="509"/>
    </row>
    <row r="87" spans="1:19" s="22" customFormat="1" ht="20.25" customHeight="1">
      <c r="A87" s="196" t="s">
        <v>1955</v>
      </c>
      <c r="B87" s="197" t="s">
        <v>1999</v>
      </c>
      <c r="C87" s="197" t="s">
        <v>2000</v>
      </c>
      <c r="D87" s="917" t="s">
        <v>2761</v>
      </c>
      <c r="E87" s="198" t="s">
        <v>1826</v>
      </c>
      <c r="F87" s="332">
        <v>542.7</v>
      </c>
      <c r="G87" s="332"/>
      <c r="H87" s="332">
        <f t="shared" si="2"/>
        <v>0</v>
      </c>
      <c r="I87" s="333">
        <v>0</v>
      </c>
      <c r="J87" s="334">
        <f t="shared" si="3"/>
        <v>0</v>
      </c>
      <c r="K87" s="693"/>
      <c r="L87" s="509"/>
      <c r="M87" s="693"/>
      <c r="N87" s="693"/>
      <c r="O87" s="693"/>
      <c r="P87" s="693"/>
      <c r="Q87" s="694"/>
      <c r="R87" s="509"/>
      <c r="S87" s="509"/>
    </row>
    <row r="88" spans="1:19" s="22" customFormat="1" ht="20.25" customHeight="1">
      <c r="A88" s="196" t="s">
        <v>1960</v>
      </c>
      <c r="B88" s="197" t="s">
        <v>2002</v>
      </c>
      <c r="C88" s="197" t="s">
        <v>2003</v>
      </c>
      <c r="D88" s="917"/>
      <c r="E88" s="198" t="s">
        <v>1748</v>
      </c>
      <c r="F88" s="332">
        <v>335</v>
      </c>
      <c r="G88" s="332"/>
      <c r="H88" s="332">
        <f t="shared" si="2"/>
        <v>0</v>
      </c>
      <c r="I88" s="333">
        <v>0.00032</v>
      </c>
      <c r="J88" s="334">
        <f t="shared" si="3"/>
        <v>0.1072</v>
      </c>
      <c r="K88" s="693"/>
      <c r="L88" s="693"/>
      <c r="M88" s="693"/>
      <c r="N88" s="693"/>
      <c r="O88" s="693"/>
      <c r="P88" s="693"/>
      <c r="Q88" s="694"/>
      <c r="R88" s="509"/>
      <c r="S88" s="509"/>
    </row>
    <row r="89" spans="1:19" s="22" customFormat="1" ht="20.25" customHeight="1">
      <c r="A89" s="196" t="s">
        <v>1965</v>
      </c>
      <c r="B89" s="197" t="s">
        <v>2005</v>
      </c>
      <c r="C89" s="197" t="s">
        <v>2006</v>
      </c>
      <c r="D89" s="917" t="s">
        <v>2761</v>
      </c>
      <c r="E89" s="198" t="s">
        <v>1748</v>
      </c>
      <c r="F89" s="332">
        <f>E90</f>
        <v>299.37</v>
      </c>
      <c r="G89" s="332"/>
      <c r="H89" s="332">
        <f t="shared" si="2"/>
        <v>0</v>
      </c>
      <c r="I89" s="333">
        <v>0.00284</v>
      </c>
      <c r="J89" s="334">
        <f t="shared" si="3"/>
        <v>0.8502108</v>
      </c>
      <c r="K89" s="693"/>
      <c r="L89" s="693"/>
      <c r="M89" s="693"/>
      <c r="N89" s="693"/>
      <c r="O89" s="693"/>
      <c r="P89" s="693"/>
      <c r="Q89" s="694"/>
      <c r="R89" s="509"/>
      <c r="S89" s="509"/>
    </row>
    <row r="90" spans="1:24" s="211" customFormat="1" ht="21.75" customHeight="1">
      <c r="A90" s="223"/>
      <c r="B90" s="224"/>
      <c r="C90" s="224" t="s">
        <v>734</v>
      </c>
      <c r="D90" s="970"/>
      <c r="E90" s="220">
        <f>335-35.63</f>
        <v>299.37</v>
      </c>
      <c r="F90" s="225"/>
      <c r="G90" s="674"/>
      <c r="H90" s="225"/>
      <c r="I90" s="348"/>
      <c r="J90" s="349"/>
      <c r="K90" s="675"/>
      <c r="L90" s="675"/>
      <c r="M90" s="675"/>
      <c r="N90" s="675"/>
      <c r="O90" s="676"/>
      <c r="P90" s="676"/>
      <c r="Q90" s="676"/>
      <c r="R90" s="676"/>
      <c r="S90" s="515"/>
      <c r="T90" s="210"/>
      <c r="U90" s="210"/>
      <c r="V90" s="210"/>
      <c r="W90" s="210"/>
      <c r="X90" s="210"/>
    </row>
    <row r="91" spans="1:19" s="22" customFormat="1" ht="14.25" customHeight="1" thickBot="1">
      <c r="A91" s="255"/>
      <c r="B91" s="256"/>
      <c r="C91" s="256"/>
      <c r="D91" s="968"/>
      <c r="E91" s="257"/>
      <c r="F91" s="368"/>
      <c r="G91" s="368"/>
      <c r="H91" s="368"/>
      <c r="I91" s="369"/>
      <c r="J91" s="370"/>
      <c r="K91" s="693"/>
      <c r="L91" s="693"/>
      <c r="M91" s="693"/>
      <c r="N91" s="693"/>
      <c r="O91" s="693"/>
      <c r="P91" s="693"/>
      <c r="Q91" s="694"/>
      <c r="R91" s="509"/>
      <c r="S91" s="509"/>
    </row>
    <row r="92" spans="1:19" ht="16.5" customHeight="1" thickBot="1">
      <c r="A92" s="266" t="s">
        <v>2011</v>
      </c>
      <c r="B92" s="175" t="s">
        <v>2012</v>
      </c>
      <c r="C92" s="176" t="s">
        <v>2013</v>
      </c>
      <c r="D92" s="1008"/>
      <c r="E92" s="175"/>
      <c r="F92" s="341"/>
      <c r="G92" s="341"/>
      <c r="H92" s="342">
        <f>SUM(H93:H96)</f>
        <v>0</v>
      </c>
      <c r="I92" s="343"/>
      <c r="J92" s="344">
        <f>SUM(J93:J96)</f>
        <v>4.923285</v>
      </c>
      <c r="K92" s="670"/>
      <c r="L92" s="670"/>
      <c r="M92" s="670"/>
      <c r="N92" s="670"/>
      <c r="O92" s="670"/>
      <c r="P92" s="670"/>
      <c r="Q92" s="670"/>
      <c r="R92" s="670"/>
      <c r="S92" s="670"/>
    </row>
    <row r="93" spans="1:19" s="22" customFormat="1" ht="15.75" customHeight="1">
      <c r="A93" s="190"/>
      <c r="B93" s="191"/>
      <c r="C93" s="1098"/>
      <c r="D93" s="964"/>
      <c r="E93" s="192"/>
      <c r="F93" s="345"/>
      <c r="G93" s="345"/>
      <c r="H93" s="345"/>
      <c r="I93" s="346"/>
      <c r="J93" s="347"/>
      <c r="K93" s="693"/>
      <c r="L93" s="693"/>
      <c r="M93" s="693"/>
      <c r="N93" s="693"/>
      <c r="O93" s="693"/>
      <c r="P93" s="693"/>
      <c r="Q93" s="694"/>
      <c r="R93" s="509"/>
      <c r="S93" s="509"/>
    </row>
    <row r="94" spans="1:19" s="22" customFormat="1" ht="17.25" customHeight="1">
      <c r="A94" s="196" t="s">
        <v>2014</v>
      </c>
      <c r="B94" s="197" t="s">
        <v>2015</v>
      </c>
      <c r="C94" s="1024" t="s">
        <v>2856</v>
      </c>
      <c r="D94" s="917" t="s">
        <v>735</v>
      </c>
      <c r="E94" s="198" t="s">
        <v>1748</v>
      </c>
      <c r="F94" s="332">
        <f>SUM(E95:E98)</f>
        <v>224.5</v>
      </c>
      <c r="G94" s="332"/>
      <c r="H94" s="332">
        <f>F94*G94</f>
        <v>0</v>
      </c>
      <c r="I94" s="333">
        <v>0.02193</v>
      </c>
      <c r="J94" s="334">
        <f>F94*I94</f>
        <v>4.923285</v>
      </c>
      <c r="K94" s="509"/>
      <c r="L94" s="509"/>
      <c r="M94" s="509"/>
      <c r="N94" s="509"/>
      <c r="O94" s="509"/>
      <c r="P94" s="509"/>
      <c r="Q94" s="509"/>
      <c r="R94" s="509"/>
      <c r="S94" s="509"/>
    </row>
    <row r="95" spans="1:19" s="130" customFormat="1" ht="18.75" customHeight="1">
      <c r="A95" s="204"/>
      <c r="B95" s="205" t="s">
        <v>735</v>
      </c>
      <c r="C95" s="206" t="s">
        <v>736</v>
      </c>
      <c r="D95" s="916"/>
      <c r="E95" s="207">
        <f>78+146.5</f>
        <v>224.5</v>
      </c>
      <c r="F95" s="335"/>
      <c r="G95" s="335"/>
      <c r="H95" s="335"/>
      <c r="I95" s="336"/>
      <c r="J95" s="337"/>
      <c r="K95" s="508"/>
      <c r="L95" s="508"/>
      <c r="M95" s="508"/>
      <c r="N95" s="508"/>
      <c r="O95" s="508"/>
      <c r="P95" s="508"/>
      <c r="Q95" s="508"/>
      <c r="R95" s="508"/>
      <c r="S95" s="508"/>
    </row>
    <row r="96" spans="1:19" s="22" customFormat="1" ht="15.75" customHeight="1" thickBot="1">
      <c r="A96" s="255"/>
      <c r="B96" s="256"/>
      <c r="C96" s="256"/>
      <c r="D96" s="968"/>
      <c r="E96" s="257"/>
      <c r="F96" s="368"/>
      <c r="G96" s="368"/>
      <c r="H96" s="368"/>
      <c r="I96" s="369"/>
      <c r="J96" s="370"/>
      <c r="K96" s="693"/>
      <c r="L96" s="693"/>
      <c r="M96" s="693"/>
      <c r="N96" s="693"/>
      <c r="O96" s="693"/>
      <c r="P96" s="693"/>
      <c r="Q96" s="694"/>
      <c r="R96" s="509"/>
      <c r="S96" s="509"/>
    </row>
    <row r="97" spans="1:19" ht="16.5" customHeight="1" thickBot="1">
      <c r="A97" s="266" t="s">
        <v>2036</v>
      </c>
      <c r="B97" s="175" t="s">
        <v>2037</v>
      </c>
      <c r="C97" s="176" t="s">
        <v>2038</v>
      </c>
      <c r="D97" s="1008"/>
      <c r="E97" s="175"/>
      <c r="F97" s="341"/>
      <c r="G97" s="341"/>
      <c r="H97" s="342">
        <f>SUM(H98:H129)</f>
        <v>0</v>
      </c>
      <c r="I97" s="343"/>
      <c r="J97" s="344">
        <f>SUM(J98:J129)</f>
        <v>0.3481946000000001</v>
      </c>
      <c r="K97" s="670"/>
      <c r="L97" s="670"/>
      <c r="M97" s="670"/>
      <c r="N97" s="670"/>
      <c r="O97" s="670"/>
      <c r="P97" s="670"/>
      <c r="Q97" s="670"/>
      <c r="R97" s="670"/>
      <c r="S97" s="670"/>
    </row>
    <row r="98" spans="1:19" s="130" customFormat="1" ht="16.5" customHeight="1">
      <c r="A98" s="306"/>
      <c r="B98" s="307"/>
      <c r="C98" s="307"/>
      <c r="D98" s="972"/>
      <c r="E98" s="308"/>
      <c r="F98" s="403"/>
      <c r="G98" s="403"/>
      <c r="H98" s="403"/>
      <c r="I98" s="404"/>
      <c r="J98" s="405"/>
      <c r="K98" s="672"/>
      <c r="L98" s="672"/>
      <c r="M98" s="672"/>
      <c r="N98" s="672"/>
      <c r="O98" s="672"/>
      <c r="P98" s="672"/>
      <c r="Q98" s="673"/>
      <c r="R98" s="508"/>
      <c r="S98" s="508"/>
    </row>
    <row r="99" spans="1:19" s="22" customFormat="1" ht="20.25" customHeight="1">
      <c r="A99" s="196" t="s">
        <v>2039</v>
      </c>
      <c r="B99" s="197" t="s">
        <v>2040</v>
      </c>
      <c r="C99" s="197" t="s">
        <v>2041</v>
      </c>
      <c r="D99" s="917" t="s">
        <v>2761</v>
      </c>
      <c r="E99" s="198" t="s">
        <v>1831</v>
      </c>
      <c r="F99" s="332">
        <v>5</v>
      </c>
      <c r="G99" s="332"/>
      <c r="H99" s="332">
        <f>F99*G99</f>
        <v>0</v>
      </c>
      <c r="I99" s="333">
        <v>0.0009</v>
      </c>
      <c r="J99" s="334">
        <f>F99*I99</f>
        <v>0.0045</v>
      </c>
      <c r="K99" s="693"/>
      <c r="L99" s="693"/>
      <c r="M99" s="693"/>
      <c r="N99" s="693"/>
      <c r="O99" s="693"/>
      <c r="P99" s="693"/>
      <c r="Q99" s="694"/>
      <c r="R99" s="509"/>
      <c r="S99" s="509"/>
    </row>
    <row r="100" spans="1:19" s="22" customFormat="1" ht="20.25" customHeight="1">
      <c r="A100" s="196" t="s">
        <v>2042</v>
      </c>
      <c r="B100" s="197" t="s">
        <v>2043</v>
      </c>
      <c r="C100" s="197" t="s">
        <v>2044</v>
      </c>
      <c r="D100" s="917" t="s">
        <v>2761</v>
      </c>
      <c r="E100" s="198" t="s">
        <v>1831</v>
      </c>
      <c r="F100" s="332">
        <v>19</v>
      </c>
      <c r="G100" s="332"/>
      <c r="H100" s="332">
        <f>F100*G100</f>
        <v>0</v>
      </c>
      <c r="I100" s="333">
        <v>0.0012</v>
      </c>
      <c r="J100" s="334">
        <f>F100*I100</f>
        <v>0.022799999999999997</v>
      </c>
      <c r="K100" s="693"/>
      <c r="L100" s="693"/>
      <c r="M100" s="693"/>
      <c r="N100" s="693"/>
      <c r="O100" s="693"/>
      <c r="P100" s="693"/>
      <c r="Q100" s="694"/>
      <c r="R100" s="509"/>
      <c r="S100" s="509"/>
    </row>
    <row r="101" spans="1:19" s="22" customFormat="1" ht="62.25" customHeight="1">
      <c r="A101" s="196"/>
      <c r="B101" s="197"/>
      <c r="C101" s="199" t="s">
        <v>2048</v>
      </c>
      <c r="D101" s="917" t="s">
        <v>2761</v>
      </c>
      <c r="E101" s="198"/>
      <c r="F101" s="332"/>
      <c r="G101" s="332"/>
      <c r="H101" s="332"/>
      <c r="I101" s="333"/>
      <c r="J101" s="334"/>
      <c r="K101" s="672" t="s">
        <v>2049</v>
      </c>
      <c r="L101" s="672" t="s">
        <v>2050</v>
      </c>
      <c r="M101" s="672" t="s">
        <v>1748</v>
      </c>
      <c r="N101" s="672" t="s">
        <v>2051</v>
      </c>
      <c r="O101" s="672" t="s">
        <v>2052</v>
      </c>
      <c r="P101" s="672" t="s">
        <v>2053</v>
      </c>
      <c r="Q101" s="673"/>
      <c r="R101" s="509"/>
      <c r="S101" s="509"/>
    </row>
    <row r="102" spans="1:19" s="22" customFormat="1" ht="39.75" customHeight="1">
      <c r="A102" s="196" t="s">
        <v>2045</v>
      </c>
      <c r="B102" s="197" t="s">
        <v>737</v>
      </c>
      <c r="C102" s="199" t="s">
        <v>738</v>
      </c>
      <c r="D102" s="917" t="s">
        <v>739</v>
      </c>
      <c r="E102" s="198" t="s">
        <v>1831</v>
      </c>
      <c r="F102" s="332">
        <v>7</v>
      </c>
      <c r="G102" s="332"/>
      <c r="H102" s="332">
        <f>F102*G102</f>
        <v>0</v>
      </c>
      <c r="I102" s="333">
        <v>0.00168</v>
      </c>
      <c r="J102" s="334">
        <f>F102*I102</f>
        <v>0.01176</v>
      </c>
      <c r="K102" s="693">
        <v>1.35</v>
      </c>
      <c r="L102" s="693">
        <v>1.8</v>
      </c>
      <c r="M102" s="693">
        <f>K102*L102</f>
        <v>2.43</v>
      </c>
      <c r="N102" s="693">
        <f>F102*M102</f>
        <v>17.01</v>
      </c>
      <c r="O102" s="693">
        <f>(K102+L102*2)*F102</f>
        <v>34.65</v>
      </c>
      <c r="P102" s="693">
        <f>F102*K102</f>
        <v>9.450000000000001</v>
      </c>
      <c r="Q102" s="694" t="s">
        <v>740</v>
      </c>
      <c r="R102" s="509"/>
      <c r="S102" s="509"/>
    </row>
    <row r="103" spans="1:19" s="22" customFormat="1" ht="20.25" customHeight="1">
      <c r="A103" s="196" t="s">
        <v>2054</v>
      </c>
      <c r="B103" s="197" t="s">
        <v>741</v>
      </c>
      <c r="C103" s="197" t="s">
        <v>742</v>
      </c>
      <c r="D103" s="917" t="s">
        <v>743</v>
      </c>
      <c r="E103" s="198" t="s">
        <v>1831</v>
      </c>
      <c r="F103" s="332">
        <v>7</v>
      </c>
      <c r="G103" s="332"/>
      <c r="H103" s="332">
        <f>F103*G103</f>
        <v>0</v>
      </c>
      <c r="I103" s="333">
        <v>0.00168</v>
      </c>
      <c r="J103" s="334">
        <f>F103*I103</f>
        <v>0.01176</v>
      </c>
      <c r="K103" s="693">
        <v>1.32</v>
      </c>
      <c r="L103" s="693">
        <v>1.8</v>
      </c>
      <c r="M103" s="693">
        <f>K103*L103</f>
        <v>2.3760000000000003</v>
      </c>
      <c r="N103" s="693">
        <f>F103*M103</f>
        <v>16.632</v>
      </c>
      <c r="O103" s="693">
        <f>(K103+L103*2)*F103</f>
        <v>34.44</v>
      </c>
      <c r="P103" s="693">
        <f>F103*K103</f>
        <v>9.24</v>
      </c>
      <c r="Q103" s="694" t="s">
        <v>740</v>
      </c>
      <c r="R103" s="509"/>
      <c r="S103" s="509"/>
    </row>
    <row r="104" spans="1:19" s="22" customFormat="1" ht="20.25" customHeight="1">
      <c r="A104" s="196" t="s">
        <v>2059</v>
      </c>
      <c r="B104" s="197" t="s">
        <v>744</v>
      </c>
      <c r="C104" s="197" t="s">
        <v>742</v>
      </c>
      <c r="D104" s="917" t="s">
        <v>745</v>
      </c>
      <c r="E104" s="198" t="s">
        <v>1831</v>
      </c>
      <c r="F104" s="332">
        <v>1</v>
      </c>
      <c r="G104" s="332"/>
      <c r="H104" s="332">
        <f>F104*G104</f>
        <v>0</v>
      </c>
      <c r="I104" s="333">
        <v>0.00168</v>
      </c>
      <c r="J104" s="334">
        <f>F104*I104</f>
        <v>0.00168</v>
      </c>
      <c r="K104" s="693">
        <v>1.32</v>
      </c>
      <c r="L104" s="693">
        <v>1.5</v>
      </c>
      <c r="M104" s="693">
        <f>K104*L104</f>
        <v>1.98</v>
      </c>
      <c r="N104" s="693">
        <f>F104*M104</f>
        <v>1.98</v>
      </c>
      <c r="O104" s="693">
        <f>(K104+L104*2)*F104</f>
        <v>4.32</v>
      </c>
      <c r="P104" s="693">
        <f>F104*K104</f>
        <v>1.32</v>
      </c>
      <c r="Q104" s="694" t="s">
        <v>740</v>
      </c>
      <c r="R104" s="509"/>
      <c r="S104" s="509"/>
    </row>
    <row r="105" spans="1:19" s="22" customFormat="1" ht="20.25" customHeight="1">
      <c r="A105" s="196" t="s">
        <v>2065</v>
      </c>
      <c r="B105" s="197" t="s">
        <v>746</v>
      </c>
      <c r="C105" s="197" t="s">
        <v>742</v>
      </c>
      <c r="D105" s="917" t="s">
        <v>747</v>
      </c>
      <c r="E105" s="198" t="s">
        <v>1831</v>
      </c>
      <c r="F105" s="332">
        <v>4</v>
      </c>
      <c r="G105" s="332"/>
      <c r="H105" s="332">
        <f>F105*G105</f>
        <v>0</v>
      </c>
      <c r="I105" s="333">
        <v>0.00168</v>
      </c>
      <c r="J105" s="334">
        <f>F105*I105</f>
        <v>0.00672</v>
      </c>
      <c r="K105" s="693">
        <v>1.33</v>
      </c>
      <c r="L105" s="693">
        <v>1.4</v>
      </c>
      <c r="M105" s="693">
        <f>K105*L105</f>
        <v>1.8619999999999999</v>
      </c>
      <c r="N105" s="693">
        <f>F105*M105</f>
        <v>7.4479999999999995</v>
      </c>
      <c r="O105" s="693">
        <f>(K105+L105*2)*F105</f>
        <v>16.52</v>
      </c>
      <c r="P105" s="693">
        <f>F105*K105</f>
        <v>5.32</v>
      </c>
      <c r="Q105" s="694" t="s">
        <v>740</v>
      </c>
      <c r="R105" s="509"/>
      <c r="S105" s="509"/>
    </row>
    <row r="106" spans="1:19" s="22" customFormat="1" ht="20.25" customHeight="1">
      <c r="A106" s="196" t="s">
        <v>2069</v>
      </c>
      <c r="B106" s="197" t="s">
        <v>2309</v>
      </c>
      <c r="C106" s="197" t="s">
        <v>748</v>
      </c>
      <c r="D106" s="917" t="s">
        <v>749</v>
      </c>
      <c r="E106" s="198" t="s">
        <v>1831</v>
      </c>
      <c r="F106" s="332">
        <v>5</v>
      </c>
      <c r="G106" s="332"/>
      <c r="H106" s="332">
        <f>F106*G106</f>
        <v>0</v>
      </c>
      <c r="I106" s="333">
        <v>0.00168</v>
      </c>
      <c r="J106" s="334">
        <f>F106*I106</f>
        <v>0.008400000000000001</v>
      </c>
      <c r="K106" s="693">
        <v>0.9</v>
      </c>
      <c r="L106" s="693">
        <v>0.6</v>
      </c>
      <c r="M106" s="693">
        <f>K106*L106</f>
        <v>0.54</v>
      </c>
      <c r="N106" s="693">
        <f>F106*M106</f>
        <v>2.7</v>
      </c>
      <c r="O106" s="693">
        <f>(K106+L106*2)*F106</f>
        <v>10.5</v>
      </c>
      <c r="P106" s="693">
        <f>F106*K106</f>
        <v>4.5</v>
      </c>
      <c r="Q106" s="694" t="s">
        <v>740</v>
      </c>
      <c r="R106" s="509"/>
      <c r="S106" s="509"/>
    </row>
    <row r="107" spans="1:19" s="22" customFormat="1" ht="20.25" customHeight="1">
      <c r="A107" s="196"/>
      <c r="B107" s="197"/>
      <c r="C107" s="197"/>
      <c r="D107" s="917"/>
      <c r="E107" s="198"/>
      <c r="F107" s="332"/>
      <c r="G107" s="332"/>
      <c r="H107" s="332"/>
      <c r="I107" s="333"/>
      <c r="J107" s="334"/>
      <c r="K107" s="693"/>
      <c r="L107" s="693"/>
      <c r="M107" s="693"/>
      <c r="N107" s="693"/>
      <c r="O107" s="693"/>
      <c r="P107" s="693"/>
      <c r="Q107" s="694"/>
      <c r="R107" s="509"/>
      <c r="S107" s="509"/>
    </row>
    <row r="108" spans="1:19" s="22" customFormat="1" ht="24" customHeight="1">
      <c r="A108" s="196"/>
      <c r="B108" s="197"/>
      <c r="C108" s="199" t="s">
        <v>2258</v>
      </c>
      <c r="D108" s="917" t="s">
        <v>2759</v>
      </c>
      <c r="E108" s="198"/>
      <c r="F108" s="332"/>
      <c r="G108" s="332"/>
      <c r="H108" s="332"/>
      <c r="I108" s="333"/>
      <c r="J108" s="334"/>
      <c r="K108" s="693"/>
      <c r="L108" s="693"/>
      <c r="M108" s="693"/>
      <c r="N108" s="693"/>
      <c r="O108" s="693"/>
      <c r="P108" s="693"/>
      <c r="Q108" s="694"/>
      <c r="R108" s="509"/>
      <c r="S108" s="509"/>
    </row>
    <row r="109" spans="1:19" s="22" customFormat="1" ht="20.25" customHeight="1">
      <c r="A109" s="196" t="s">
        <v>2074</v>
      </c>
      <c r="B109" s="197" t="s">
        <v>2250</v>
      </c>
      <c r="C109" s="197" t="s">
        <v>750</v>
      </c>
      <c r="D109" s="917" t="s">
        <v>2759</v>
      </c>
      <c r="E109" s="198" t="s">
        <v>1826</v>
      </c>
      <c r="F109" s="332">
        <f>E110</f>
        <v>29.830000000000002</v>
      </c>
      <c r="G109" s="332"/>
      <c r="H109" s="332">
        <f>F109*G109</f>
        <v>0</v>
      </c>
      <c r="I109" s="333">
        <v>0.00222</v>
      </c>
      <c r="J109" s="334">
        <f>F109*I109</f>
        <v>0.0662226</v>
      </c>
      <c r="K109" s="693"/>
      <c r="L109" s="693"/>
      <c r="M109" s="693"/>
      <c r="N109" s="693"/>
      <c r="O109" s="693"/>
      <c r="P109" s="693"/>
      <c r="Q109" s="694"/>
      <c r="R109" s="509"/>
      <c r="S109" s="509"/>
    </row>
    <row r="110" spans="1:19" s="130" customFormat="1" ht="20.25" customHeight="1">
      <c r="A110" s="204"/>
      <c r="B110" s="205"/>
      <c r="C110" s="205" t="s">
        <v>751</v>
      </c>
      <c r="D110" s="916"/>
      <c r="E110" s="207">
        <f>(1.35*7+1.32*7+1.32*1+1.33*4+0.9*5)</f>
        <v>29.830000000000002</v>
      </c>
      <c r="F110" s="335"/>
      <c r="G110" s="335"/>
      <c r="H110" s="335"/>
      <c r="I110" s="336"/>
      <c r="J110" s="337"/>
      <c r="K110" s="672"/>
      <c r="L110" s="672"/>
      <c r="M110" s="672"/>
      <c r="N110" s="672"/>
      <c r="O110" s="672"/>
      <c r="P110" s="672"/>
      <c r="Q110" s="673"/>
      <c r="R110" s="508"/>
      <c r="S110" s="508"/>
    </row>
    <row r="111" spans="1:19" s="22" customFormat="1" ht="20.25" customHeight="1">
      <c r="A111" s="196" t="s">
        <v>2078</v>
      </c>
      <c r="B111" s="197" t="s">
        <v>2260</v>
      </c>
      <c r="C111" s="197" t="s">
        <v>2269</v>
      </c>
      <c r="D111" s="917" t="s">
        <v>2759</v>
      </c>
      <c r="E111" s="198" t="s">
        <v>1826</v>
      </c>
      <c r="F111" s="332">
        <f>E112</f>
        <v>32.813</v>
      </c>
      <c r="G111" s="332"/>
      <c r="H111" s="332">
        <f>F111*G111</f>
        <v>0</v>
      </c>
      <c r="I111" s="333">
        <v>0.0052</v>
      </c>
      <c r="J111" s="334">
        <f>F111*I111</f>
        <v>0.17062760000000002</v>
      </c>
      <c r="K111" s="693"/>
      <c r="L111" s="693"/>
      <c r="M111" s="693"/>
      <c r="N111" s="693"/>
      <c r="O111" s="693"/>
      <c r="P111" s="693"/>
      <c r="Q111" s="694"/>
      <c r="R111" s="509"/>
      <c r="S111" s="509"/>
    </row>
    <row r="112" spans="1:19" s="130" customFormat="1" ht="20.25" customHeight="1">
      <c r="A112" s="204"/>
      <c r="B112" s="205"/>
      <c r="C112" s="205" t="s">
        <v>752</v>
      </c>
      <c r="D112" s="916"/>
      <c r="E112" s="207">
        <f>(1.35*7+1.32*7+1.32*1+1.33*4+0.9*5)*1.1</f>
        <v>32.813</v>
      </c>
      <c r="F112" s="335"/>
      <c r="G112" s="335"/>
      <c r="H112" s="335"/>
      <c r="I112" s="336"/>
      <c r="J112" s="337"/>
      <c r="K112" s="672"/>
      <c r="L112" s="672"/>
      <c r="M112" s="672"/>
      <c r="N112" s="672"/>
      <c r="O112" s="672"/>
      <c r="P112" s="672"/>
      <c r="Q112" s="673"/>
      <c r="R112" s="508"/>
      <c r="S112" s="508"/>
    </row>
    <row r="113" spans="1:19" s="130" customFormat="1" ht="20.25" customHeight="1">
      <c r="A113" s="204"/>
      <c r="B113" s="205"/>
      <c r="C113" s="205"/>
      <c r="D113" s="916"/>
      <c r="E113" s="207"/>
      <c r="F113" s="335"/>
      <c r="G113" s="335"/>
      <c r="H113" s="335"/>
      <c r="I113" s="336"/>
      <c r="J113" s="337"/>
      <c r="K113" s="672"/>
      <c r="L113" s="672"/>
      <c r="M113" s="672"/>
      <c r="N113" s="672"/>
      <c r="O113" s="672"/>
      <c r="P113" s="672"/>
      <c r="Q113" s="673"/>
      <c r="R113" s="508"/>
      <c r="S113" s="508"/>
    </row>
    <row r="114" spans="1:19" s="22" customFormat="1" ht="20.25" customHeight="1">
      <c r="A114" s="196" t="s">
        <v>2081</v>
      </c>
      <c r="B114" s="197" t="s">
        <v>753</v>
      </c>
      <c r="C114" s="197" t="s">
        <v>2291</v>
      </c>
      <c r="D114" s="917" t="s">
        <v>745</v>
      </c>
      <c r="E114" s="198" t="s">
        <v>1831</v>
      </c>
      <c r="F114" s="332">
        <v>1</v>
      </c>
      <c r="G114" s="332"/>
      <c r="H114" s="332">
        <f>F114*G114</f>
        <v>0</v>
      </c>
      <c r="I114" s="333">
        <v>0.0015</v>
      </c>
      <c r="J114" s="334">
        <f>F114*I114</f>
        <v>0.0015</v>
      </c>
      <c r="K114" s="693"/>
      <c r="L114" s="693"/>
      <c r="M114" s="693"/>
      <c r="N114" s="693"/>
      <c r="O114" s="693"/>
      <c r="P114" s="693"/>
      <c r="Q114" s="694"/>
      <c r="R114" s="509"/>
      <c r="S114" s="509"/>
    </row>
    <row r="115" spans="1:19" s="22" customFormat="1" ht="20.25" customHeight="1">
      <c r="A115" s="196" t="s">
        <v>2085</v>
      </c>
      <c r="B115" s="197" t="s">
        <v>753</v>
      </c>
      <c r="C115" s="197" t="s">
        <v>2291</v>
      </c>
      <c r="D115" s="917" t="s">
        <v>743</v>
      </c>
      <c r="E115" s="198" t="s">
        <v>1831</v>
      </c>
      <c r="F115" s="332">
        <v>7</v>
      </c>
      <c r="G115" s="332"/>
      <c r="H115" s="332">
        <f>F115*G115</f>
        <v>0</v>
      </c>
      <c r="I115" s="333">
        <v>0.0015</v>
      </c>
      <c r="J115" s="334">
        <f>F115*I115</f>
        <v>0.0105</v>
      </c>
      <c r="K115" s="693"/>
      <c r="L115" s="693"/>
      <c r="M115" s="693"/>
      <c r="N115" s="693"/>
      <c r="O115" s="693"/>
      <c r="P115" s="693"/>
      <c r="Q115" s="694"/>
      <c r="R115" s="509"/>
      <c r="S115" s="509"/>
    </row>
    <row r="116" spans="1:19" s="22" customFormat="1" ht="20.25" customHeight="1">
      <c r="A116" s="196" t="s">
        <v>2089</v>
      </c>
      <c r="B116" s="197" t="s">
        <v>753</v>
      </c>
      <c r="C116" s="197" t="s">
        <v>2291</v>
      </c>
      <c r="D116" s="917" t="s">
        <v>747</v>
      </c>
      <c r="E116" s="198" t="s">
        <v>1831</v>
      </c>
      <c r="F116" s="332">
        <v>4</v>
      </c>
      <c r="G116" s="332"/>
      <c r="H116" s="332">
        <f>F116*G116</f>
        <v>0</v>
      </c>
      <c r="I116" s="333">
        <v>0.0015</v>
      </c>
      <c r="J116" s="334">
        <f>F116*I116</f>
        <v>0.006</v>
      </c>
      <c r="K116" s="693"/>
      <c r="L116" s="693">
        <f>4111.34/(1.14*1.4)</f>
        <v>2576.0275689223063</v>
      </c>
      <c r="M116" s="693"/>
      <c r="N116" s="693"/>
      <c r="O116" s="693"/>
      <c r="P116" s="693"/>
      <c r="Q116" s="694"/>
      <c r="R116" s="509"/>
      <c r="S116" s="509"/>
    </row>
    <row r="117" spans="1:19" s="22" customFormat="1" ht="20.25" customHeight="1">
      <c r="A117" s="196" t="s">
        <v>2093</v>
      </c>
      <c r="B117" s="197" t="s">
        <v>754</v>
      </c>
      <c r="C117" s="197" t="s">
        <v>2291</v>
      </c>
      <c r="D117" s="917" t="s">
        <v>749</v>
      </c>
      <c r="E117" s="198" t="s">
        <v>1831</v>
      </c>
      <c r="F117" s="332">
        <v>5</v>
      </c>
      <c r="G117" s="332"/>
      <c r="H117" s="332">
        <f>F117*G117</f>
        <v>0</v>
      </c>
      <c r="I117" s="333">
        <v>0.0015</v>
      </c>
      <c r="J117" s="334">
        <f>F117*I117</f>
        <v>0.0075</v>
      </c>
      <c r="K117" s="693"/>
      <c r="L117" s="693"/>
      <c r="M117" s="693"/>
      <c r="N117" s="693"/>
      <c r="O117" s="693"/>
      <c r="P117" s="693"/>
      <c r="Q117" s="694"/>
      <c r="R117" s="509"/>
      <c r="S117" s="509"/>
    </row>
    <row r="118" spans="1:19" s="22" customFormat="1" ht="20.25" customHeight="1">
      <c r="A118" s="196"/>
      <c r="B118" s="197"/>
      <c r="C118" s="197"/>
      <c r="D118" s="917"/>
      <c r="E118" s="198"/>
      <c r="F118" s="332"/>
      <c r="G118" s="332"/>
      <c r="H118" s="332"/>
      <c r="I118" s="333"/>
      <c r="J118" s="334"/>
      <c r="K118" s="693"/>
      <c r="L118" s="693"/>
      <c r="M118" s="693"/>
      <c r="N118" s="693"/>
      <c r="O118" s="693"/>
      <c r="P118" s="693"/>
      <c r="Q118" s="694"/>
      <c r="R118" s="509"/>
      <c r="S118" s="509"/>
    </row>
    <row r="119" spans="1:19" s="22" customFormat="1" ht="20.25" customHeight="1">
      <c r="A119" s="196" t="s">
        <v>2097</v>
      </c>
      <c r="B119" s="197" t="s">
        <v>2296</v>
      </c>
      <c r="C119" s="197" t="s">
        <v>2297</v>
      </c>
      <c r="D119" s="917" t="s">
        <v>2761</v>
      </c>
      <c r="E119" s="198" t="s">
        <v>1826</v>
      </c>
      <c r="F119" s="332">
        <f>E120</f>
        <v>23.8</v>
      </c>
      <c r="G119" s="332"/>
      <c r="H119" s="332">
        <f>F119*G119</f>
        <v>0</v>
      </c>
      <c r="I119" s="333">
        <v>8E-05</v>
      </c>
      <c r="J119" s="334">
        <f>F119*I119</f>
        <v>0.0019040000000000003</v>
      </c>
      <c r="K119" s="509"/>
      <c r="L119" s="509"/>
      <c r="M119" s="509"/>
      <c r="N119" s="509"/>
      <c r="O119" s="509"/>
      <c r="P119" s="509"/>
      <c r="Q119" s="704"/>
      <c r="R119" s="509"/>
      <c r="S119" s="509"/>
    </row>
    <row r="120" spans="1:19" s="130" customFormat="1" ht="20.25" customHeight="1">
      <c r="A120" s="204"/>
      <c r="B120" s="205"/>
      <c r="C120" s="205" t="s">
        <v>755</v>
      </c>
      <c r="D120" s="916"/>
      <c r="E120" s="207">
        <f>(1.44+2.15)*2+(0.8+1.97)*2*3</f>
        <v>23.8</v>
      </c>
      <c r="F120" s="335"/>
      <c r="G120" s="335"/>
      <c r="H120" s="335"/>
      <c r="I120" s="336"/>
      <c r="J120" s="337"/>
      <c r="K120" s="672"/>
      <c r="L120" s="672"/>
      <c r="M120" s="672"/>
      <c r="N120" s="672"/>
      <c r="O120" s="672"/>
      <c r="P120" s="672"/>
      <c r="Q120" s="673"/>
      <c r="R120" s="508"/>
      <c r="S120" s="508"/>
    </row>
    <row r="121" spans="1:19" s="22" customFormat="1" ht="48" customHeight="1">
      <c r="A121" s="196"/>
      <c r="B121" s="197"/>
      <c r="C121" s="199" t="s">
        <v>2299</v>
      </c>
      <c r="D121" s="917" t="s">
        <v>2761</v>
      </c>
      <c r="E121" s="198"/>
      <c r="F121" s="332"/>
      <c r="G121" s="332"/>
      <c r="H121" s="332"/>
      <c r="I121" s="333"/>
      <c r="J121" s="334"/>
      <c r="K121" s="693"/>
      <c r="L121" s="693"/>
      <c r="M121" s="693"/>
      <c r="N121" s="693"/>
      <c r="O121" s="693"/>
      <c r="P121" s="693"/>
      <c r="Q121" s="694"/>
      <c r="R121" s="509"/>
      <c r="S121" s="509"/>
    </row>
    <row r="122" spans="1:19" s="22" customFormat="1" ht="23.25" customHeight="1">
      <c r="A122" s="196" t="s">
        <v>2101</v>
      </c>
      <c r="B122" s="197" t="s">
        <v>756</v>
      </c>
      <c r="C122" s="197" t="s">
        <v>2302</v>
      </c>
      <c r="D122" s="917" t="s">
        <v>757</v>
      </c>
      <c r="E122" s="198" t="s">
        <v>1831</v>
      </c>
      <c r="F122" s="332">
        <v>1</v>
      </c>
      <c r="G122" s="332"/>
      <c r="H122" s="332">
        <f>F122*G122</f>
        <v>0</v>
      </c>
      <c r="I122" s="333">
        <v>0.00168</v>
      </c>
      <c r="J122" s="334">
        <f>F122*I122</f>
        <v>0.00168</v>
      </c>
      <c r="K122" s="693">
        <v>1.44</v>
      </c>
      <c r="L122" s="693">
        <v>2.15</v>
      </c>
      <c r="M122" s="693">
        <f>K122*L122</f>
        <v>3.0959999999999996</v>
      </c>
      <c r="N122" s="693">
        <f>F122*M122</f>
        <v>3.0959999999999996</v>
      </c>
      <c r="O122" s="693">
        <f>(K122+L122*2)*F122</f>
        <v>5.74</v>
      </c>
      <c r="P122" s="693">
        <v>0</v>
      </c>
      <c r="Q122" s="694" t="s">
        <v>740</v>
      </c>
      <c r="R122" s="509"/>
      <c r="S122" s="509"/>
    </row>
    <row r="123" spans="1:19" s="22" customFormat="1" ht="33" customHeight="1">
      <c r="A123" s="196" t="s">
        <v>2105</v>
      </c>
      <c r="B123" s="197" t="s">
        <v>758</v>
      </c>
      <c r="C123" s="199" t="s">
        <v>759</v>
      </c>
      <c r="D123" s="917" t="s">
        <v>760</v>
      </c>
      <c r="E123" s="198" t="s">
        <v>1831</v>
      </c>
      <c r="F123" s="332">
        <v>3</v>
      </c>
      <c r="G123" s="332"/>
      <c r="H123" s="332">
        <f>F123*G123</f>
        <v>0</v>
      </c>
      <c r="I123" s="333">
        <v>0.00168</v>
      </c>
      <c r="J123" s="334">
        <f>F123*I123</f>
        <v>0.00504</v>
      </c>
      <c r="K123" s="693">
        <v>0.9</v>
      </c>
      <c r="L123" s="693">
        <v>1.97</v>
      </c>
      <c r="M123" s="693">
        <f>K123*L123</f>
        <v>1.773</v>
      </c>
      <c r="N123" s="693">
        <f>F123*M123</f>
        <v>5.319</v>
      </c>
      <c r="O123" s="693">
        <f>(K123+L123*2)*F123</f>
        <v>14.52</v>
      </c>
      <c r="P123" s="693">
        <v>0</v>
      </c>
      <c r="Q123" s="694" t="s">
        <v>740</v>
      </c>
      <c r="R123" s="509"/>
      <c r="S123" s="509"/>
    </row>
    <row r="124" spans="1:19" s="22" customFormat="1" ht="20.25" customHeight="1">
      <c r="A124" s="196"/>
      <c r="B124" s="197"/>
      <c r="C124" s="197"/>
      <c r="D124" s="917"/>
      <c r="E124" s="198"/>
      <c r="F124" s="332"/>
      <c r="G124" s="332"/>
      <c r="H124" s="332"/>
      <c r="I124" s="333"/>
      <c r="J124" s="334"/>
      <c r="K124" s="693"/>
      <c r="L124" s="693"/>
      <c r="M124" s="693"/>
      <c r="N124" s="693"/>
      <c r="O124" s="693"/>
      <c r="P124" s="693"/>
      <c r="Q124" s="694"/>
      <c r="R124" s="509"/>
      <c r="S124" s="509"/>
    </row>
    <row r="125" spans="1:19" s="22" customFormat="1" ht="30" customHeight="1">
      <c r="A125" s="196" t="s">
        <v>2111</v>
      </c>
      <c r="B125" s="197" t="s">
        <v>2280</v>
      </c>
      <c r="C125" s="199" t="s">
        <v>2281</v>
      </c>
      <c r="D125" s="917" t="s">
        <v>2761</v>
      </c>
      <c r="E125" s="198" t="s">
        <v>1826</v>
      </c>
      <c r="F125" s="332">
        <f>E126</f>
        <v>120.68999999999998</v>
      </c>
      <c r="G125" s="332"/>
      <c r="H125" s="332">
        <f>F125*G125</f>
        <v>0</v>
      </c>
      <c r="I125" s="333">
        <v>4E-05</v>
      </c>
      <c r="J125" s="334">
        <f>F125*I125</f>
        <v>0.0048276</v>
      </c>
      <c r="K125" s="693"/>
      <c r="L125" s="693"/>
      <c r="M125" s="693"/>
      <c r="N125" s="693"/>
      <c r="O125" s="693"/>
      <c r="P125" s="693"/>
      <c r="Q125" s="694"/>
      <c r="R125" s="509"/>
      <c r="S125" s="509"/>
    </row>
    <row r="126" spans="1:19" s="130" customFormat="1" ht="23.25" customHeight="1">
      <c r="A126" s="204"/>
      <c r="B126" s="205"/>
      <c r="C126" s="206" t="s">
        <v>761</v>
      </c>
      <c r="D126" s="916"/>
      <c r="E126" s="207">
        <f>34.65+34.44+4.32+16.52+10.5+5.74+14.52</f>
        <v>120.68999999999998</v>
      </c>
      <c r="F126" s="335"/>
      <c r="G126" s="335"/>
      <c r="H126" s="335"/>
      <c r="I126" s="336"/>
      <c r="J126" s="337"/>
      <c r="K126" s="672"/>
      <c r="L126" s="672"/>
      <c r="M126" s="672"/>
      <c r="N126" s="672"/>
      <c r="O126" s="672"/>
      <c r="P126" s="672"/>
      <c r="Q126" s="673"/>
      <c r="R126" s="508"/>
      <c r="S126" s="508"/>
    </row>
    <row r="127" spans="1:19" s="22" customFormat="1" ht="30" customHeight="1">
      <c r="A127" s="196" t="s">
        <v>2115</v>
      </c>
      <c r="B127" s="197" t="s">
        <v>2284</v>
      </c>
      <c r="C127" s="199" t="s">
        <v>2285</v>
      </c>
      <c r="D127" s="917" t="s">
        <v>2761</v>
      </c>
      <c r="E127" s="198" t="s">
        <v>1826</v>
      </c>
      <c r="F127" s="332">
        <f>E128</f>
        <v>29.83</v>
      </c>
      <c r="G127" s="332"/>
      <c r="H127" s="332">
        <f>F127*G127</f>
        <v>0</v>
      </c>
      <c r="I127" s="333">
        <v>0.00016</v>
      </c>
      <c r="J127" s="334">
        <f>F127*I127</f>
        <v>0.0047728</v>
      </c>
      <c r="K127" s="693"/>
      <c r="L127" s="693"/>
      <c r="M127" s="693"/>
      <c r="N127" s="693"/>
      <c r="O127" s="693"/>
      <c r="P127" s="693"/>
      <c r="Q127" s="694"/>
      <c r="R127" s="509"/>
      <c r="S127" s="509"/>
    </row>
    <row r="128" spans="1:19" s="130" customFormat="1" ht="22.5" customHeight="1">
      <c r="A128" s="204"/>
      <c r="B128" s="205"/>
      <c r="C128" s="206" t="s">
        <v>762</v>
      </c>
      <c r="D128" s="916"/>
      <c r="E128" s="207">
        <f>9.45+9.24+1.32+5.32+4.5</f>
        <v>29.83</v>
      </c>
      <c r="F128" s="335"/>
      <c r="G128" s="335"/>
      <c r="H128" s="335"/>
      <c r="I128" s="336"/>
      <c r="J128" s="337"/>
      <c r="K128" s="672"/>
      <c r="L128" s="672"/>
      <c r="M128" s="672"/>
      <c r="N128" s="672"/>
      <c r="O128" s="672"/>
      <c r="P128" s="672"/>
      <c r="Q128" s="673"/>
      <c r="R128" s="508"/>
      <c r="S128" s="508"/>
    </row>
    <row r="129" spans="1:19" s="22" customFormat="1" ht="20.25" customHeight="1" thickBot="1">
      <c r="A129" s="255"/>
      <c r="B129" s="256"/>
      <c r="C129" s="256"/>
      <c r="D129" s="968"/>
      <c r="E129" s="257"/>
      <c r="F129" s="368"/>
      <c r="G129" s="368"/>
      <c r="H129" s="368"/>
      <c r="I129" s="369"/>
      <c r="J129" s="370"/>
      <c r="K129" s="693"/>
      <c r="L129" s="693"/>
      <c r="M129" s="693"/>
      <c r="N129" s="693"/>
      <c r="O129" s="693"/>
      <c r="P129" s="693"/>
      <c r="Q129" s="694"/>
      <c r="R129" s="509"/>
      <c r="S129" s="509"/>
    </row>
    <row r="130" spans="1:19" ht="16.5" customHeight="1" thickBot="1">
      <c r="A130" s="266" t="s">
        <v>2322</v>
      </c>
      <c r="B130" s="175" t="s">
        <v>2323</v>
      </c>
      <c r="C130" s="176" t="s">
        <v>2324</v>
      </c>
      <c r="D130" s="1008"/>
      <c r="E130" s="175"/>
      <c r="F130" s="341"/>
      <c r="G130" s="341"/>
      <c r="H130" s="342">
        <f>SUM(H131:H134)</f>
        <v>0</v>
      </c>
      <c r="I130" s="343"/>
      <c r="J130" s="1012">
        <f>SUM(J131:J134)</f>
        <v>0.0764</v>
      </c>
      <c r="K130" s="670"/>
      <c r="L130" s="670"/>
      <c r="M130" s="670"/>
      <c r="N130" s="670"/>
      <c r="O130" s="670"/>
      <c r="P130" s="670"/>
      <c r="Q130" s="670"/>
      <c r="R130" s="670"/>
      <c r="S130" s="670"/>
    </row>
    <row r="131" spans="1:19" s="22" customFormat="1" ht="12" customHeight="1">
      <c r="A131" s="196"/>
      <c r="B131" s="197"/>
      <c r="C131" s="199"/>
      <c r="D131" s="917"/>
      <c r="E131" s="198"/>
      <c r="F131" s="332"/>
      <c r="G131" s="332"/>
      <c r="H131" s="332"/>
      <c r="I131" s="333"/>
      <c r="J131" s="334"/>
      <c r="K131" s="693"/>
      <c r="L131" s="693"/>
      <c r="M131" s="693"/>
      <c r="N131" s="693"/>
      <c r="O131" s="693"/>
      <c r="P131" s="693"/>
      <c r="Q131" s="694"/>
      <c r="R131" s="509"/>
      <c r="S131" s="509"/>
    </row>
    <row r="132" spans="1:19" s="22" customFormat="1" ht="21.75" customHeight="1">
      <c r="A132" s="196" t="s">
        <v>2325</v>
      </c>
      <c r="B132" s="197" t="s">
        <v>2329</v>
      </c>
      <c r="C132" s="199" t="s">
        <v>763</v>
      </c>
      <c r="D132" s="917" t="s">
        <v>2749</v>
      </c>
      <c r="E132" s="198" t="s">
        <v>2331</v>
      </c>
      <c r="F132" s="332">
        <v>6</v>
      </c>
      <c r="G132" s="332"/>
      <c r="H132" s="332">
        <f>F132*G132</f>
        <v>0</v>
      </c>
      <c r="I132" s="333"/>
      <c r="J132" s="334"/>
      <c r="K132" s="693"/>
      <c r="L132" s="693"/>
      <c r="M132" s="693"/>
      <c r="N132" s="693"/>
      <c r="O132" s="693"/>
      <c r="P132" s="693"/>
      <c r="Q132" s="694"/>
      <c r="R132" s="509"/>
      <c r="S132" s="509"/>
    </row>
    <row r="133" spans="1:59" s="22" customFormat="1" ht="30" customHeight="1">
      <c r="A133" s="196" t="s">
        <v>2328</v>
      </c>
      <c r="B133" s="197" t="s">
        <v>2333</v>
      </c>
      <c r="C133" s="199" t="s">
        <v>2334</v>
      </c>
      <c r="D133" s="917" t="s">
        <v>2749</v>
      </c>
      <c r="E133" s="198" t="s">
        <v>1718</v>
      </c>
      <c r="F133" s="332">
        <v>1</v>
      </c>
      <c r="G133" s="332"/>
      <c r="H133" s="332">
        <f>F133*G133</f>
        <v>0</v>
      </c>
      <c r="I133" s="333">
        <v>0.0764</v>
      </c>
      <c r="J133" s="1030">
        <f>F133*I133</f>
        <v>0.0764</v>
      </c>
      <c r="K133" s="693"/>
      <c r="L133" s="693"/>
      <c r="M133" s="693"/>
      <c r="N133" s="693"/>
      <c r="O133" s="693"/>
      <c r="P133" s="693"/>
      <c r="Q133" s="694">
        <v>2</v>
      </c>
      <c r="R133" s="509"/>
      <c r="S133" s="509"/>
      <c r="AA133" s="22">
        <v>12</v>
      </c>
      <c r="AB133" s="22">
        <v>0</v>
      </c>
      <c r="AC133" s="22">
        <v>30</v>
      </c>
      <c r="BB133" s="22">
        <v>1</v>
      </c>
      <c r="BC133" s="22">
        <f>IF(BB133=1,G133,0)</f>
        <v>0</v>
      </c>
      <c r="BD133" s="22">
        <f>IF(BB133=2,G133,0)</f>
        <v>0</v>
      </c>
      <c r="BE133" s="22">
        <f>IF(BB133=3,G133,0)</f>
        <v>0</v>
      </c>
      <c r="BF133" s="22">
        <f>IF(BB133=4,G133,0)</f>
        <v>0</v>
      </c>
      <c r="BG133" s="22">
        <f>IF(BB133=5,G133,0)</f>
        <v>0</v>
      </c>
    </row>
    <row r="134" spans="1:19" s="22" customFormat="1" ht="30" customHeight="1" thickBot="1">
      <c r="A134" s="196" t="s">
        <v>2332</v>
      </c>
      <c r="B134" s="197" t="s">
        <v>2336</v>
      </c>
      <c r="C134" s="199" t="s">
        <v>2337</v>
      </c>
      <c r="D134" s="917" t="s">
        <v>2749</v>
      </c>
      <c r="E134" s="198" t="s">
        <v>1826</v>
      </c>
      <c r="F134" s="332">
        <v>30</v>
      </c>
      <c r="G134" s="332"/>
      <c r="H134" s="332">
        <f>F134*G134</f>
        <v>0</v>
      </c>
      <c r="I134" s="333"/>
      <c r="J134" s="334"/>
      <c r="K134" s="693"/>
      <c r="L134" s="693"/>
      <c r="M134" s="693"/>
      <c r="N134" s="693"/>
      <c r="O134" s="693"/>
      <c r="P134" s="693"/>
      <c r="Q134" s="694"/>
      <c r="R134" s="509"/>
      <c r="S134" s="509"/>
    </row>
    <row r="135" spans="1:19" ht="16.5" customHeight="1" thickBot="1">
      <c r="A135" s="266" t="s">
        <v>2338</v>
      </c>
      <c r="B135" s="175" t="s">
        <v>2339</v>
      </c>
      <c r="C135" s="176" t="s">
        <v>2340</v>
      </c>
      <c r="D135" s="1008"/>
      <c r="E135" s="175"/>
      <c r="F135" s="341"/>
      <c r="G135" s="341"/>
      <c r="H135" s="342">
        <f>SUM(H136:H144)</f>
        <v>0</v>
      </c>
      <c r="I135" s="343"/>
      <c r="J135" s="344">
        <f>SUM(J136:J143)</f>
        <v>8.361284940000003</v>
      </c>
      <c r="K135" s="670"/>
      <c r="L135" s="670"/>
      <c r="M135" s="670"/>
      <c r="N135" s="670"/>
      <c r="O135" s="670"/>
      <c r="P135" s="670"/>
      <c r="Q135" s="670"/>
      <c r="R135" s="670"/>
      <c r="S135" s="670"/>
    </row>
    <row r="136" spans="1:19" s="22" customFormat="1" ht="23.25" customHeight="1">
      <c r="A136" s="190" t="s">
        <v>2341</v>
      </c>
      <c r="B136" s="191" t="s">
        <v>2342</v>
      </c>
      <c r="C136" s="265" t="s">
        <v>2343</v>
      </c>
      <c r="D136" s="964"/>
      <c r="E136" s="192" t="s">
        <v>1748</v>
      </c>
      <c r="F136" s="345">
        <f>(335+54.19)*1.08</f>
        <v>420.32520000000005</v>
      </c>
      <c r="G136" s="345"/>
      <c r="H136" s="345">
        <f aca="true" t="shared" si="4" ref="H136:H144">F136*G136</f>
        <v>0</v>
      </c>
      <c r="I136" s="346">
        <v>0.01838</v>
      </c>
      <c r="J136" s="347">
        <f aca="true" t="shared" si="5" ref="J136:J143">F136*I136</f>
        <v>7.725577176000002</v>
      </c>
      <c r="K136" s="693"/>
      <c r="L136" s="693"/>
      <c r="M136" s="693"/>
      <c r="N136" s="693"/>
      <c r="O136" s="693"/>
      <c r="P136" s="693"/>
      <c r="Q136" s="694"/>
      <c r="R136" s="509"/>
      <c r="S136" s="509"/>
    </row>
    <row r="137" spans="1:19" s="22" customFormat="1" ht="23.25" customHeight="1">
      <c r="A137" s="196" t="s">
        <v>2344</v>
      </c>
      <c r="B137" s="197" t="s">
        <v>2345</v>
      </c>
      <c r="C137" s="199" t="s">
        <v>2346</v>
      </c>
      <c r="D137" s="917"/>
      <c r="E137" s="198" t="s">
        <v>1748</v>
      </c>
      <c r="F137" s="332">
        <f>F136</f>
        <v>420.32520000000005</v>
      </c>
      <c r="G137" s="332"/>
      <c r="H137" s="332">
        <f t="shared" si="4"/>
        <v>0</v>
      </c>
      <c r="I137" s="333">
        <v>0.00097</v>
      </c>
      <c r="J137" s="334">
        <f t="shared" si="5"/>
        <v>0.4077154440000001</v>
      </c>
      <c r="K137" s="693"/>
      <c r="L137" s="693"/>
      <c r="M137" s="693"/>
      <c r="N137" s="693"/>
      <c r="O137" s="693"/>
      <c r="P137" s="693"/>
      <c r="Q137" s="694"/>
      <c r="R137" s="509"/>
      <c r="S137" s="509"/>
    </row>
    <row r="138" spans="1:19" s="22" customFormat="1" ht="23.25" customHeight="1">
      <c r="A138" s="196" t="s">
        <v>2347</v>
      </c>
      <c r="B138" s="197" t="s">
        <v>2348</v>
      </c>
      <c r="C138" s="199" t="s">
        <v>2349</v>
      </c>
      <c r="D138" s="917"/>
      <c r="E138" s="198" t="s">
        <v>1748</v>
      </c>
      <c r="F138" s="332">
        <f>F136</f>
        <v>420.32520000000005</v>
      </c>
      <c r="G138" s="332"/>
      <c r="H138" s="332">
        <f t="shared" si="4"/>
        <v>0</v>
      </c>
      <c r="I138" s="333">
        <v>0</v>
      </c>
      <c r="J138" s="334">
        <f t="shared" si="5"/>
        <v>0</v>
      </c>
      <c r="K138" s="693"/>
      <c r="L138" s="693"/>
      <c r="M138" s="693"/>
      <c r="N138" s="693"/>
      <c r="O138" s="693"/>
      <c r="P138" s="693"/>
      <c r="Q138" s="694"/>
      <c r="R138" s="509"/>
      <c r="S138" s="509"/>
    </row>
    <row r="139" spans="1:19" s="22" customFormat="1" ht="23.25" customHeight="1">
      <c r="A139" s="196" t="s">
        <v>2350</v>
      </c>
      <c r="B139" s="197" t="s">
        <v>2351</v>
      </c>
      <c r="C139" s="199" t="s">
        <v>2352</v>
      </c>
      <c r="D139" s="917"/>
      <c r="E139" s="198" t="s">
        <v>1748</v>
      </c>
      <c r="F139" s="332">
        <f>F136</f>
        <v>420.32520000000005</v>
      </c>
      <c r="G139" s="332"/>
      <c r="H139" s="332">
        <f t="shared" si="4"/>
        <v>0</v>
      </c>
      <c r="I139" s="333">
        <v>0</v>
      </c>
      <c r="J139" s="334">
        <f t="shared" si="5"/>
        <v>0</v>
      </c>
      <c r="K139" s="693"/>
      <c r="L139" s="693"/>
      <c r="M139" s="693"/>
      <c r="N139" s="693"/>
      <c r="O139" s="693"/>
      <c r="P139" s="693"/>
      <c r="Q139" s="694"/>
      <c r="R139" s="509"/>
      <c r="S139" s="509"/>
    </row>
    <row r="140" spans="1:19" s="22" customFormat="1" ht="23.25" customHeight="1">
      <c r="A140" s="196" t="s">
        <v>2353</v>
      </c>
      <c r="B140" s="197" t="s">
        <v>2354</v>
      </c>
      <c r="C140" s="199" t="s">
        <v>2355</v>
      </c>
      <c r="D140" s="917"/>
      <c r="E140" s="198" t="s">
        <v>1748</v>
      </c>
      <c r="F140" s="332">
        <f>F136</f>
        <v>420.32520000000005</v>
      </c>
      <c r="G140" s="332"/>
      <c r="H140" s="332">
        <f t="shared" si="4"/>
        <v>0</v>
      </c>
      <c r="I140" s="333">
        <v>0</v>
      </c>
      <c r="J140" s="334">
        <f t="shared" si="5"/>
        <v>0</v>
      </c>
      <c r="K140" s="693"/>
      <c r="L140" s="693"/>
      <c r="M140" s="693"/>
      <c r="N140" s="693"/>
      <c r="O140" s="693"/>
      <c r="P140" s="693"/>
      <c r="Q140" s="694"/>
      <c r="R140" s="509"/>
      <c r="S140" s="509"/>
    </row>
    <row r="141" spans="1:19" s="22" customFormat="1" ht="23.25" customHeight="1">
      <c r="A141" s="196" t="s">
        <v>2356</v>
      </c>
      <c r="B141" s="197" t="s">
        <v>2357</v>
      </c>
      <c r="C141" s="199" t="s">
        <v>2358</v>
      </c>
      <c r="D141" s="917"/>
      <c r="E141" s="198" t="s">
        <v>1748</v>
      </c>
      <c r="F141" s="332">
        <f>F139</f>
        <v>420.32520000000005</v>
      </c>
      <c r="G141" s="332"/>
      <c r="H141" s="332">
        <f t="shared" si="4"/>
        <v>0</v>
      </c>
      <c r="I141" s="333">
        <v>0</v>
      </c>
      <c r="J141" s="334">
        <f t="shared" si="5"/>
        <v>0</v>
      </c>
      <c r="K141" s="693"/>
      <c r="L141" s="693"/>
      <c r="M141" s="693"/>
      <c r="N141" s="693"/>
      <c r="O141" s="693"/>
      <c r="P141" s="693"/>
      <c r="Q141" s="694"/>
      <c r="R141" s="509"/>
      <c r="S141" s="509"/>
    </row>
    <row r="142" spans="1:19" s="22" customFormat="1" ht="23.25" customHeight="1">
      <c r="A142" s="196" t="s">
        <v>2359</v>
      </c>
      <c r="B142" s="197" t="s">
        <v>2360</v>
      </c>
      <c r="C142" s="199" t="s">
        <v>2361</v>
      </c>
      <c r="D142" s="917"/>
      <c r="E142" s="198" t="s">
        <v>1748</v>
      </c>
      <c r="F142" s="332">
        <f>29.83*1.2</f>
        <v>35.796</v>
      </c>
      <c r="G142" s="332"/>
      <c r="H142" s="332">
        <f t="shared" si="4"/>
        <v>0</v>
      </c>
      <c r="I142" s="333">
        <v>0.00592</v>
      </c>
      <c r="J142" s="334">
        <f t="shared" si="5"/>
        <v>0.21191232</v>
      </c>
      <c r="K142" s="693"/>
      <c r="L142" s="693"/>
      <c r="M142" s="693"/>
      <c r="N142" s="693"/>
      <c r="O142" s="693"/>
      <c r="P142" s="693"/>
      <c r="Q142" s="694"/>
      <c r="R142" s="509"/>
      <c r="S142" s="509"/>
    </row>
    <row r="143" spans="1:19" s="22" customFormat="1" ht="23.25" customHeight="1">
      <c r="A143" s="196" t="s">
        <v>2362</v>
      </c>
      <c r="B143" s="197" t="s">
        <v>2363</v>
      </c>
      <c r="C143" s="199" t="s">
        <v>2364</v>
      </c>
      <c r="D143" s="917"/>
      <c r="E143" s="198" t="s">
        <v>1748</v>
      </c>
      <c r="F143" s="332">
        <f>335*1.2</f>
        <v>402</v>
      </c>
      <c r="G143" s="332"/>
      <c r="H143" s="332">
        <f t="shared" si="4"/>
        <v>0</v>
      </c>
      <c r="I143" s="333">
        <v>4E-05</v>
      </c>
      <c r="J143" s="334">
        <f t="shared" si="5"/>
        <v>0.01608</v>
      </c>
      <c r="K143" s="693"/>
      <c r="L143" s="693"/>
      <c r="M143" s="693"/>
      <c r="N143" s="693"/>
      <c r="O143" s="693"/>
      <c r="P143" s="693"/>
      <c r="Q143" s="694"/>
      <c r="R143" s="509"/>
      <c r="S143" s="509"/>
    </row>
    <row r="144" spans="1:19" s="22" customFormat="1" ht="23.25" customHeight="1" thickBot="1">
      <c r="A144" s="255" t="s">
        <v>2365</v>
      </c>
      <c r="B144" s="256" t="s">
        <v>2366</v>
      </c>
      <c r="C144" s="264" t="s">
        <v>2367</v>
      </c>
      <c r="D144" s="968"/>
      <c r="E144" s="257" t="s">
        <v>1783</v>
      </c>
      <c r="F144" s="1120">
        <f>J135+J130+J97+J92+J62+J54+J38+J36+J34+J29+J18</f>
        <v>98.0880037885</v>
      </c>
      <c r="G144" s="368"/>
      <c r="H144" s="368">
        <f t="shared" si="4"/>
        <v>0</v>
      </c>
      <c r="I144" s="369">
        <v>0</v>
      </c>
      <c r="J144" s="370"/>
      <c r="K144" s="693"/>
      <c r="L144" s="693"/>
      <c r="M144" s="693"/>
      <c r="N144" s="693"/>
      <c r="O144" s="693"/>
      <c r="P144" s="693"/>
      <c r="Q144" s="694"/>
      <c r="R144" s="509"/>
      <c r="S144" s="509"/>
    </row>
    <row r="145" spans="1:19" ht="16.5" customHeight="1" thickBot="1">
      <c r="A145" s="266" t="s">
        <v>2368</v>
      </c>
      <c r="B145" s="175" t="s">
        <v>2369</v>
      </c>
      <c r="C145" s="176" t="s">
        <v>2370</v>
      </c>
      <c r="D145" s="962"/>
      <c r="E145" s="175"/>
      <c r="F145" s="341"/>
      <c r="G145" s="341"/>
      <c r="H145" s="1011">
        <f>SUM(H146:H189)</f>
        <v>0</v>
      </c>
      <c r="I145" s="343"/>
      <c r="J145" s="344">
        <f>SUM(J146:J181)</f>
        <v>67.018406</v>
      </c>
      <c r="K145" s="670"/>
      <c r="L145" s="670"/>
      <c r="M145" s="670"/>
      <c r="N145" s="670"/>
      <c r="O145" s="670"/>
      <c r="P145" s="670"/>
      <c r="Q145" s="670"/>
      <c r="R145" s="670"/>
      <c r="S145" s="670"/>
    </row>
    <row r="146" spans="1:60" s="259" customFormat="1" ht="19.5" customHeight="1">
      <c r="A146" s="765" t="s">
        <v>2371</v>
      </c>
      <c r="B146" s="766" t="s">
        <v>2375</v>
      </c>
      <c r="C146" s="767" t="s">
        <v>2376</v>
      </c>
      <c r="D146" s="973" t="s">
        <v>2761</v>
      </c>
      <c r="E146" s="686" t="s">
        <v>1748</v>
      </c>
      <c r="F146" s="678">
        <f>SUM(E147:E147)</f>
        <v>35.629999999999995</v>
      </c>
      <c r="G146" s="678"/>
      <c r="H146" s="678">
        <f>F146*G146</f>
        <v>0</v>
      </c>
      <c r="I146" s="768">
        <v>0.059</v>
      </c>
      <c r="J146" s="769">
        <f>F146*I146</f>
        <v>2.1021699999999996</v>
      </c>
      <c r="K146" s="258"/>
      <c r="L146" s="258"/>
      <c r="M146" s="214"/>
      <c r="N146" s="691"/>
      <c r="O146" s="691"/>
      <c r="P146" s="258"/>
      <c r="Q146" s="258"/>
      <c r="R146" s="258">
        <v>2</v>
      </c>
      <c r="S146" s="258"/>
      <c r="T146" s="718"/>
      <c r="U146" s="718"/>
      <c r="V146" s="718"/>
      <c r="W146" s="718"/>
      <c r="X146" s="718"/>
      <c r="Y146" s="718"/>
      <c r="Z146" s="718"/>
      <c r="AA146" s="718"/>
      <c r="AB146" s="718">
        <v>12</v>
      </c>
      <c r="AC146" s="718">
        <v>0</v>
      </c>
      <c r="AD146" s="718">
        <v>25</v>
      </c>
      <c r="AE146" s="718"/>
      <c r="AF146" s="718"/>
      <c r="AG146" s="718"/>
      <c r="AH146" s="718"/>
      <c r="AI146" s="718"/>
      <c r="AJ146" s="718"/>
      <c r="AK146" s="718"/>
      <c r="AL146" s="718"/>
      <c r="AM146" s="718"/>
      <c r="AN146" s="718"/>
      <c r="AO146" s="718"/>
      <c r="AP146" s="718"/>
      <c r="AQ146" s="718"/>
      <c r="AR146" s="718"/>
      <c r="AS146" s="718"/>
      <c r="AT146" s="718"/>
      <c r="AU146" s="718"/>
      <c r="AV146" s="718"/>
      <c r="AW146" s="718"/>
      <c r="AX146" s="718"/>
      <c r="AY146" s="718"/>
      <c r="AZ146" s="718"/>
      <c r="BA146" s="718"/>
      <c r="BB146" s="718"/>
      <c r="BC146" s="718">
        <v>1</v>
      </c>
      <c r="BD146" s="718">
        <f>IF(BC146=1,H146,0)</f>
        <v>0</v>
      </c>
      <c r="BE146" s="718">
        <f>IF(BC146=2,H146,0)</f>
        <v>0</v>
      </c>
      <c r="BF146" s="718">
        <f>IF(BC146=3,H146,0)</f>
        <v>0</v>
      </c>
      <c r="BG146" s="718">
        <f>IF(BC146=4,H146,0)</f>
        <v>0</v>
      </c>
      <c r="BH146" s="718">
        <f>IF(BC146=5,H146,0)</f>
        <v>0</v>
      </c>
    </row>
    <row r="147" spans="1:19" s="142" customFormat="1" ht="18" customHeight="1">
      <c r="A147" s="204"/>
      <c r="B147" s="222" t="s">
        <v>1920</v>
      </c>
      <c r="C147" s="224" t="s">
        <v>764</v>
      </c>
      <c r="D147" s="971"/>
      <c r="E147" s="213">
        <f>(17.2)*0.7+14.4*0.7+19.3*0.7</f>
        <v>35.629999999999995</v>
      </c>
      <c r="F147" s="141"/>
      <c r="G147" s="141"/>
      <c r="H147" s="141"/>
      <c r="I147" s="350"/>
      <c r="J147" s="351"/>
      <c r="K147" s="215"/>
      <c r="L147" s="215"/>
      <c r="M147" s="214"/>
      <c r="N147" s="215"/>
      <c r="O147" s="215"/>
      <c r="P147" s="215"/>
      <c r="Q147" s="215"/>
      <c r="R147" s="215"/>
      <c r="S147" s="215"/>
    </row>
    <row r="148" spans="1:60" s="259" customFormat="1" ht="25.5" customHeight="1">
      <c r="A148" s="692" t="s">
        <v>2374</v>
      </c>
      <c r="B148" s="687" t="s">
        <v>2384</v>
      </c>
      <c r="C148" s="688" t="s">
        <v>2385</v>
      </c>
      <c r="D148" s="974" t="s">
        <v>2761</v>
      </c>
      <c r="E148" s="287" t="s">
        <v>1748</v>
      </c>
      <c r="F148" s="387">
        <f>SUM(E149:E149)</f>
        <v>92.03999999999999</v>
      </c>
      <c r="G148" s="387"/>
      <c r="H148" s="387">
        <f>F148*G148</f>
        <v>0</v>
      </c>
      <c r="I148" s="689">
        <v>0.014</v>
      </c>
      <c r="J148" s="690">
        <f>F148*I148</f>
        <v>1.28856</v>
      </c>
      <c r="K148" s="258"/>
      <c r="L148" s="258"/>
      <c r="M148" s="214"/>
      <c r="N148" s="691"/>
      <c r="O148" s="691"/>
      <c r="P148" s="258"/>
      <c r="Q148" s="258"/>
      <c r="R148" s="258">
        <v>2</v>
      </c>
      <c r="S148" s="258"/>
      <c r="T148" s="258"/>
      <c r="U148" s="258"/>
      <c r="V148" s="258"/>
      <c r="W148" s="258"/>
      <c r="X148" s="718"/>
      <c r="Y148" s="718"/>
      <c r="Z148" s="718"/>
      <c r="AA148" s="718"/>
      <c r="AB148" s="718">
        <v>12</v>
      </c>
      <c r="AC148" s="718">
        <v>0</v>
      </c>
      <c r="AD148" s="718">
        <v>9</v>
      </c>
      <c r="AE148" s="718"/>
      <c r="AF148" s="718"/>
      <c r="AG148" s="718"/>
      <c r="AH148" s="718"/>
      <c r="AI148" s="718"/>
      <c r="AJ148" s="718"/>
      <c r="AK148" s="718"/>
      <c r="AL148" s="718"/>
      <c r="AM148" s="718"/>
      <c r="AN148" s="718"/>
      <c r="AO148" s="718"/>
      <c r="AP148" s="718"/>
      <c r="AQ148" s="718"/>
      <c r="AR148" s="718"/>
      <c r="AS148" s="718"/>
      <c r="AT148" s="718"/>
      <c r="AU148" s="718"/>
      <c r="AV148" s="718"/>
      <c r="AW148" s="718"/>
      <c r="AX148" s="718"/>
      <c r="AY148" s="718"/>
      <c r="AZ148" s="718"/>
      <c r="BA148" s="718"/>
      <c r="BB148" s="718"/>
      <c r="BC148" s="718">
        <v>1</v>
      </c>
      <c r="BD148" s="718">
        <f>IF(BC148=1,H148,0)</f>
        <v>0</v>
      </c>
      <c r="BE148" s="718">
        <f>IF(BC148=2,H148,0)</f>
        <v>0</v>
      </c>
      <c r="BF148" s="718">
        <f>IF(BC148=3,H148,0)</f>
        <v>0</v>
      </c>
      <c r="BG148" s="718">
        <f>IF(BC148=4,H148,0)</f>
        <v>0</v>
      </c>
      <c r="BH148" s="718">
        <f>IF(BC148=5,H148,0)</f>
        <v>0</v>
      </c>
    </row>
    <row r="149" spans="1:24" s="211" customFormat="1" ht="20.25" customHeight="1">
      <c r="A149" s="223"/>
      <c r="B149" s="224"/>
      <c r="C149" s="224" t="s">
        <v>765</v>
      </c>
      <c r="D149" s="970"/>
      <c r="E149" s="220">
        <f>35.63+56.41</f>
        <v>92.03999999999999</v>
      </c>
      <c r="F149" s="225"/>
      <c r="G149" s="674"/>
      <c r="H149" s="225"/>
      <c r="I149" s="348"/>
      <c r="J149" s="349"/>
      <c r="K149" s="675"/>
      <c r="L149" s="675"/>
      <c r="M149" s="675"/>
      <c r="N149" s="675"/>
      <c r="O149" s="676"/>
      <c r="P149" s="676"/>
      <c r="Q149" s="676"/>
      <c r="R149" s="676"/>
      <c r="S149" s="515"/>
      <c r="T149" s="210"/>
      <c r="U149" s="210"/>
      <c r="V149" s="210"/>
      <c r="W149" s="210"/>
      <c r="X149" s="210"/>
    </row>
    <row r="150" spans="1:19" s="22" customFormat="1" ht="21.75" customHeight="1">
      <c r="A150" s="196" t="s">
        <v>2379</v>
      </c>
      <c r="B150" s="197" t="s">
        <v>2387</v>
      </c>
      <c r="C150" s="199" t="s">
        <v>2388</v>
      </c>
      <c r="D150" s="917" t="s">
        <v>2761</v>
      </c>
      <c r="E150" s="198" t="s">
        <v>1748</v>
      </c>
      <c r="F150" s="332">
        <f>335-35.63</f>
        <v>299.37</v>
      </c>
      <c r="G150" s="332"/>
      <c r="H150" s="332">
        <f aca="true" t="shared" si="6" ref="H150:H188">F150*G150</f>
        <v>0</v>
      </c>
      <c r="I150" s="333">
        <v>0.023</v>
      </c>
      <c r="J150" s="334">
        <f aca="true" t="shared" si="7" ref="J150:J181">F150*I150</f>
        <v>6.88551</v>
      </c>
      <c r="K150" s="693"/>
      <c r="L150" s="693"/>
      <c r="M150" s="693"/>
      <c r="N150" s="693"/>
      <c r="O150" s="693"/>
      <c r="P150" s="693"/>
      <c r="Q150" s="694"/>
      <c r="R150" s="509"/>
      <c r="S150" s="509"/>
    </row>
    <row r="151" spans="1:19" s="22" customFormat="1" ht="21.75" customHeight="1">
      <c r="A151" s="196" t="s">
        <v>2383</v>
      </c>
      <c r="B151" s="197" t="s">
        <v>2394</v>
      </c>
      <c r="C151" s="199" t="s">
        <v>2395</v>
      </c>
      <c r="D151" s="917" t="s">
        <v>2759</v>
      </c>
      <c r="E151" s="198" t="s">
        <v>1709</v>
      </c>
      <c r="F151" s="332">
        <f>E152</f>
        <v>2.34</v>
      </c>
      <c r="G151" s="332"/>
      <c r="H151" s="332">
        <f t="shared" si="6"/>
        <v>0</v>
      </c>
      <c r="I151" s="333">
        <v>2.4</v>
      </c>
      <c r="J151" s="334">
        <f t="shared" si="7"/>
        <v>5.616</v>
      </c>
      <c r="K151" s="693"/>
      <c r="L151" s="693"/>
      <c r="M151" s="693"/>
      <c r="N151" s="693"/>
      <c r="O151" s="693"/>
      <c r="P151" s="693"/>
      <c r="Q151" s="694"/>
      <c r="R151" s="509"/>
      <c r="S151" s="509"/>
    </row>
    <row r="152" spans="1:19" s="130" customFormat="1" ht="27.75" customHeight="1">
      <c r="A152" s="204"/>
      <c r="B152" s="205" t="s">
        <v>1911</v>
      </c>
      <c r="C152" s="206" t="s">
        <v>766</v>
      </c>
      <c r="D152" s="916"/>
      <c r="E152" s="260">
        <f>(3.35*1*1*2+2*1*1)*0.1+(3.35+2)*2*1*0.1+(2+2)*1*0.1</f>
        <v>2.34</v>
      </c>
      <c r="F152" s="335"/>
      <c r="G152" s="335"/>
      <c r="H152" s="335"/>
      <c r="I152" s="336"/>
      <c r="J152" s="337"/>
      <c r="K152" s="508"/>
      <c r="L152" s="508"/>
      <c r="M152" s="508"/>
      <c r="N152" s="508"/>
      <c r="O152" s="508"/>
      <c r="P152" s="508"/>
      <c r="Q152" s="508"/>
      <c r="R152" s="508"/>
      <c r="S152" s="508"/>
    </row>
    <row r="153" spans="1:19" s="22" customFormat="1" ht="21.75" customHeight="1">
      <c r="A153" s="196" t="s">
        <v>2386</v>
      </c>
      <c r="B153" s="197" t="s">
        <v>767</v>
      </c>
      <c r="C153" s="199" t="s">
        <v>768</v>
      </c>
      <c r="D153" s="917" t="s">
        <v>2759</v>
      </c>
      <c r="E153" s="198" t="s">
        <v>1748</v>
      </c>
      <c r="F153" s="332">
        <f>E154</f>
        <v>29.8</v>
      </c>
      <c r="G153" s="332"/>
      <c r="H153" s="332">
        <f t="shared" si="6"/>
        <v>0</v>
      </c>
      <c r="I153" s="333">
        <v>0.225</v>
      </c>
      <c r="J153" s="334">
        <f t="shared" si="7"/>
        <v>6.705</v>
      </c>
      <c r="K153" s="693"/>
      <c r="L153" s="693"/>
      <c r="M153" s="693"/>
      <c r="N153" s="693"/>
      <c r="O153" s="693"/>
      <c r="P153" s="693"/>
      <c r="Q153" s="694"/>
      <c r="R153" s="509"/>
      <c r="S153" s="509"/>
    </row>
    <row r="154" spans="1:19" s="130" customFormat="1" ht="18.75" customHeight="1">
      <c r="A154" s="204"/>
      <c r="B154" s="205"/>
      <c r="C154" s="206" t="s">
        <v>769</v>
      </c>
      <c r="D154" s="916"/>
      <c r="E154" s="260">
        <v>29.8</v>
      </c>
      <c r="F154" s="335"/>
      <c r="G154" s="335"/>
      <c r="H154" s="335"/>
      <c r="I154" s="336"/>
      <c r="J154" s="337"/>
      <c r="K154" s="508"/>
      <c r="L154" s="508"/>
      <c r="M154" s="508"/>
      <c r="N154" s="508"/>
      <c r="O154" s="508"/>
      <c r="P154" s="508"/>
      <c r="Q154" s="508"/>
      <c r="R154" s="508"/>
      <c r="S154" s="508"/>
    </row>
    <row r="155" spans="1:19" s="22" customFormat="1" ht="21.75" customHeight="1">
      <c r="A155" s="196" t="s">
        <v>2389</v>
      </c>
      <c r="B155" s="197" t="s">
        <v>770</v>
      </c>
      <c r="C155" s="199" t="s">
        <v>771</v>
      </c>
      <c r="D155" s="917" t="s">
        <v>2759</v>
      </c>
      <c r="E155" s="198" t="s">
        <v>1826</v>
      </c>
      <c r="F155" s="332">
        <f>E156</f>
        <v>15.3</v>
      </c>
      <c r="G155" s="332"/>
      <c r="H155" s="332">
        <f t="shared" si="6"/>
        <v>0</v>
      </c>
      <c r="I155" s="333">
        <v>0</v>
      </c>
      <c r="J155" s="334">
        <f t="shared" si="7"/>
        <v>0</v>
      </c>
      <c r="K155" s="693"/>
      <c r="L155" s="693"/>
      <c r="M155" s="693"/>
      <c r="N155" s="693"/>
      <c r="O155" s="693"/>
      <c r="P155" s="693"/>
      <c r="Q155" s="694"/>
      <c r="R155" s="509"/>
      <c r="S155" s="509"/>
    </row>
    <row r="156" spans="1:19" s="130" customFormat="1" ht="18.75" customHeight="1">
      <c r="A156" s="204"/>
      <c r="B156" s="205"/>
      <c r="C156" s="206" t="s">
        <v>772</v>
      </c>
      <c r="D156" s="916"/>
      <c r="E156" s="260">
        <f>13.3+2</f>
        <v>15.3</v>
      </c>
      <c r="F156" s="335"/>
      <c r="G156" s="335"/>
      <c r="H156" s="335"/>
      <c r="I156" s="336"/>
      <c r="J156" s="337"/>
      <c r="K156" s="508"/>
      <c r="L156" s="508"/>
      <c r="M156" s="508"/>
      <c r="N156" s="508"/>
      <c r="O156" s="508"/>
      <c r="P156" s="508"/>
      <c r="Q156" s="508"/>
      <c r="R156" s="508"/>
      <c r="S156" s="508"/>
    </row>
    <row r="157" spans="1:19" s="22" customFormat="1" ht="21.75" customHeight="1">
      <c r="A157" s="196" t="s">
        <v>2393</v>
      </c>
      <c r="B157" s="197" t="s">
        <v>2477</v>
      </c>
      <c r="C157" s="199" t="s">
        <v>773</v>
      </c>
      <c r="D157" s="917" t="s">
        <v>2759</v>
      </c>
      <c r="E157" s="198" t="s">
        <v>1748</v>
      </c>
      <c r="F157" s="332">
        <f>SUM(E158:E159)</f>
        <v>35.05</v>
      </c>
      <c r="G157" s="332"/>
      <c r="H157" s="332">
        <f t="shared" si="6"/>
        <v>0</v>
      </c>
      <c r="I157" s="333">
        <v>0.02</v>
      </c>
      <c r="J157" s="334">
        <f t="shared" si="7"/>
        <v>0.701</v>
      </c>
      <c r="K157" s="693"/>
      <c r="L157" s="693"/>
      <c r="M157" s="693"/>
      <c r="N157" s="693"/>
      <c r="O157" s="693"/>
      <c r="P157" s="693"/>
      <c r="Q157" s="694"/>
      <c r="R157" s="509"/>
      <c r="S157" s="509"/>
    </row>
    <row r="158" spans="1:19" s="130" customFormat="1" ht="18.75" customHeight="1">
      <c r="A158" s="204"/>
      <c r="B158" s="205" t="s">
        <v>774</v>
      </c>
      <c r="C158" s="206" t="s">
        <v>775</v>
      </c>
      <c r="D158" s="916"/>
      <c r="E158" s="260">
        <f>0.8*14.67+1.34*0.3*7</f>
        <v>14.55</v>
      </c>
      <c r="F158" s="335"/>
      <c r="G158" s="335"/>
      <c r="H158" s="335"/>
      <c r="I158" s="336"/>
      <c r="J158" s="337"/>
      <c r="K158" s="508"/>
      <c r="L158" s="508"/>
      <c r="M158" s="508"/>
      <c r="N158" s="508"/>
      <c r="O158" s="508"/>
      <c r="P158" s="508"/>
      <c r="Q158" s="508"/>
      <c r="R158" s="508"/>
      <c r="S158" s="508"/>
    </row>
    <row r="159" spans="1:19" s="130" customFormat="1" ht="18.75" customHeight="1">
      <c r="A159" s="204"/>
      <c r="B159" s="205" t="s">
        <v>776</v>
      </c>
      <c r="C159" s="206" t="s">
        <v>777</v>
      </c>
      <c r="D159" s="916"/>
      <c r="E159" s="260">
        <f>14.9+5.6</f>
        <v>20.5</v>
      </c>
      <c r="F159" s="335"/>
      <c r="G159" s="335"/>
      <c r="H159" s="335"/>
      <c r="I159" s="336"/>
      <c r="J159" s="337"/>
      <c r="K159" s="508"/>
      <c r="L159" s="508"/>
      <c r="M159" s="508"/>
      <c r="N159" s="508"/>
      <c r="O159" s="508"/>
      <c r="P159" s="508"/>
      <c r="Q159" s="508"/>
      <c r="R159" s="508"/>
      <c r="S159" s="508"/>
    </row>
    <row r="160" spans="1:19" s="22" customFormat="1" ht="21.75" customHeight="1">
      <c r="A160" s="196" t="s">
        <v>2397</v>
      </c>
      <c r="B160" s="197" t="s">
        <v>2415</v>
      </c>
      <c r="C160" s="199" t="s">
        <v>2416</v>
      </c>
      <c r="D160" s="917" t="s">
        <v>2759</v>
      </c>
      <c r="E160" s="198" t="s">
        <v>1831</v>
      </c>
      <c r="F160" s="332">
        <v>31</v>
      </c>
      <c r="G160" s="332"/>
      <c r="H160" s="332">
        <f t="shared" si="6"/>
        <v>0</v>
      </c>
      <c r="I160" s="333">
        <v>0</v>
      </c>
      <c r="J160" s="334">
        <f t="shared" si="7"/>
        <v>0</v>
      </c>
      <c r="K160" s="693"/>
      <c r="L160" s="693"/>
      <c r="M160" s="693"/>
      <c r="N160" s="693"/>
      <c r="O160" s="693"/>
      <c r="P160" s="693"/>
      <c r="Q160" s="694"/>
      <c r="R160" s="509"/>
      <c r="S160" s="509"/>
    </row>
    <row r="161" spans="1:19" s="22" customFormat="1" ht="21.75" customHeight="1">
      <c r="A161" s="196" t="s">
        <v>2401</v>
      </c>
      <c r="B161" s="197" t="s">
        <v>2419</v>
      </c>
      <c r="C161" s="199" t="s">
        <v>2420</v>
      </c>
      <c r="D161" s="917" t="s">
        <v>2759</v>
      </c>
      <c r="E161" s="198" t="s">
        <v>1748</v>
      </c>
      <c r="F161" s="332">
        <v>31.34</v>
      </c>
      <c r="G161" s="332"/>
      <c r="H161" s="332">
        <f t="shared" si="6"/>
        <v>0</v>
      </c>
      <c r="I161" s="333">
        <v>0.031</v>
      </c>
      <c r="J161" s="334">
        <f t="shared" si="7"/>
        <v>0.97154</v>
      </c>
      <c r="K161" s="693"/>
      <c r="L161" s="693"/>
      <c r="M161" s="693"/>
      <c r="N161" s="693"/>
      <c r="O161" s="693"/>
      <c r="P161" s="693"/>
      <c r="Q161" s="694"/>
      <c r="R161" s="509"/>
      <c r="S161" s="509"/>
    </row>
    <row r="162" spans="1:19" s="22" customFormat="1" ht="21.75" customHeight="1">
      <c r="A162" s="196" t="s">
        <v>2405</v>
      </c>
      <c r="B162" s="197" t="s">
        <v>2423</v>
      </c>
      <c r="C162" s="199" t="s">
        <v>2424</v>
      </c>
      <c r="D162" s="917" t="s">
        <v>2759</v>
      </c>
      <c r="E162" s="198" t="s">
        <v>1748</v>
      </c>
      <c r="F162" s="332">
        <v>69.09</v>
      </c>
      <c r="G162" s="332"/>
      <c r="H162" s="332">
        <f t="shared" si="6"/>
        <v>0</v>
      </c>
      <c r="I162" s="333">
        <v>0.027</v>
      </c>
      <c r="J162" s="334">
        <f t="shared" si="7"/>
        <v>1.8654300000000001</v>
      </c>
      <c r="K162" s="693"/>
      <c r="L162" s="693"/>
      <c r="M162" s="693"/>
      <c r="N162" s="693"/>
      <c r="O162" s="693"/>
      <c r="P162" s="693"/>
      <c r="Q162" s="694"/>
      <c r="R162" s="509"/>
      <c r="S162" s="509"/>
    </row>
    <row r="163" spans="1:19" s="22" customFormat="1" ht="21.75" customHeight="1">
      <c r="A163" s="196" t="s">
        <v>2409</v>
      </c>
      <c r="B163" s="197" t="s">
        <v>2439</v>
      </c>
      <c r="C163" s="199" t="s">
        <v>2440</v>
      </c>
      <c r="D163" s="917" t="s">
        <v>2759</v>
      </c>
      <c r="E163" s="198" t="s">
        <v>1718</v>
      </c>
      <c r="F163" s="332">
        <v>5</v>
      </c>
      <c r="G163" s="332"/>
      <c r="H163" s="332">
        <f t="shared" si="6"/>
        <v>0</v>
      </c>
      <c r="I163" s="333">
        <v>0</v>
      </c>
      <c r="J163" s="334">
        <f>F163*I163</f>
        <v>0</v>
      </c>
      <c r="K163" s="693"/>
      <c r="L163" s="693"/>
      <c r="M163" s="693"/>
      <c r="N163" s="693"/>
      <c r="O163" s="693"/>
      <c r="P163" s="693"/>
      <c r="Q163" s="694"/>
      <c r="R163" s="509"/>
      <c r="S163" s="509"/>
    </row>
    <row r="164" spans="1:19" s="22" customFormat="1" ht="21.75" customHeight="1">
      <c r="A164" s="196"/>
      <c r="B164" s="197"/>
      <c r="C164" s="199"/>
      <c r="D164" s="917"/>
      <c r="E164" s="198"/>
      <c r="F164" s="332"/>
      <c r="G164" s="332"/>
      <c r="H164" s="332"/>
      <c r="I164" s="333"/>
      <c r="J164" s="334"/>
      <c r="K164" s="693"/>
      <c r="L164" s="693"/>
      <c r="M164" s="693"/>
      <c r="N164" s="693"/>
      <c r="O164" s="693"/>
      <c r="P164" s="693"/>
      <c r="Q164" s="694"/>
      <c r="R164" s="509"/>
      <c r="S164" s="509"/>
    </row>
    <row r="165" spans="1:19" s="22" customFormat="1" ht="21.75" customHeight="1">
      <c r="A165" s="196" t="s">
        <v>2412</v>
      </c>
      <c r="B165" s="197" t="s">
        <v>2442</v>
      </c>
      <c r="C165" s="199" t="s">
        <v>2443</v>
      </c>
      <c r="D165" s="917" t="s">
        <v>2759</v>
      </c>
      <c r="E165" s="198" t="s">
        <v>1748</v>
      </c>
      <c r="F165" s="332">
        <v>5.32</v>
      </c>
      <c r="G165" s="332"/>
      <c r="H165" s="332">
        <f t="shared" si="6"/>
        <v>0</v>
      </c>
      <c r="I165" s="333">
        <v>0.088</v>
      </c>
      <c r="J165" s="334">
        <f>F165*I165</f>
        <v>0.46816</v>
      </c>
      <c r="K165" s="693"/>
      <c r="L165" s="693"/>
      <c r="M165" s="693"/>
      <c r="N165" s="693"/>
      <c r="O165" s="693"/>
      <c r="P165" s="693"/>
      <c r="Q165" s="694"/>
      <c r="R165" s="509"/>
      <c r="S165" s="509"/>
    </row>
    <row r="166" spans="1:19" s="22" customFormat="1" ht="21.75" customHeight="1">
      <c r="A166" s="196" t="s">
        <v>2414</v>
      </c>
      <c r="B166" s="197" t="s">
        <v>2445</v>
      </c>
      <c r="C166" s="199" t="s">
        <v>2446</v>
      </c>
      <c r="D166" s="917" t="s">
        <v>2759</v>
      </c>
      <c r="E166" s="198" t="s">
        <v>1748</v>
      </c>
      <c r="F166" s="332">
        <v>3.1</v>
      </c>
      <c r="G166" s="332"/>
      <c r="H166" s="332">
        <f t="shared" si="6"/>
        <v>0</v>
      </c>
      <c r="I166" s="333">
        <v>0.067</v>
      </c>
      <c r="J166" s="334">
        <f>F166*I166</f>
        <v>0.20770000000000002</v>
      </c>
      <c r="K166" s="693"/>
      <c r="L166" s="693"/>
      <c r="M166" s="693"/>
      <c r="N166" s="693"/>
      <c r="O166" s="693"/>
      <c r="P166" s="693"/>
      <c r="Q166" s="694"/>
      <c r="R166" s="509"/>
      <c r="S166" s="509"/>
    </row>
    <row r="167" spans="1:19" s="22" customFormat="1" ht="21.75" customHeight="1">
      <c r="A167" s="196"/>
      <c r="B167" s="197"/>
      <c r="C167" s="199"/>
      <c r="D167" s="917"/>
      <c r="E167" s="198"/>
      <c r="F167" s="332"/>
      <c r="G167" s="332"/>
      <c r="H167" s="332"/>
      <c r="I167" s="333"/>
      <c r="J167" s="334"/>
      <c r="K167" s="693"/>
      <c r="L167" s="693"/>
      <c r="M167" s="693"/>
      <c r="N167" s="693"/>
      <c r="O167" s="693"/>
      <c r="P167" s="693"/>
      <c r="Q167" s="694"/>
      <c r="R167" s="509"/>
      <c r="S167" s="509"/>
    </row>
    <row r="168" spans="1:19" s="22" customFormat="1" ht="21.75" customHeight="1">
      <c r="A168" s="196" t="s">
        <v>2418</v>
      </c>
      <c r="B168" s="197" t="s">
        <v>2456</v>
      </c>
      <c r="C168" s="199" t="s">
        <v>778</v>
      </c>
      <c r="D168" s="917" t="s">
        <v>2759</v>
      </c>
      <c r="E168" s="198" t="s">
        <v>1709</v>
      </c>
      <c r="F168" s="332">
        <f>SUM(E169)</f>
        <v>22.461000000000002</v>
      </c>
      <c r="G168" s="332"/>
      <c r="H168" s="332">
        <f t="shared" si="6"/>
        <v>0</v>
      </c>
      <c r="I168" s="333">
        <v>1.6</v>
      </c>
      <c r="J168" s="334">
        <f t="shared" si="7"/>
        <v>35.9376</v>
      </c>
      <c r="K168" s="693"/>
      <c r="L168" s="693"/>
      <c r="M168" s="693"/>
      <c r="N168" s="693"/>
      <c r="O168" s="693"/>
      <c r="P168" s="693"/>
      <c r="Q168" s="694"/>
      <c r="R168" s="509"/>
      <c r="S168" s="509"/>
    </row>
    <row r="169" spans="1:19" s="130" customFormat="1" ht="18.75" customHeight="1">
      <c r="A169" s="204"/>
      <c r="B169" s="205"/>
      <c r="C169" s="206" t="s">
        <v>779</v>
      </c>
      <c r="D169" s="916"/>
      <c r="E169" s="260">
        <f>(78.11+146.5)*0.1</f>
        <v>22.461000000000002</v>
      </c>
      <c r="F169" s="335"/>
      <c r="G169" s="335"/>
      <c r="H169" s="335"/>
      <c r="I169" s="336"/>
      <c r="J169" s="337"/>
      <c r="K169" s="508"/>
      <c r="L169" s="508"/>
      <c r="M169" s="508"/>
      <c r="N169" s="508"/>
      <c r="O169" s="508"/>
      <c r="P169" s="508"/>
      <c r="Q169" s="508"/>
      <c r="R169" s="508"/>
      <c r="S169" s="508"/>
    </row>
    <row r="170" spans="1:19" s="22" customFormat="1" ht="21.75" customHeight="1">
      <c r="A170" s="196" t="s">
        <v>2422</v>
      </c>
      <c r="B170" s="197" t="s">
        <v>2469</v>
      </c>
      <c r="C170" s="199" t="s">
        <v>2470</v>
      </c>
      <c r="D170" s="917" t="s">
        <v>2763</v>
      </c>
      <c r="E170" s="198" t="s">
        <v>1748</v>
      </c>
      <c r="F170" s="332">
        <f>SUM(E171)</f>
        <v>247.07100000000003</v>
      </c>
      <c r="G170" s="332"/>
      <c r="H170" s="332">
        <f t="shared" si="6"/>
        <v>0</v>
      </c>
      <c r="I170" s="333">
        <v>0.014</v>
      </c>
      <c r="J170" s="334">
        <f t="shared" si="7"/>
        <v>3.4589940000000006</v>
      </c>
      <c r="K170" s="693"/>
      <c r="L170" s="693"/>
      <c r="M170" s="693"/>
      <c r="N170" s="693"/>
      <c r="O170" s="693"/>
      <c r="P170" s="693"/>
      <c r="Q170" s="694"/>
      <c r="R170" s="509"/>
      <c r="S170" s="509"/>
    </row>
    <row r="171" spans="1:19" s="130" customFormat="1" ht="18.75" customHeight="1">
      <c r="A171" s="204"/>
      <c r="B171" s="205"/>
      <c r="C171" s="206" t="s">
        <v>780</v>
      </c>
      <c r="D171" s="916"/>
      <c r="E171" s="260">
        <f>(78.11+146.5)*1.1</f>
        <v>247.07100000000003</v>
      </c>
      <c r="F171" s="335"/>
      <c r="G171" s="335"/>
      <c r="H171" s="335"/>
      <c r="I171" s="336"/>
      <c r="J171" s="337"/>
      <c r="K171" s="508"/>
      <c r="L171" s="508"/>
      <c r="M171" s="508"/>
      <c r="N171" s="508"/>
      <c r="O171" s="508"/>
      <c r="P171" s="508"/>
      <c r="Q171" s="508"/>
      <c r="R171" s="508"/>
      <c r="S171" s="508"/>
    </row>
    <row r="172" spans="1:19" s="22" customFormat="1" ht="28.5" customHeight="1">
      <c r="A172" s="196" t="s">
        <v>2426</v>
      </c>
      <c r="B172" s="197" t="s">
        <v>1720</v>
      </c>
      <c r="C172" s="199" t="s">
        <v>781</v>
      </c>
      <c r="D172" s="917" t="s">
        <v>2759</v>
      </c>
      <c r="E172" s="198" t="s">
        <v>2695</v>
      </c>
      <c r="F172" s="332">
        <v>1</v>
      </c>
      <c r="G172" s="332"/>
      <c r="H172" s="332">
        <f t="shared" si="6"/>
        <v>0</v>
      </c>
      <c r="I172" s="333">
        <v>0.037</v>
      </c>
      <c r="J172" s="334">
        <f t="shared" si="7"/>
        <v>0.037</v>
      </c>
      <c r="K172" s="693"/>
      <c r="L172" s="693"/>
      <c r="M172" s="693"/>
      <c r="N172" s="693"/>
      <c r="O172" s="693"/>
      <c r="P172" s="693"/>
      <c r="Q172" s="694"/>
      <c r="R172" s="509"/>
      <c r="S172" s="509"/>
    </row>
    <row r="173" spans="1:19" s="22" customFormat="1" ht="21.75" customHeight="1">
      <c r="A173" s="196" t="s">
        <v>2430</v>
      </c>
      <c r="B173" s="197" t="s">
        <v>2483</v>
      </c>
      <c r="C173" s="199" t="s">
        <v>2484</v>
      </c>
      <c r="D173" s="917" t="s">
        <v>2759</v>
      </c>
      <c r="E173" s="198" t="s">
        <v>1831</v>
      </c>
      <c r="F173" s="332">
        <v>5</v>
      </c>
      <c r="G173" s="332"/>
      <c r="H173" s="332">
        <f t="shared" si="6"/>
        <v>0</v>
      </c>
      <c r="I173" s="333">
        <v>0.037</v>
      </c>
      <c r="J173" s="334">
        <f t="shared" si="7"/>
        <v>0.185</v>
      </c>
      <c r="K173" s="693"/>
      <c r="L173" s="693"/>
      <c r="M173" s="693"/>
      <c r="N173" s="693"/>
      <c r="O173" s="693"/>
      <c r="P173" s="693"/>
      <c r="Q173" s="694"/>
      <c r="R173" s="509"/>
      <c r="S173" s="509"/>
    </row>
    <row r="174" spans="1:19" s="22" customFormat="1" ht="21.75" customHeight="1">
      <c r="A174" s="196" t="s">
        <v>2434</v>
      </c>
      <c r="B174" s="197" t="s">
        <v>2486</v>
      </c>
      <c r="C174" s="199" t="s">
        <v>2487</v>
      </c>
      <c r="D174" s="917" t="s">
        <v>2759</v>
      </c>
      <c r="E174" s="198" t="s">
        <v>2488</v>
      </c>
      <c r="F174" s="332">
        <v>65</v>
      </c>
      <c r="G174" s="332"/>
      <c r="H174" s="332">
        <f t="shared" si="6"/>
        <v>0</v>
      </c>
      <c r="I174" s="333">
        <v>0.001</v>
      </c>
      <c r="J174" s="334">
        <f t="shared" si="7"/>
        <v>0.065</v>
      </c>
      <c r="K174" s="693"/>
      <c r="L174" s="693"/>
      <c r="M174" s="693"/>
      <c r="N174" s="693"/>
      <c r="O174" s="693"/>
      <c r="P174" s="693"/>
      <c r="Q174" s="694"/>
      <c r="R174" s="509"/>
      <c r="S174" s="509"/>
    </row>
    <row r="175" spans="1:19" s="22" customFormat="1" ht="21.75" customHeight="1">
      <c r="A175" s="196" t="s">
        <v>2438</v>
      </c>
      <c r="B175" s="197" t="s">
        <v>2490</v>
      </c>
      <c r="C175" s="199" t="s">
        <v>2491</v>
      </c>
      <c r="D175" s="917" t="s">
        <v>2759</v>
      </c>
      <c r="E175" s="198" t="s">
        <v>1826</v>
      </c>
      <c r="F175" s="332">
        <v>31.9</v>
      </c>
      <c r="G175" s="332"/>
      <c r="H175" s="332">
        <f t="shared" si="6"/>
        <v>0</v>
      </c>
      <c r="I175" s="333">
        <v>0.00135</v>
      </c>
      <c r="J175" s="334">
        <f t="shared" si="7"/>
        <v>0.043065</v>
      </c>
      <c r="K175" s="693"/>
      <c r="L175" s="693"/>
      <c r="M175" s="693"/>
      <c r="N175" s="693"/>
      <c r="O175" s="693"/>
      <c r="P175" s="693"/>
      <c r="Q175" s="694"/>
      <c r="R175" s="509"/>
      <c r="S175" s="509"/>
    </row>
    <row r="176" spans="1:19" s="22" customFormat="1" ht="21.75" customHeight="1">
      <c r="A176" s="196" t="s">
        <v>2441</v>
      </c>
      <c r="B176" s="197" t="s">
        <v>2493</v>
      </c>
      <c r="C176" s="199" t="s">
        <v>2494</v>
      </c>
      <c r="D176" s="917" t="s">
        <v>2763</v>
      </c>
      <c r="E176" s="198" t="s">
        <v>1826</v>
      </c>
      <c r="F176" s="332">
        <f>29.8+9.6</f>
        <v>39.4</v>
      </c>
      <c r="G176" s="332"/>
      <c r="H176" s="332">
        <f t="shared" si="6"/>
        <v>0</v>
      </c>
      <c r="I176" s="333">
        <v>0.00175</v>
      </c>
      <c r="J176" s="334">
        <f t="shared" si="7"/>
        <v>0.06895</v>
      </c>
      <c r="K176" s="693"/>
      <c r="L176" s="693"/>
      <c r="M176" s="693"/>
      <c r="N176" s="693"/>
      <c r="O176" s="693"/>
      <c r="P176" s="693"/>
      <c r="Q176" s="694"/>
      <c r="R176" s="509"/>
      <c r="S176" s="509"/>
    </row>
    <row r="177" spans="1:19" s="22" customFormat="1" ht="21.75" customHeight="1">
      <c r="A177" s="196" t="s">
        <v>2444</v>
      </c>
      <c r="B177" s="197" t="s">
        <v>782</v>
      </c>
      <c r="C177" s="199" t="s">
        <v>783</v>
      </c>
      <c r="D177" s="917" t="s">
        <v>2763</v>
      </c>
      <c r="E177" s="198" t="s">
        <v>1826</v>
      </c>
      <c r="F177" s="332">
        <f>32.5</f>
        <v>32.5</v>
      </c>
      <c r="G177" s="332"/>
      <c r="H177" s="332">
        <f t="shared" si="6"/>
        <v>0</v>
      </c>
      <c r="I177" s="333">
        <v>0.00392</v>
      </c>
      <c r="J177" s="334">
        <f t="shared" si="7"/>
        <v>0.12739999999999999</v>
      </c>
      <c r="K177" s="693"/>
      <c r="L177" s="693"/>
      <c r="M177" s="693"/>
      <c r="N177" s="693"/>
      <c r="O177" s="693"/>
      <c r="P177" s="693"/>
      <c r="Q177" s="694"/>
      <c r="R177" s="509"/>
      <c r="S177" s="509"/>
    </row>
    <row r="178" spans="1:19" s="22" customFormat="1" ht="21.75" customHeight="1">
      <c r="A178" s="196" t="s">
        <v>2448</v>
      </c>
      <c r="B178" s="197" t="s">
        <v>2499</v>
      </c>
      <c r="C178" s="199" t="s">
        <v>2500</v>
      </c>
      <c r="D178" s="917" t="s">
        <v>2763</v>
      </c>
      <c r="E178" s="198" t="s">
        <v>1826</v>
      </c>
      <c r="F178" s="332">
        <f>30.1</f>
        <v>30.1</v>
      </c>
      <c r="G178" s="332"/>
      <c r="H178" s="332">
        <f t="shared" si="6"/>
        <v>0</v>
      </c>
      <c r="I178" s="333">
        <v>0.0023</v>
      </c>
      <c r="J178" s="334">
        <f t="shared" si="7"/>
        <v>0.06923</v>
      </c>
      <c r="K178" s="693"/>
      <c r="L178" s="693"/>
      <c r="M178" s="693"/>
      <c r="N178" s="693"/>
      <c r="O178" s="693"/>
      <c r="P178" s="693"/>
      <c r="Q178" s="694"/>
      <c r="R178" s="509"/>
      <c r="S178" s="509"/>
    </row>
    <row r="179" spans="1:19" s="22" customFormat="1" ht="21.75" customHeight="1">
      <c r="A179" s="196" t="s">
        <v>2452</v>
      </c>
      <c r="B179" s="197" t="s">
        <v>2508</v>
      </c>
      <c r="C179" s="199" t="s">
        <v>2509</v>
      </c>
      <c r="D179" s="917" t="s">
        <v>2763</v>
      </c>
      <c r="E179" s="198" t="s">
        <v>1826</v>
      </c>
      <c r="F179" s="332">
        <v>49.8</v>
      </c>
      <c r="G179" s="332"/>
      <c r="H179" s="332">
        <f t="shared" si="6"/>
        <v>0</v>
      </c>
      <c r="I179" s="333">
        <v>0.00324</v>
      </c>
      <c r="J179" s="334">
        <f t="shared" si="7"/>
        <v>0.161352</v>
      </c>
      <c r="K179" s="693"/>
      <c r="L179" s="693"/>
      <c r="M179" s="693"/>
      <c r="N179" s="693"/>
      <c r="O179" s="693"/>
      <c r="P179" s="693"/>
      <c r="Q179" s="694"/>
      <c r="R179" s="509"/>
      <c r="S179" s="509"/>
    </row>
    <row r="180" spans="1:19" s="22" customFormat="1" ht="21.75" customHeight="1">
      <c r="A180" s="196" t="s">
        <v>2455</v>
      </c>
      <c r="B180" s="197" t="s">
        <v>2511</v>
      </c>
      <c r="C180" s="199" t="s">
        <v>2512</v>
      </c>
      <c r="D180" s="917" t="s">
        <v>2763</v>
      </c>
      <c r="E180" s="198" t="s">
        <v>2513</v>
      </c>
      <c r="F180" s="332">
        <v>6.5</v>
      </c>
      <c r="G180" s="332"/>
      <c r="H180" s="332">
        <f t="shared" si="6"/>
        <v>0</v>
      </c>
      <c r="I180" s="333">
        <v>0.00285</v>
      </c>
      <c r="J180" s="334">
        <f t="shared" si="7"/>
        <v>0.018525</v>
      </c>
      <c r="K180" s="693"/>
      <c r="L180" s="693"/>
      <c r="M180" s="693"/>
      <c r="N180" s="693"/>
      <c r="O180" s="693"/>
      <c r="P180" s="693"/>
      <c r="Q180" s="694"/>
      <c r="R180" s="509"/>
      <c r="S180" s="509"/>
    </row>
    <row r="181" spans="1:19" s="22" customFormat="1" ht="21.75" customHeight="1">
      <c r="A181" s="196" t="s">
        <v>2465</v>
      </c>
      <c r="B181" s="197" t="s">
        <v>2515</v>
      </c>
      <c r="C181" s="199" t="s">
        <v>2516</v>
      </c>
      <c r="D181" s="917" t="s">
        <v>2763</v>
      </c>
      <c r="E181" s="198" t="s">
        <v>1831</v>
      </c>
      <c r="F181" s="332">
        <v>1</v>
      </c>
      <c r="G181" s="332"/>
      <c r="H181" s="332">
        <f t="shared" si="6"/>
        <v>0</v>
      </c>
      <c r="I181" s="333">
        <v>0.03522</v>
      </c>
      <c r="J181" s="334">
        <f t="shared" si="7"/>
        <v>0.03522</v>
      </c>
      <c r="K181" s="693"/>
      <c r="L181" s="693"/>
      <c r="M181" s="693"/>
      <c r="N181" s="693"/>
      <c r="O181" s="693"/>
      <c r="P181" s="693"/>
      <c r="Q181" s="694"/>
      <c r="R181" s="509"/>
      <c r="S181" s="509"/>
    </row>
    <row r="182" spans="1:19" s="22" customFormat="1" ht="21.75" customHeight="1">
      <c r="A182" s="196" t="s">
        <v>2468</v>
      </c>
      <c r="B182" s="197" t="s">
        <v>2533</v>
      </c>
      <c r="C182" s="199" t="s">
        <v>2534</v>
      </c>
      <c r="D182" s="917"/>
      <c r="E182" s="198" t="s">
        <v>1783</v>
      </c>
      <c r="F182" s="332">
        <f>J145</f>
        <v>67.018406</v>
      </c>
      <c r="G182" s="332"/>
      <c r="H182" s="332">
        <f t="shared" si="6"/>
        <v>0</v>
      </c>
      <c r="I182" s="333">
        <v>0</v>
      </c>
      <c r="J182" s="334"/>
      <c r="K182" s="693"/>
      <c r="L182" s="693"/>
      <c r="M182" s="693"/>
      <c r="N182" s="693"/>
      <c r="O182" s="693"/>
      <c r="P182" s="693"/>
      <c r="Q182" s="694"/>
      <c r="R182" s="509"/>
      <c r="S182" s="509"/>
    </row>
    <row r="183" spans="1:19" s="22" customFormat="1" ht="21.75" customHeight="1">
      <c r="A183" s="196" t="s">
        <v>2473</v>
      </c>
      <c r="B183" s="197" t="s">
        <v>2536</v>
      </c>
      <c r="C183" s="199" t="s">
        <v>2537</v>
      </c>
      <c r="D183" s="917"/>
      <c r="E183" s="198" t="s">
        <v>1783</v>
      </c>
      <c r="F183" s="332">
        <f>F182</f>
        <v>67.018406</v>
      </c>
      <c r="G183" s="332"/>
      <c r="H183" s="332">
        <f t="shared" si="6"/>
        <v>0</v>
      </c>
      <c r="I183" s="333">
        <v>0</v>
      </c>
      <c r="J183" s="334"/>
      <c r="K183" s="693"/>
      <c r="L183" s="693"/>
      <c r="M183" s="693"/>
      <c r="N183" s="693"/>
      <c r="O183" s="693"/>
      <c r="P183" s="693"/>
      <c r="Q183" s="694"/>
      <c r="R183" s="509"/>
      <c r="S183" s="509"/>
    </row>
    <row r="184" spans="1:19" s="22" customFormat="1" ht="21.75" customHeight="1">
      <c r="A184" s="196" t="s">
        <v>2476</v>
      </c>
      <c r="B184" s="197" t="s">
        <v>2539</v>
      </c>
      <c r="C184" s="199" t="s">
        <v>2540</v>
      </c>
      <c r="D184" s="917"/>
      <c r="E184" s="198" t="s">
        <v>1783</v>
      </c>
      <c r="F184" s="332">
        <f>F182*14</f>
        <v>938.2576839999999</v>
      </c>
      <c r="G184" s="332"/>
      <c r="H184" s="332">
        <f t="shared" si="6"/>
        <v>0</v>
      </c>
      <c r="I184" s="333">
        <v>0</v>
      </c>
      <c r="J184" s="334"/>
      <c r="K184" s="693"/>
      <c r="L184" s="693"/>
      <c r="M184" s="693"/>
      <c r="N184" s="693"/>
      <c r="O184" s="693"/>
      <c r="P184" s="693"/>
      <c r="Q184" s="694"/>
      <c r="R184" s="509"/>
      <c r="S184" s="509"/>
    </row>
    <row r="185" spans="1:19" s="22" customFormat="1" ht="21.75" customHeight="1">
      <c r="A185" s="196" t="s">
        <v>2482</v>
      </c>
      <c r="B185" s="197" t="s">
        <v>2542</v>
      </c>
      <c r="C185" s="199" t="s">
        <v>2543</v>
      </c>
      <c r="D185" s="917"/>
      <c r="E185" s="198" t="s">
        <v>1783</v>
      </c>
      <c r="F185" s="332">
        <f>F182-F186-F187+F188</f>
        <v>59.235839999999996</v>
      </c>
      <c r="G185" s="332"/>
      <c r="H185" s="332">
        <f t="shared" si="6"/>
        <v>0</v>
      </c>
      <c r="I185" s="333">
        <v>0</v>
      </c>
      <c r="J185" s="334"/>
      <c r="K185" s="693"/>
      <c r="L185" s="693"/>
      <c r="M185" s="693"/>
      <c r="N185" s="693"/>
      <c r="O185" s="693"/>
      <c r="P185" s="693"/>
      <c r="Q185" s="694"/>
      <c r="R185" s="509"/>
      <c r="S185" s="509"/>
    </row>
    <row r="186" spans="1:19" s="22" customFormat="1" ht="21.75" customHeight="1">
      <c r="A186" s="854" t="s">
        <v>2485</v>
      </c>
      <c r="B186" s="855" t="s">
        <v>2545</v>
      </c>
      <c r="C186" s="856" t="s">
        <v>2546</v>
      </c>
      <c r="D186" s="975"/>
      <c r="E186" s="857" t="s">
        <v>1783</v>
      </c>
      <c r="F186" s="858">
        <f>J170</f>
        <v>3.4589940000000006</v>
      </c>
      <c r="G186" s="858"/>
      <c r="H186" s="858">
        <f t="shared" si="6"/>
        <v>0</v>
      </c>
      <c r="I186" s="859">
        <v>0</v>
      </c>
      <c r="J186" s="860"/>
      <c r="K186" s="693"/>
      <c r="L186" s="693"/>
      <c r="M186" s="693"/>
      <c r="N186" s="693"/>
      <c r="O186" s="693"/>
      <c r="P186" s="693"/>
      <c r="Q186" s="694"/>
      <c r="R186" s="509"/>
      <c r="S186" s="509"/>
    </row>
    <row r="187" spans="1:10" s="847" customFormat="1" ht="21.75" customHeight="1">
      <c r="A187" s="861" t="s">
        <v>2489</v>
      </c>
      <c r="B187" s="862" t="s">
        <v>2743</v>
      </c>
      <c r="C187" s="863" t="s">
        <v>2744</v>
      </c>
      <c r="D187" s="976"/>
      <c r="E187" s="864" t="s">
        <v>1783</v>
      </c>
      <c r="F187" s="865">
        <f>J161+J162+J165+J166</f>
        <v>3.51283</v>
      </c>
      <c r="G187" s="865"/>
      <c r="H187" s="865">
        <f t="shared" si="6"/>
        <v>0</v>
      </c>
      <c r="I187" s="866"/>
      <c r="J187" s="867"/>
    </row>
    <row r="188" spans="1:10" s="847" customFormat="1" ht="21.75" customHeight="1">
      <c r="A188" s="840" t="s">
        <v>2492</v>
      </c>
      <c r="B188" s="848" t="s">
        <v>2745</v>
      </c>
      <c r="C188" s="849" t="s">
        <v>2746</v>
      </c>
      <c r="D188" s="977"/>
      <c r="E188" s="850" t="s">
        <v>1783</v>
      </c>
      <c r="F188" s="851">
        <f>(J172+J173+J174+J175+J176+J177+J178+J179+J180+J181)*-1</f>
        <v>-0.8107420000000002</v>
      </c>
      <c r="G188" s="851"/>
      <c r="H188" s="844">
        <f t="shared" si="6"/>
        <v>0</v>
      </c>
      <c r="I188" s="852"/>
      <c r="J188" s="853"/>
    </row>
    <row r="189" spans="1:20" s="22" customFormat="1" ht="14.25" customHeight="1" thickBot="1">
      <c r="A189" s="255"/>
      <c r="B189" s="256"/>
      <c r="C189" s="264"/>
      <c r="D189" s="968"/>
      <c r="E189" s="257"/>
      <c r="F189" s="368"/>
      <c r="G189" s="368"/>
      <c r="H189" s="368"/>
      <c r="I189" s="369"/>
      <c r="J189" s="370"/>
      <c r="K189" s="509"/>
      <c r="L189" s="509"/>
      <c r="M189" s="509"/>
      <c r="N189" s="509"/>
      <c r="O189" s="509"/>
      <c r="P189" s="509"/>
      <c r="Q189" s="509"/>
      <c r="R189" s="509"/>
      <c r="S189" s="509"/>
      <c r="T189" s="509"/>
    </row>
    <row r="190" spans="1:19" ht="16.5" customHeight="1" thickBot="1">
      <c r="A190" s="266" t="s">
        <v>2547</v>
      </c>
      <c r="B190" s="175" t="s">
        <v>2548</v>
      </c>
      <c r="C190" s="176" t="s">
        <v>2549</v>
      </c>
      <c r="D190" s="175"/>
      <c r="E190" s="175"/>
      <c r="F190" s="341"/>
      <c r="G190" s="341"/>
      <c r="H190" s="342">
        <f>SUM(H191:H204)</f>
        <v>0</v>
      </c>
      <c r="I190" s="343"/>
      <c r="J190" s="344">
        <f>SUM(J191:J203)</f>
        <v>0.5688065</v>
      </c>
      <c r="K190" s="670"/>
      <c r="L190" s="670"/>
      <c r="M190" s="670"/>
      <c r="N190" s="670"/>
      <c r="O190" s="670"/>
      <c r="P190" s="670"/>
      <c r="Q190" s="670"/>
      <c r="R190" s="670"/>
      <c r="S190" s="670"/>
    </row>
    <row r="191" spans="1:19" s="22" customFormat="1" ht="29.25" customHeight="1">
      <c r="A191" s="190" t="s">
        <v>2550</v>
      </c>
      <c r="B191" s="191" t="s">
        <v>2551</v>
      </c>
      <c r="C191" s="265" t="s">
        <v>2552</v>
      </c>
      <c r="D191" s="964" t="s">
        <v>2759</v>
      </c>
      <c r="E191" s="192" t="s">
        <v>1748</v>
      </c>
      <c r="F191" s="345">
        <f>E192</f>
        <v>65.12</v>
      </c>
      <c r="G191" s="345"/>
      <c r="H191" s="345">
        <f>F191*G191</f>
        <v>0</v>
      </c>
      <c r="I191" s="346">
        <v>0.00052</v>
      </c>
      <c r="J191" s="347">
        <f>F191*I191</f>
        <v>0.0338624</v>
      </c>
      <c r="K191" s="509"/>
      <c r="L191" s="509"/>
      <c r="M191" s="509"/>
      <c r="N191" s="509"/>
      <c r="O191" s="509"/>
      <c r="P191" s="509"/>
      <c r="Q191" s="509"/>
      <c r="R191" s="509"/>
      <c r="S191" s="509"/>
    </row>
    <row r="192" spans="1:24" s="211" customFormat="1" ht="21.75" customHeight="1">
      <c r="A192" s="223"/>
      <c r="B192" s="224" t="s">
        <v>1749</v>
      </c>
      <c r="C192" s="224" t="s">
        <v>784</v>
      </c>
      <c r="D192" s="970"/>
      <c r="E192" s="220">
        <f>(17.2)*0.88+14.4*2.5-5*1*0.6+19.3*0.88</f>
        <v>65.12</v>
      </c>
      <c r="F192" s="225"/>
      <c r="G192" s="674"/>
      <c r="H192" s="225"/>
      <c r="I192" s="348"/>
      <c r="J192" s="349"/>
      <c r="K192" s="675"/>
      <c r="L192" s="675"/>
      <c r="M192" s="675"/>
      <c r="N192" s="675"/>
      <c r="O192" s="676"/>
      <c r="P192" s="676"/>
      <c r="Q192" s="676"/>
      <c r="R192" s="676"/>
      <c r="S192" s="515"/>
      <c r="T192" s="210"/>
      <c r="U192" s="210"/>
      <c r="V192" s="210"/>
      <c r="W192" s="210"/>
      <c r="X192" s="210"/>
    </row>
    <row r="193" spans="1:19" s="22" customFormat="1" ht="22.5" customHeight="1">
      <c r="A193" s="196"/>
      <c r="B193" s="197"/>
      <c r="C193" s="199"/>
      <c r="D193" s="917"/>
      <c r="E193" s="198"/>
      <c r="F193" s="332"/>
      <c r="G193" s="332"/>
      <c r="H193" s="332"/>
      <c r="I193" s="333"/>
      <c r="J193" s="334"/>
      <c r="K193" s="509"/>
      <c r="L193" s="509"/>
      <c r="M193" s="509"/>
      <c r="N193" s="509"/>
      <c r="O193" s="509"/>
      <c r="P193" s="509"/>
      <c r="Q193" s="509"/>
      <c r="R193" s="509"/>
      <c r="S193" s="509"/>
    </row>
    <row r="194" spans="1:19" s="22" customFormat="1" ht="22.5" customHeight="1">
      <c r="A194" s="196" t="s">
        <v>2554</v>
      </c>
      <c r="B194" s="197" t="s">
        <v>2555</v>
      </c>
      <c r="C194" s="199" t="s">
        <v>2556</v>
      </c>
      <c r="D194" s="917" t="s">
        <v>2759</v>
      </c>
      <c r="E194" s="198" t="s">
        <v>1748</v>
      </c>
      <c r="F194" s="332">
        <f>SUM(E195)</f>
        <v>65.12</v>
      </c>
      <c r="G194" s="332"/>
      <c r="H194" s="332">
        <f>F194*G194</f>
        <v>0</v>
      </c>
      <c r="I194" s="333">
        <v>0.00058</v>
      </c>
      <c r="J194" s="334">
        <f>F194*I194</f>
        <v>0.0377696</v>
      </c>
      <c r="K194" s="509"/>
      <c r="L194" s="509"/>
      <c r="M194" s="509"/>
      <c r="N194" s="509"/>
      <c r="O194" s="509"/>
      <c r="P194" s="509"/>
      <c r="Q194" s="509"/>
      <c r="R194" s="509"/>
      <c r="S194" s="509"/>
    </row>
    <row r="195" spans="1:24" s="211" customFormat="1" ht="21.75" customHeight="1">
      <c r="A195" s="223"/>
      <c r="B195" s="224" t="s">
        <v>1749</v>
      </c>
      <c r="C195" s="224" t="s">
        <v>784</v>
      </c>
      <c r="D195" s="970"/>
      <c r="E195" s="220">
        <f>(17.2)*0.88+14.4*2.5-5*1*0.6+19.3*0.88</f>
        <v>65.12</v>
      </c>
      <c r="F195" s="225"/>
      <c r="G195" s="674"/>
      <c r="H195" s="225"/>
      <c r="I195" s="348"/>
      <c r="J195" s="349"/>
      <c r="K195" s="675"/>
      <c r="L195" s="675"/>
      <c r="M195" s="675"/>
      <c r="N195" s="675"/>
      <c r="O195" s="676"/>
      <c r="P195" s="676"/>
      <c r="Q195" s="676"/>
      <c r="R195" s="676"/>
      <c r="S195" s="515"/>
      <c r="T195" s="210"/>
      <c r="U195" s="210"/>
      <c r="V195" s="210"/>
      <c r="W195" s="210"/>
      <c r="X195" s="210"/>
    </row>
    <row r="196" spans="1:19" s="22" customFormat="1" ht="18.75" customHeight="1">
      <c r="A196" s="196" t="s">
        <v>2557</v>
      </c>
      <c r="B196" s="197" t="s">
        <v>2558</v>
      </c>
      <c r="C196" s="199" t="s">
        <v>2559</v>
      </c>
      <c r="D196" s="917" t="s">
        <v>2759</v>
      </c>
      <c r="E196" s="198" t="s">
        <v>1748</v>
      </c>
      <c r="F196" s="1028">
        <f>SUM(E197)</f>
        <v>78.144</v>
      </c>
      <c r="G196" s="332"/>
      <c r="H196" s="332">
        <f>F196*G196</f>
        <v>0</v>
      </c>
      <c r="I196" s="333">
        <v>0.0045</v>
      </c>
      <c r="J196" s="334">
        <f>F196*I196</f>
        <v>0.351648</v>
      </c>
      <c r="K196" s="509"/>
      <c r="L196" s="509"/>
      <c r="M196" s="509"/>
      <c r="N196" s="509"/>
      <c r="O196" s="509"/>
      <c r="P196" s="509"/>
      <c r="Q196" s="509"/>
      <c r="R196" s="509"/>
      <c r="S196" s="509"/>
    </row>
    <row r="197" spans="1:24" s="211" customFormat="1" ht="18.75" customHeight="1">
      <c r="A197" s="223"/>
      <c r="B197" s="224" t="s">
        <v>1749</v>
      </c>
      <c r="C197" s="224" t="s">
        <v>2848</v>
      </c>
      <c r="D197" s="970"/>
      <c r="E197" s="1084">
        <f>((17.2)*0.88+14.4*2.5-5*1*0.6+19.3*0.88)*1.2</f>
        <v>78.144</v>
      </c>
      <c r="F197" s="225"/>
      <c r="G197" s="674"/>
      <c r="H197" s="225"/>
      <c r="I197" s="727"/>
      <c r="J197" s="728"/>
      <c r="K197" s="675"/>
      <c r="L197" s="675"/>
      <c r="M197" s="675"/>
      <c r="N197" s="675"/>
      <c r="O197" s="676"/>
      <c r="P197" s="676"/>
      <c r="Q197" s="676"/>
      <c r="R197" s="676"/>
      <c r="S197" s="515"/>
      <c r="T197" s="210"/>
      <c r="U197" s="210"/>
      <c r="V197" s="210"/>
      <c r="W197" s="210"/>
      <c r="X197" s="210"/>
    </row>
    <row r="198" spans="1:24" s="269" customFormat="1" ht="27.75" customHeight="1">
      <c r="A198" s="719" t="s">
        <v>2560</v>
      </c>
      <c r="B198" s="720" t="s">
        <v>2561</v>
      </c>
      <c r="C198" s="683" t="s">
        <v>2562</v>
      </c>
      <c r="D198" s="978" t="s">
        <v>2759</v>
      </c>
      <c r="E198" s="287" t="s">
        <v>1748</v>
      </c>
      <c r="F198" s="332">
        <f>SUM(E199)</f>
        <v>83.45</v>
      </c>
      <c r="G198" s="387"/>
      <c r="H198" s="387">
        <f>F198*G198</f>
        <v>0</v>
      </c>
      <c r="I198" s="721">
        <v>0.00017</v>
      </c>
      <c r="J198" s="722">
        <f>F198*I198</f>
        <v>0.014186500000000001</v>
      </c>
      <c r="K198" s="723"/>
      <c r="L198" s="723"/>
      <c r="M198" s="724"/>
      <c r="N198" s="725"/>
      <c r="O198" s="268"/>
      <c r="P198" s="268"/>
      <c r="Q198" s="268"/>
      <c r="R198" s="268"/>
      <c r="S198" s="268"/>
      <c r="T198" s="268"/>
      <c r="U198" s="268"/>
      <c r="V198" s="268"/>
      <c r="W198" s="726"/>
      <c r="X198" s="726"/>
    </row>
    <row r="199" spans="1:24" s="211" customFormat="1" ht="20.25" customHeight="1">
      <c r="A199" s="223"/>
      <c r="B199" s="224" t="s">
        <v>1749</v>
      </c>
      <c r="C199" s="224" t="s">
        <v>785</v>
      </c>
      <c r="D199" s="970"/>
      <c r="E199" s="220">
        <f>(17.2)*1.3+14.4*2.5+19.3*1.3</f>
        <v>83.45</v>
      </c>
      <c r="F199" s="225"/>
      <c r="G199" s="674"/>
      <c r="H199" s="225"/>
      <c r="I199" s="727"/>
      <c r="J199" s="728"/>
      <c r="K199" s="675"/>
      <c r="L199" s="675"/>
      <c r="M199" s="675"/>
      <c r="N199" s="675"/>
      <c r="O199" s="676"/>
      <c r="P199" s="676"/>
      <c r="Q199" s="676"/>
      <c r="R199" s="676"/>
      <c r="S199" s="515"/>
      <c r="T199" s="210"/>
      <c r="U199" s="210"/>
      <c r="V199" s="210"/>
      <c r="W199" s="210"/>
      <c r="X199" s="210"/>
    </row>
    <row r="200" spans="1:24" s="269" customFormat="1" ht="27" customHeight="1">
      <c r="A200" s="719" t="s">
        <v>2563</v>
      </c>
      <c r="B200" s="720" t="s">
        <v>2564</v>
      </c>
      <c r="C200" s="683" t="s">
        <v>2565</v>
      </c>
      <c r="D200" s="1178" t="s">
        <v>2759</v>
      </c>
      <c r="E200" s="287" t="s">
        <v>1748</v>
      </c>
      <c r="F200" s="1028">
        <f>SUM(E201)</f>
        <v>100.14</v>
      </c>
      <c r="G200" s="387"/>
      <c r="H200" s="387">
        <f>F200*G200</f>
        <v>0</v>
      </c>
      <c r="I200" s="721">
        <v>0.001</v>
      </c>
      <c r="J200" s="722">
        <f>F200*I200</f>
        <v>0.10014</v>
      </c>
      <c r="K200" s="723"/>
      <c r="L200" s="723"/>
      <c r="M200" s="724"/>
      <c r="N200" s="725"/>
      <c r="O200" s="268"/>
      <c r="P200" s="268"/>
      <c r="Q200" s="268"/>
      <c r="R200" s="268"/>
      <c r="S200" s="268"/>
      <c r="T200" s="268"/>
      <c r="U200" s="268"/>
      <c r="V200" s="268"/>
      <c r="W200" s="726"/>
      <c r="X200" s="726"/>
    </row>
    <row r="201" spans="1:24" s="211" customFormat="1" ht="18" customHeight="1">
      <c r="A201" s="223"/>
      <c r="B201" s="224" t="s">
        <v>1749</v>
      </c>
      <c r="C201" s="224" t="s">
        <v>2849</v>
      </c>
      <c r="D201" s="1179"/>
      <c r="E201" s="1084">
        <f>((17.2)*1.3+14.4*2.5+19.3*1.3)*1.2</f>
        <v>100.14</v>
      </c>
      <c r="F201" s="225"/>
      <c r="G201" s="674"/>
      <c r="H201" s="225"/>
      <c r="I201" s="727"/>
      <c r="J201" s="728"/>
      <c r="K201" s="675"/>
      <c r="L201" s="675"/>
      <c r="M201" s="675"/>
      <c r="N201" s="675"/>
      <c r="O201" s="676"/>
      <c r="P201" s="676"/>
      <c r="Q201" s="676"/>
      <c r="R201" s="676"/>
      <c r="S201" s="515"/>
      <c r="T201" s="210"/>
      <c r="U201" s="210"/>
      <c r="V201" s="210"/>
      <c r="W201" s="210"/>
      <c r="X201" s="210"/>
    </row>
    <row r="202" spans="1:24" s="269" customFormat="1" ht="26.25" customHeight="1">
      <c r="A202" s="719" t="s">
        <v>2566</v>
      </c>
      <c r="B202" s="720" t="s">
        <v>2567</v>
      </c>
      <c r="C202" s="683" t="s">
        <v>2568</v>
      </c>
      <c r="D202" s="1178" t="s">
        <v>2759</v>
      </c>
      <c r="E202" s="287" t="s">
        <v>1826</v>
      </c>
      <c r="F202" s="1028">
        <v>32.5</v>
      </c>
      <c r="G202" s="387"/>
      <c r="H202" s="387">
        <f>F202*G202</f>
        <v>0</v>
      </c>
      <c r="I202" s="721">
        <v>0.00096</v>
      </c>
      <c r="J202" s="722">
        <f>F202*I202</f>
        <v>0.031200000000000002</v>
      </c>
      <c r="K202" s="723"/>
      <c r="L202" s="723"/>
      <c r="M202" s="724"/>
      <c r="N202" s="725"/>
      <c r="O202" s="268"/>
      <c r="P202" s="268"/>
      <c r="Q202" s="268"/>
      <c r="R202" s="268"/>
      <c r="S202" s="268"/>
      <c r="T202" s="268"/>
      <c r="U202" s="268"/>
      <c r="V202" s="268"/>
      <c r="W202" s="726"/>
      <c r="X202" s="726"/>
    </row>
    <row r="203" spans="1:19" s="22" customFormat="1" ht="15.75" customHeight="1">
      <c r="A203" s="196"/>
      <c r="B203" s="197"/>
      <c r="C203" s="199"/>
      <c r="D203" s="917"/>
      <c r="E203" s="198"/>
      <c r="F203" s="332"/>
      <c r="G203" s="332"/>
      <c r="H203" s="332"/>
      <c r="I203" s="333"/>
      <c r="J203" s="334"/>
      <c r="K203" s="509"/>
      <c r="L203" s="509"/>
      <c r="M203" s="509"/>
      <c r="N203" s="509"/>
      <c r="O203" s="509"/>
      <c r="P203" s="509"/>
      <c r="Q203" s="509"/>
      <c r="R203" s="509"/>
      <c r="S203" s="509"/>
    </row>
    <row r="204" spans="1:19" s="22" customFormat="1" ht="22.5" customHeight="1" thickBot="1">
      <c r="A204" s="255" t="s">
        <v>2569</v>
      </c>
      <c r="B204" s="256" t="s">
        <v>2587</v>
      </c>
      <c r="C204" s="264" t="s">
        <v>2588</v>
      </c>
      <c r="D204" s="968"/>
      <c r="E204" s="257" t="s">
        <v>1783</v>
      </c>
      <c r="F204" s="368">
        <f>J190</f>
        <v>0.5688065</v>
      </c>
      <c r="G204" s="368"/>
      <c r="H204" s="368">
        <f>F204*G204</f>
        <v>0</v>
      </c>
      <c r="I204" s="369">
        <v>0</v>
      </c>
      <c r="J204" s="370"/>
      <c r="K204" s="693"/>
      <c r="L204" s="693"/>
      <c r="M204" s="693"/>
      <c r="N204" s="693"/>
      <c r="O204" s="693"/>
      <c r="P204" s="693"/>
      <c r="Q204" s="694"/>
      <c r="R204" s="509"/>
      <c r="S204" s="509"/>
    </row>
    <row r="205" spans="1:19" ht="16.5" customHeight="1" thickBot="1">
      <c r="A205" s="266" t="s">
        <v>2589</v>
      </c>
      <c r="B205" s="175" t="s">
        <v>2590</v>
      </c>
      <c r="C205" s="176" t="s">
        <v>2591</v>
      </c>
      <c r="D205" s="1008"/>
      <c r="E205" s="175"/>
      <c r="F205" s="341"/>
      <c r="G205" s="341"/>
      <c r="H205" s="342">
        <f>SUM(H206:H221)</f>
        <v>0</v>
      </c>
      <c r="I205" s="343"/>
      <c r="J205" s="344">
        <f>SUM(J206:J220)</f>
        <v>4.134584</v>
      </c>
      <c r="K205" s="670"/>
      <c r="L205" s="670"/>
      <c r="M205" s="670"/>
      <c r="N205" s="670"/>
      <c r="O205" s="670"/>
      <c r="P205" s="670"/>
      <c r="Q205" s="670"/>
      <c r="R205" s="670"/>
      <c r="S205" s="670"/>
    </row>
    <row r="206" spans="1:19" s="22" customFormat="1" ht="17.25" customHeight="1">
      <c r="A206" s="190"/>
      <c r="B206" s="191"/>
      <c r="C206" s="265"/>
      <c r="D206" s="964"/>
      <c r="E206" s="192"/>
      <c r="F206" s="345"/>
      <c r="G206" s="345"/>
      <c r="H206" s="345"/>
      <c r="I206" s="346"/>
      <c r="J206" s="347"/>
      <c r="K206" s="693"/>
      <c r="L206" s="693"/>
      <c r="M206" s="693"/>
      <c r="N206" s="693"/>
      <c r="O206" s="693"/>
      <c r="P206" s="693"/>
      <c r="Q206" s="694"/>
      <c r="R206" s="509"/>
      <c r="S206" s="509"/>
    </row>
    <row r="207" spans="1:19" s="22" customFormat="1" ht="30.75" customHeight="1">
      <c r="A207" s="196" t="s">
        <v>2592</v>
      </c>
      <c r="B207" s="197" t="s">
        <v>2593</v>
      </c>
      <c r="C207" s="199" t="s">
        <v>2594</v>
      </c>
      <c r="D207" s="917" t="s">
        <v>2763</v>
      </c>
      <c r="E207" s="198" t="s">
        <v>1748</v>
      </c>
      <c r="F207" s="332">
        <f>E208</f>
        <v>261.6</v>
      </c>
      <c r="G207" s="332"/>
      <c r="H207" s="332">
        <f>F207*G207</f>
        <v>0</v>
      </c>
      <c r="I207" s="333">
        <v>0</v>
      </c>
      <c r="J207" s="334">
        <f>F207*I207</f>
        <v>0</v>
      </c>
      <c r="K207" s="509"/>
      <c r="L207" s="509"/>
      <c r="M207" s="509"/>
      <c r="N207" s="509"/>
      <c r="O207" s="509"/>
      <c r="P207" s="509"/>
      <c r="Q207" s="509"/>
      <c r="R207" s="509"/>
      <c r="S207" s="509"/>
    </row>
    <row r="208" spans="1:19" s="130" customFormat="1" ht="15.75" customHeight="1">
      <c r="A208" s="204"/>
      <c r="B208" s="205" t="s">
        <v>735</v>
      </c>
      <c r="C208" s="206" t="s">
        <v>786</v>
      </c>
      <c r="D208" s="916"/>
      <c r="E208" s="207">
        <f>78+146.5+11.5+25.6</f>
        <v>261.6</v>
      </c>
      <c r="F208" s="335"/>
      <c r="G208" s="335"/>
      <c r="H208" s="335"/>
      <c r="I208" s="336"/>
      <c r="J208" s="337"/>
      <c r="K208" s="508"/>
      <c r="L208" s="508"/>
      <c r="M208" s="508"/>
      <c r="N208" s="508"/>
      <c r="O208" s="508"/>
      <c r="P208" s="508"/>
      <c r="Q208" s="508"/>
      <c r="R208" s="508"/>
      <c r="S208" s="508"/>
    </row>
    <row r="209" spans="1:19" s="22" customFormat="1" ht="15" customHeight="1">
      <c r="A209" s="196"/>
      <c r="B209" s="197"/>
      <c r="C209" s="199"/>
      <c r="D209" s="917"/>
      <c r="E209" s="198"/>
      <c r="F209" s="332"/>
      <c r="G209" s="332"/>
      <c r="H209" s="332"/>
      <c r="I209" s="333"/>
      <c r="J209" s="334"/>
      <c r="K209" s="693"/>
      <c r="L209" s="693"/>
      <c r="M209" s="693"/>
      <c r="N209" s="693"/>
      <c r="O209" s="693"/>
      <c r="P209" s="693"/>
      <c r="Q209" s="694"/>
      <c r="R209" s="509"/>
      <c r="S209" s="509"/>
    </row>
    <row r="210" spans="1:19" s="22" customFormat="1" ht="24" customHeight="1">
      <c r="A210" s="196" t="s">
        <v>2598</v>
      </c>
      <c r="B210" s="197" t="s">
        <v>2599</v>
      </c>
      <c r="C210" s="199" t="s">
        <v>2600</v>
      </c>
      <c r="D210" s="917" t="s">
        <v>2763</v>
      </c>
      <c r="E210" s="198" t="s">
        <v>1748</v>
      </c>
      <c r="F210" s="332">
        <f>E211</f>
        <v>261.6</v>
      </c>
      <c r="G210" s="332"/>
      <c r="H210" s="332">
        <f aca="true" t="shared" si="8" ref="H210:H218">F210*G210</f>
        <v>0</v>
      </c>
      <c r="I210" s="333">
        <v>0</v>
      </c>
      <c r="J210" s="334">
        <f aca="true" t="shared" si="9" ref="J210:J218">F210*I210</f>
        <v>0</v>
      </c>
      <c r="K210" s="693"/>
      <c r="L210" s="693"/>
      <c r="M210" s="693"/>
      <c r="N210" s="693"/>
      <c r="O210" s="693"/>
      <c r="P210" s="693"/>
      <c r="Q210" s="694"/>
      <c r="R210" s="509"/>
      <c r="S210" s="509"/>
    </row>
    <row r="211" spans="1:19" s="130" customFormat="1" ht="15.75" customHeight="1">
      <c r="A211" s="204"/>
      <c r="B211" s="205" t="s">
        <v>735</v>
      </c>
      <c r="C211" s="206" t="s">
        <v>786</v>
      </c>
      <c r="D211" s="916"/>
      <c r="E211" s="207">
        <f>78+146.5+11.5+25.6</f>
        <v>261.6</v>
      </c>
      <c r="F211" s="335"/>
      <c r="G211" s="335"/>
      <c r="H211" s="335"/>
      <c r="I211" s="336"/>
      <c r="J211" s="337"/>
      <c r="K211" s="508"/>
      <c r="L211" s="508"/>
      <c r="M211" s="508"/>
      <c r="N211" s="508"/>
      <c r="O211" s="508"/>
      <c r="P211" s="508"/>
      <c r="Q211" s="508"/>
      <c r="R211" s="508"/>
      <c r="S211" s="508"/>
    </row>
    <row r="212" spans="1:19" s="22" customFormat="1" ht="18" customHeight="1">
      <c r="A212" s="196" t="s">
        <v>2601</v>
      </c>
      <c r="B212" s="197" t="s">
        <v>2602</v>
      </c>
      <c r="C212" s="199" t="s">
        <v>2603</v>
      </c>
      <c r="D212" s="917" t="s">
        <v>2763</v>
      </c>
      <c r="E212" s="198" t="s">
        <v>1748</v>
      </c>
      <c r="F212" s="1028">
        <f>F210*1.15</f>
        <v>300.84</v>
      </c>
      <c r="G212" s="332"/>
      <c r="H212" s="332">
        <f t="shared" si="8"/>
        <v>0</v>
      </c>
      <c r="I212" s="333">
        <v>0.0047</v>
      </c>
      <c r="J212" s="334">
        <f t="shared" si="9"/>
        <v>1.413948</v>
      </c>
      <c r="K212" s="693"/>
      <c r="L212" s="693"/>
      <c r="M212" s="693"/>
      <c r="N212" s="693"/>
      <c r="O212" s="693"/>
      <c r="P212" s="693"/>
      <c r="Q212" s="694"/>
      <c r="R212" s="509"/>
      <c r="S212" s="509"/>
    </row>
    <row r="213" spans="1:19" s="22" customFormat="1" ht="24" customHeight="1">
      <c r="A213" s="196" t="s">
        <v>2607</v>
      </c>
      <c r="B213" s="197" t="s">
        <v>2608</v>
      </c>
      <c r="C213" s="199" t="s">
        <v>2609</v>
      </c>
      <c r="D213" s="917" t="s">
        <v>2763</v>
      </c>
      <c r="E213" s="198" t="s">
        <v>1831</v>
      </c>
      <c r="F213" s="332">
        <f>F210*4-0.4</f>
        <v>1046</v>
      </c>
      <c r="G213" s="332"/>
      <c r="H213" s="332">
        <f t="shared" si="8"/>
        <v>0</v>
      </c>
      <c r="I213" s="333">
        <v>1E-05</v>
      </c>
      <c r="J213" s="334">
        <f t="shared" si="9"/>
        <v>0.01046</v>
      </c>
      <c r="K213" s="693"/>
      <c r="L213" s="693"/>
      <c r="M213" s="693"/>
      <c r="N213" s="693"/>
      <c r="O213" s="693"/>
      <c r="P213" s="693"/>
      <c r="Q213" s="694"/>
      <c r="R213" s="509"/>
      <c r="S213" s="509"/>
    </row>
    <row r="214" spans="1:19" s="22" customFormat="1" ht="24" customHeight="1">
      <c r="A214" s="196" t="s">
        <v>2610</v>
      </c>
      <c r="B214" s="197" t="s">
        <v>2611</v>
      </c>
      <c r="C214" s="199" t="s">
        <v>2612</v>
      </c>
      <c r="D214" s="917" t="s">
        <v>2763</v>
      </c>
      <c r="E214" s="198" t="s">
        <v>1748</v>
      </c>
      <c r="F214" s="332">
        <f>E215</f>
        <v>261.6</v>
      </c>
      <c r="G214" s="332"/>
      <c r="H214" s="332">
        <f t="shared" si="8"/>
        <v>0</v>
      </c>
      <c r="I214" s="333">
        <v>0.00035</v>
      </c>
      <c r="J214" s="334">
        <f t="shared" si="9"/>
        <v>0.09156</v>
      </c>
      <c r="K214" s="693"/>
      <c r="L214" s="693"/>
      <c r="M214" s="693"/>
      <c r="N214" s="693"/>
      <c r="O214" s="693"/>
      <c r="P214" s="693"/>
      <c r="Q214" s="694"/>
      <c r="R214" s="509"/>
      <c r="S214" s="509"/>
    </row>
    <row r="215" spans="1:19" s="130" customFormat="1" ht="15.75" customHeight="1">
      <c r="A215" s="204"/>
      <c r="B215" s="205" t="s">
        <v>735</v>
      </c>
      <c r="C215" s="206" t="s">
        <v>786</v>
      </c>
      <c r="D215" s="1176"/>
      <c r="E215" s="207">
        <f>78+146.5+11.5+25.6</f>
        <v>261.6</v>
      </c>
      <c r="F215" s="335"/>
      <c r="G215" s="335"/>
      <c r="H215" s="335"/>
      <c r="I215" s="336"/>
      <c r="J215" s="337"/>
      <c r="K215" s="508"/>
      <c r="L215" s="508"/>
      <c r="M215" s="508"/>
      <c r="N215" s="508"/>
      <c r="O215" s="508"/>
      <c r="P215" s="508"/>
      <c r="Q215" s="508"/>
      <c r="R215" s="508"/>
      <c r="S215" s="508"/>
    </row>
    <row r="216" spans="1:19" s="22" customFormat="1" ht="19.5" customHeight="1">
      <c r="A216" s="196" t="s">
        <v>2613</v>
      </c>
      <c r="B216" s="197" t="s">
        <v>2614</v>
      </c>
      <c r="C216" s="199" t="s">
        <v>2615</v>
      </c>
      <c r="D216" s="917" t="s">
        <v>2763</v>
      </c>
      <c r="E216" s="198" t="s">
        <v>1748</v>
      </c>
      <c r="F216" s="1028">
        <f>F214*1.15</f>
        <v>300.84</v>
      </c>
      <c r="G216" s="332"/>
      <c r="H216" s="332">
        <f t="shared" si="8"/>
        <v>0</v>
      </c>
      <c r="I216" s="333">
        <v>0.0044</v>
      </c>
      <c r="J216" s="334">
        <f t="shared" si="9"/>
        <v>1.323696</v>
      </c>
      <c r="K216" s="693"/>
      <c r="L216" s="693"/>
      <c r="M216" s="693"/>
      <c r="N216" s="693"/>
      <c r="O216" s="693"/>
      <c r="P216" s="693"/>
      <c r="Q216" s="694"/>
      <c r="R216" s="509"/>
      <c r="S216" s="509"/>
    </row>
    <row r="217" spans="1:19" s="22" customFormat="1" ht="15" customHeight="1">
      <c r="A217" s="196"/>
      <c r="B217" s="197"/>
      <c r="C217" s="199"/>
      <c r="D217" s="917"/>
      <c r="E217" s="198"/>
      <c r="F217" s="332"/>
      <c r="G217" s="332"/>
      <c r="H217" s="332"/>
      <c r="I217" s="333"/>
      <c r="J217" s="334"/>
      <c r="K217" s="693"/>
      <c r="L217" s="693"/>
      <c r="M217" s="693"/>
      <c r="N217" s="693"/>
      <c r="O217" s="693"/>
      <c r="P217" s="693"/>
      <c r="Q217" s="694"/>
      <c r="R217" s="509"/>
      <c r="S217" s="509"/>
    </row>
    <row r="218" spans="1:19" s="22" customFormat="1" ht="24" customHeight="1">
      <c r="A218" s="196" t="s">
        <v>2616</v>
      </c>
      <c r="B218" s="197" t="s">
        <v>2611</v>
      </c>
      <c r="C218" s="199" t="s">
        <v>2617</v>
      </c>
      <c r="D218" s="917" t="s">
        <v>2763</v>
      </c>
      <c r="E218" s="198" t="s">
        <v>1748</v>
      </c>
      <c r="F218" s="332">
        <f>SUM(E219:E219)</f>
        <v>261.6</v>
      </c>
      <c r="G218" s="332"/>
      <c r="H218" s="332">
        <f t="shared" si="8"/>
        <v>0</v>
      </c>
      <c r="I218" s="333">
        <v>0.00035</v>
      </c>
      <c r="J218" s="334">
        <f t="shared" si="9"/>
        <v>0.09156</v>
      </c>
      <c r="K218" s="693"/>
      <c r="L218" s="693"/>
      <c r="M218" s="693"/>
      <c r="N218" s="693"/>
      <c r="O218" s="693"/>
      <c r="P218" s="693"/>
      <c r="Q218" s="694"/>
      <c r="R218" s="509"/>
      <c r="S218" s="509"/>
    </row>
    <row r="219" spans="1:19" s="130" customFormat="1" ht="15.75" customHeight="1">
      <c r="A219" s="204"/>
      <c r="B219" s="205" t="s">
        <v>735</v>
      </c>
      <c r="C219" s="206" t="s">
        <v>786</v>
      </c>
      <c r="D219" s="916"/>
      <c r="E219" s="207">
        <f>78+146.5+11.5+25.6</f>
        <v>261.6</v>
      </c>
      <c r="F219" s="335"/>
      <c r="G219" s="335"/>
      <c r="H219" s="335"/>
      <c r="I219" s="336"/>
      <c r="J219" s="337"/>
      <c r="K219" s="508"/>
      <c r="L219" s="508"/>
      <c r="M219" s="508"/>
      <c r="N219" s="508"/>
      <c r="O219" s="508"/>
      <c r="P219" s="508"/>
      <c r="Q219" s="508"/>
      <c r="R219" s="508"/>
      <c r="S219" s="508"/>
    </row>
    <row r="220" spans="1:19" s="22" customFormat="1" ht="19.5" customHeight="1">
      <c r="A220" s="196" t="s">
        <v>2618</v>
      </c>
      <c r="B220" s="197" t="s">
        <v>2619</v>
      </c>
      <c r="C220" s="199" t="s">
        <v>2620</v>
      </c>
      <c r="D220" s="917" t="s">
        <v>2763</v>
      </c>
      <c r="E220" s="198" t="s">
        <v>1748</v>
      </c>
      <c r="F220" s="1028">
        <f>F218*1.15</f>
        <v>300.84</v>
      </c>
      <c r="G220" s="332"/>
      <c r="H220" s="332">
        <f>F220*G220</f>
        <v>0</v>
      </c>
      <c r="I220" s="333">
        <v>0.004</v>
      </c>
      <c r="J220" s="334">
        <f>F220*I220</f>
        <v>1.20336</v>
      </c>
      <c r="K220" s="693"/>
      <c r="L220" s="693"/>
      <c r="M220" s="693"/>
      <c r="N220" s="693"/>
      <c r="O220" s="693"/>
      <c r="P220" s="693"/>
      <c r="Q220" s="694"/>
      <c r="R220" s="509"/>
      <c r="S220" s="509"/>
    </row>
    <row r="221" spans="1:19" s="22" customFormat="1" ht="24" customHeight="1" thickBot="1">
      <c r="A221" s="196" t="s">
        <v>2624</v>
      </c>
      <c r="B221" s="256" t="s">
        <v>2625</v>
      </c>
      <c r="C221" s="264" t="s">
        <v>2626</v>
      </c>
      <c r="D221" s="968"/>
      <c r="E221" s="257" t="s">
        <v>1783</v>
      </c>
      <c r="F221" s="368">
        <f>J205</f>
        <v>4.134584</v>
      </c>
      <c r="G221" s="368"/>
      <c r="H221" s="368">
        <f>F221*G221</f>
        <v>0</v>
      </c>
      <c r="I221" s="369">
        <v>0</v>
      </c>
      <c r="J221" s="370">
        <f>F221*I221</f>
        <v>0</v>
      </c>
      <c r="K221" s="693"/>
      <c r="L221" s="693"/>
      <c r="M221" s="693"/>
      <c r="N221" s="693"/>
      <c r="O221" s="693"/>
      <c r="P221" s="693"/>
      <c r="Q221" s="694"/>
      <c r="R221" s="509"/>
      <c r="S221" s="509"/>
    </row>
    <row r="222" spans="1:19" ht="16.5" customHeight="1" thickBot="1">
      <c r="A222" s="266" t="s">
        <v>2627</v>
      </c>
      <c r="B222" s="175" t="s">
        <v>2628</v>
      </c>
      <c r="C222" s="176" t="s">
        <v>2629</v>
      </c>
      <c r="D222" s="1008"/>
      <c r="E222" s="175"/>
      <c r="F222" s="341"/>
      <c r="G222" s="341"/>
      <c r="H222" s="342">
        <f>SUM(H223:H230)</f>
        <v>0</v>
      </c>
      <c r="I222" s="343"/>
      <c r="J222" s="344">
        <f>SUM(J223:J227)</f>
        <v>2.4695040000000006</v>
      </c>
      <c r="K222" s="670"/>
      <c r="L222" s="670"/>
      <c r="M222" s="670"/>
      <c r="N222" s="670"/>
      <c r="O222" s="670"/>
      <c r="P222" s="670"/>
      <c r="Q222" s="670"/>
      <c r="R222" s="670"/>
      <c r="S222" s="670"/>
    </row>
    <row r="223" spans="1:19" s="22" customFormat="1" ht="18.75" customHeight="1">
      <c r="A223" s="190"/>
      <c r="B223" s="191"/>
      <c r="C223" s="265"/>
      <c r="D223" s="964"/>
      <c r="E223" s="192"/>
      <c r="F223" s="345"/>
      <c r="G223" s="345"/>
      <c r="H223" s="345"/>
      <c r="I223" s="346"/>
      <c r="J223" s="347"/>
      <c r="K223" s="693"/>
      <c r="L223" s="693"/>
      <c r="M223" s="693"/>
      <c r="N223" s="693"/>
      <c r="O223" s="693"/>
      <c r="P223" s="693"/>
      <c r="Q223" s="694"/>
      <c r="R223" s="509"/>
      <c r="S223" s="509"/>
    </row>
    <row r="224" spans="1:19" s="1034" customFormat="1" ht="18.75" customHeight="1">
      <c r="A224" s="1023" t="s">
        <v>2630</v>
      </c>
      <c r="B224" s="1024" t="s">
        <v>2631</v>
      </c>
      <c r="C224" s="1025" t="s">
        <v>2632</v>
      </c>
      <c r="D224" s="1177" t="s">
        <v>735</v>
      </c>
      <c r="E224" s="198" t="s">
        <v>1748</v>
      </c>
      <c r="F224" s="332">
        <f>E225</f>
        <v>261.6</v>
      </c>
      <c r="G224" s="332"/>
      <c r="H224" s="332">
        <f>F224*G224</f>
        <v>0</v>
      </c>
      <c r="I224" s="333">
        <v>0.00229</v>
      </c>
      <c r="J224" s="334">
        <f>F224*I224</f>
        <v>0.599064</v>
      </c>
      <c r="K224" s="1031"/>
      <c r="L224" s="1031"/>
      <c r="M224" s="1031"/>
      <c r="N224" s="1031"/>
      <c r="O224" s="1031"/>
      <c r="P224" s="1031"/>
      <c r="Q224" s="1032"/>
      <c r="R224" s="1033"/>
      <c r="S224" s="1033"/>
    </row>
    <row r="225" spans="1:19" s="130" customFormat="1" ht="18" customHeight="1">
      <c r="A225" s="204"/>
      <c r="B225" s="205" t="s">
        <v>735</v>
      </c>
      <c r="C225" s="206" t="s">
        <v>788</v>
      </c>
      <c r="D225" s="1176"/>
      <c r="E225" s="207">
        <f>(78+11.5+146.5+25.6)</f>
        <v>261.6</v>
      </c>
      <c r="F225" s="335"/>
      <c r="G225" s="335"/>
      <c r="H225" s="335"/>
      <c r="I225" s="336"/>
      <c r="J225" s="337"/>
      <c r="K225" s="508"/>
      <c r="L225" s="508"/>
      <c r="M225" s="508"/>
      <c r="N225" s="508"/>
      <c r="O225" s="508"/>
      <c r="P225" s="508"/>
      <c r="Q225" s="508"/>
      <c r="R225" s="508"/>
      <c r="S225" s="508"/>
    </row>
    <row r="226" spans="1:19" s="22" customFormat="1" ht="28.5" customHeight="1">
      <c r="A226" s="196" t="s">
        <v>2633</v>
      </c>
      <c r="B226" s="197" t="s">
        <v>2649</v>
      </c>
      <c r="C226" s="199" t="s">
        <v>2650</v>
      </c>
      <c r="D226" s="1177" t="s">
        <v>735</v>
      </c>
      <c r="E226" s="198" t="s">
        <v>1709</v>
      </c>
      <c r="F226" s="1028">
        <f>E227</f>
        <v>74.81760000000001</v>
      </c>
      <c r="G226" s="332"/>
      <c r="H226" s="332">
        <f>F226*G226</f>
        <v>0</v>
      </c>
      <c r="I226" s="333">
        <v>0.025</v>
      </c>
      <c r="J226" s="334">
        <f>F226*I226</f>
        <v>1.8704400000000003</v>
      </c>
      <c r="K226" s="509"/>
      <c r="L226" s="509"/>
      <c r="M226" s="509"/>
      <c r="N226" s="509"/>
      <c r="O226" s="509"/>
      <c r="P226" s="509"/>
      <c r="Q226" s="509"/>
      <c r="R226" s="509"/>
      <c r="S226" s="509"/>
    </row>
    <row r="227" spans="1:19" s="130" customFormat="1" ht="17.25" customHeight="1">
      <c r="A227" s="204"/>
      <c r="B227" s="205" t="s">
        <v>735</v>
      </c>
      <c r="C227" s="206" t="s">
        <v>2939</v>
      </c>
      <c r="D227" s="1176" t="s">
        <v>2652</v>
      </c>
      <c r="E227" s="1051">
        <f>(78+11.5+146.5+25.6)*0.26*1.1</f>
        <v>74.81760000000001</v>
      </c>
      <c r="F227" s="335"/>
      <c r="G227" s="335"/>
      <c r="H227" s="335"/>
      <c r="I227" s="336"/>
      <c r="J227" s="337"/>
      <c r="K227" s="508"/>
      <c r="L227" s="508"/>
      <c r="M227" s="508"/>
      <c r="N227" s="508"/>
      <c r="O227" s="508"/>
      <c r="P227" s="508"/>
      <c r="Q227" s="508"/>
      <c r="R227" s="508"/>
      <c r="S227" s="508"/>
    </row>
    <row r="228" spans="1:20" s="1034" customFormat="1" ht="17.25" customHeight="1">
      <c r="A228" s="1023" t="s">
        <v>2942</v>
      </c>
      <c r="B228" s="1024" t="s">
        <v>2608</v>
      </c>
      <c r="C228" s="1025" t="s">
        <v>2609</v>
      </c>
      <c r="D228" s="1109" t="s">
        <v>2756</v>
      </c>
      <c r="E228" s="1027" t="s">
        <v>1831</v>
      </c>
      <c r="F228" s="1028">
        <f>SUM(E229:E233)</f>
        <v>1046</v>
      </c>
      <c r="G228" s="1028"/>
      <c r="H228" s="1028">
        <f>F228*G228</f>
        <v>0</v>
      </c>
      <c r="I228" s="1029">
        <v>1E-05</v>
      </c>
      <c r="J228" s="1030">
        <f>F228*I228</f>
        <v>0.01046</v>
      </c>
      <c r="K228" s="1033"/>
      <c r="L228" s="1033"/>
      <c r="M228" s="1033"/>
      <c r="N228" s="1033"/>
      <c r="O228" s="1033"/>
      <c r="P228" s="1033"/>
      <c r="Q228" s="1033"/>
      <c r="R228" s="1033"/>
      <c r="S228" s="1033"/>
      <c r="T228" s="1033"/>
    </row>
    <row r="229" spans="1:19" s="130" customFormat="1" ht="17.25" customHeight="1">
      <c r="A229" s="204"/>
      <c r="B229" s="205" t="s">
        <v>735</v>
      </c>
      <c r="C229" s="206" t="s">
        <v>2864</v>
      </c>
      <c r="D229" s="1176"/>
      <c r="E229" s="207">
        <f>(78+11.5+146.5+25.6)*4-0.4</f>
        <v>1046</v>
      </c>
      <c r="F229" s="335"/>
      <c r="G229" s="335"/>
      <c r="H229" s="335"/>
      <c r="I229" s="336"/>
      <c r="J229" s="337"/>
      <c r="K229" s="508"/>
      <c r="L229" s="508"/>
      <c r="M229" s="508"/>
      <c r="N229" s="508"/>
      <c r="O229" s="508"/>
      <c r="P229" s="508"/>
      <c r="Q229" s="508"/>
      <c r="R229" s="508"/>
      <c r="S229" s="508"/>
    </row>
    <row r="230" spans="1:19" s="22" customFormat="1" ht="18.75" customHeight="1" thickBot="1">
      <c r="A230" s="196" t="s">
        <v>2637</v>
      </c>
      <c r="B230" s="256" t="s">
        <v>2681</v>
      </c>
      <c r="C230" s="264" t="s">
        <v>2682</v>
      </c>
      <c r="D230" s="968"/>
      <c r="E230" s="257" t="s">
        <v>1783</v>
      </c>
      <c r="F230" s="368">
        <f>J222</f>
        <v>2.4695040000000006</v>
      </c>
      <c r="G230" s="368"/>
      <c r="H230" s="368">
        <f>F230*G230</f>
        <v>0</v>
      </c>
      <c r="I230" s="369">
        <v>0</v>
      </c>
      <c r="J230" s="370">
        <f>F230*I230</f>
        <v>0</v>
      </c>
      <c r="K230" s="693"/>
      <c r="L230" s="693"/>
      <c r="M230" s="693"/>
      <c r="N230" s="693"/>
      <c r="O230" s="693"/>
      <c r="P230" s="693"/>
      <c r="Q230" s="694"/>
      <c r="R230" s="509"/>
      <c r="S230" s="509"/>
    </row>
    <row r="231" spans="1:19" ht="16.5" customHeight="1" thickBot="1">
      <c r="A231" s="266" t="s">
        <v>2683</v>
      </c>
      <c r="B231" s="175" t="s">
        <v>2684</v>
      </c>
      <c r="C231" s="176" t="s">
        <v>2685</v>
      </c>
      <c r="D231" s="1006"/>
      <c r="E231" s="175"/>
      <c r="F231" s="341"/>
      <c r="G231" s="341"/>
      <c r="H231" s="342">
        <f>SUM(H232)</f>
        <v>0</v>
      </c>
      <c r="I231" s="343"/>
      <c r="J231" s="344">
        <f>SUM(J232)</f>
        <v>0</v>
      </c>
      <c r="K231" s="670"/>
      <c r="L231" s="670"/>
      <c r="M231" s="670"/>
      <c r="N231" s="670"/>
      <c r="O231" s="670"/>
      <c r="P231" s="670"/>
      <c r="Q231" s="670"/>
      <c r="R231" s="670"/>
      <c r="S231" s="670"/>
    </row>
    <row r="232" spans="1:19" s="22" customFormat="1" ht="27" customHeight="1" thickBot="1">
      <c r="A232" s="196"/>
      <c r="B232" s="197"/>
      <c r="C232" s="199"/>
      <c r="D232" s="917"/>
      <c r="E232" s="198"/>
      <c r="F232" s="332"/>
      <c r="G232" s="332"/>
      <c r="H232" s="332"/>
      <c r="I232" s="333"/>
      <c r="J232" s="334"/>
      <c r="K232" s="509"/>
      <c r="L232" s="509"/>
      <c r="M232" s="509"/>
      <c r="N232" s="509"/>
      <c r="O232" s="509"/>
      <c r="P232" s="509"/>
      <c r="Q232" s="509"/>
      <c r="R232" s="509"/>
      <c r="S232" s="509"/>
    </row>
    <row r="233" spans="1:19" ht="16.5" customHeight="1" thickBot="1">
      <c r="A233" s="266" t="s">
        <v>2686</v>
      </c>
      <c r="B233" s="175" t="s">
        <v>2687</v>
      </c>
      <c r="C233" s="176" t="s">
        <v>2688</v>
      </c>
      <c r="D233" s="175"/>
      <c r="E233" s="175"/>
      <c r="F233" s="341"/>
      <c r="G233" s="341"/>
      <c r="H233" s="342">
        <f>SUM(H234:H237)</f>
        <v>0</v>
      </c>
      <c r="I233" s="343"/>
      <c r="J233" s="344">
        <f>SUM(J234:J237)</f>
        <v>0</v>
      </c>
      <c r="K233" s="670"/>
      <c r="L233" s="670"/>
      <c r="M233" s="670"/>
      <c r="N233" s="670"/>
      <c r="O233" s="670"/>
      <c r="P233" s="670"/>
      <c r="Q233" s="670"/>
      <c r="R233" s="670"/>
      <c r="S233" s="670"/>
    </row>
    <row r="234" spans="1:19" s="586" customFormat="1" ht="60.75" customHeight="1">
      <c r="A234" s="770"/>
      <c r="B234" s="771" t="s">
        <v>1676</v>
      </c>
      <c r="C234" s="772" t="s">
        <v>2689</v>
      </c>
      <c r="D234" s="979"/>
      <c r="E234" s="773"/>
      <c r="F234" s="774"/>
      <c r="G234" s="774"/>
      <c r="H234" s="774"/>
      <c r="I234" s="775"/>
      <c r="J234" s="776"/>
      <c r="K234" s="597"/>
      <c r="L234" s="597"/>
      <c r="M234" s="597"/>
      <c r="N234" s="597"/>
      <c r="O234" s="597"/>
      <c r="P234" s="597"/>
      <c r="Q234" s="597"/>
      <c r="R234" s="597"/>
      <c r="S234" s="597"/>
    </row>
    <row r="235" spans="1:19" s="22" customFormat="1" ht="26.25" customHeight="1">
      <c r="A235" s="196" t="s">
        <v>2690</v>
      </c>
      <c r="B235" s="197" t="s">
        <v>2691</v>
      </c>
      <c r="C235" s="453" t="s">
        <v>2692</v>
      </c>
      <c r="D235" s="917"/>
      <c r="E235" s="198" t="s">
        <v>1831</v>
      </c>
      <c r="F235" s="332">
        <v>16</v>
      </c>
      <c r="G235" s="332"/>
      <c r="H235" s="332">
        <f>F235*G235</f>
        <v>0</v>
      </c>
      <c r="I235" s="333">
        <v>0</v>
      </c>
      <c r="J235" s="334">
        <f>F235*I235</f>
        <v>0</v>
      </c>
      <c r="K235" s="509"/>
      <c r="L235" s="509"/>
      <c r="M235" s="509"/>
      <c r="N235" s="509"/>
      <c r="O235" s="509"/>
      <c r="P235" s="509"/>
      <c r="Q235" s="509"/>
      <c r="R235" s="509"/>
      <c r="S235" s="509"/>
    </row>
    <row r="236" spans="1:19" s="22" customFormat="1" ht="48" customHeight="1">
      <c r="A236" s="196" t="s">
        <v>2693</v>
      </c>
      <c r="B236" s="197" t="s">
        <v>2691</v>
      </c>
      <c r="C236" s="705" t="s">
        <v>2694</v>
      </c>
      <c r="D236" s="917"/>
      <c r="E236" s="198" t="s">
        <v>2695</v>
      </c>
      <c r="F236" s="332">
        <v>1</v>
      </c>
      <c r="G236" s="828"/>
      <c r="H236" s="332">
        <f>F236*G236</f>
        <v>0</v>
      </c>
      <c r="I236" s="333">
        <v>0</v>
      </c>
      <c r="J236" s="334">
        <f>F236*I236</f>
        <v>0</v>
      </c>
      <c r="K236" s="509"/>
      <c r="L236" s="509"/>
      <c r="M236" s="509"/>
      <c r="N236" s="509"/>
      <c r="O236" s="509"/>
      <c r="P236" s="509"/>
      <c r="Q236" s="509"/>
      <c r="R236" s="509"/>
      <c r="S236" s="509"/>
    </row>
    <row r="237" spans="1:19" s="461" customFormat="1" ht="24.75" customHeight="1" thickBot="1">
      <c r="A237" s="454"/>
      <c r="B237" s="455"/>
      <c r="C237" s="456" t="s">
        <v>789</v>
      </c>
      <c r="D237" s="916"/>
      <c r="E237" s="457">
        <f>16*500</f>
        <v>8000</v>
      </c>
      <c r="F237" s="458"/>
      <c r="G237" s="458"/>
      <c r="H237" s="458"/>
      <c r="I237" s="459"/>
      <c r="J237" s="460"/>
      <c r="K237" s="729"/>
      <c r="L237" s="729"/>
      <c r="M237" s="729"/>
      <c r="N237" s="729"/>
      <c r="O237" s="729"/>
      <c r="P237" s="729"/>
      <c r="Q237" s="729"/>
      <c r="R237" s="729"/>
      <c r="S237" s="729"/>
    </row>
    <row r="238" spans="1:19" ht="16.5" customHeight="1" thickBot="1">
      <c r="A238" s="266" t="s">
        <v>2697</v>
      </c>
      <c r="B238" s="175" t="s">
        <v>2698</v>
      </c>
      <c r="C238" s="176" t="s">
        <v>2699</v>
      </c>
      <c r="D238" s="175"/>
      <c r="E238" s="175"/>
      <c r="F238" s="341"/>
      <c r="G238" s="341"/>
      <c r="H238" s="342">
        <f>SUM(H239:H239)</f>
        <v>0</v>
      </c>
      <c r="I238" s="343"/>
      <c r="J238" s="344">
        <f>SUM(J239:J239)</f>
        <v>0</v>
      </c>
      <c r="K238" s="670"/>
      <c r="L238" s="670"/>
      <c r="M238" s="670"/>
      <c r="N238" s="670"/>
      <c r="O238" s="670"/>
      <c r="P238" s="670"/>
      <c r="Q238" s="670"/>
      <c r="R238" s="670"/>
      <c r="S238" s="670"/>
    </row>
    <row r="239" spans="1:19" s="22" customFormat="1" ht="18.75" customHeight="1" thickBot="1">
      <c r="A239" s="29"/>
      <c r="B239" s="21"/>
      <c r="C239" s="20"/>
      <c r="D239" s="1184"/>
      <c r="E239" s="1183"/>
      <c r="F239" s="406"/>
      <c r="G239" s="406"/>
      <c r="H239" s="406"/>
      <c r="I239" s="407"/>
      <c r="J239" s="408"/>
      <c r="K239" s="693"/>
      <c r="L239" s="693"/>
      <c r="M239" s="693"/>
      <c r="N239" s="693"/>
      <c r="O239" s="693"/>
      <c r="P239" s="693"/>
      <c r="Q239" s="694"/>
      <c r="R239" s="509"/>
      <c r="S239" s="509"/>
    </row>
    <row r="240" spans="1:19" ht="16.5" customHeight="1" thickBot="1">
      <c r="A240" s="266" t="s">
        <v>2735</v>
      </c>
      <c r="B240" s="175" t="s">
        <v>2736</v>
      </c>
      <c r="C240" s="176" t="s">
        <v>2737</v>
      </c>
      <c r="D240" s="175"/>
      <c r="E240" s="175"/>
      <c r="F240" s="341"/>
      <c r="G240" s="341"/>
      <c r="H240" s="342">
        <f>SUM(H241:H254)</f>
        <v>0</v>
      </c>
      <c r="I240" s="343"/>
      <c r="J240" s="344">
        <f>SUM(J241:J253)</f>
        <v>0.754589</v>
      </c>
      <c r="K240" s="670"/>
      <c r="L240" s="670"/>
      <c r="M240" s="670"/>
      <c r="N240" s="670"/>
      <c r="O240" s="670"/>
      <c r="P240" s="670"/>
      <c r="Q240" s="670"/>
      <c r="R240" s="670"/>
      <c r="S240" s="670"/>
    </row>
    <row r="241" spans="1:19" s="22" customFormat="1" ht="18.75" customHeight="1">
      <c r="A241" s="190"/>
      <c r="B241" s="191"/>
      <c r="C241" s="265"/>
      <c r="D241" s="964"/>
      <c r="E241" s="192"/>
      <c r="F241" s="345"/>
      <c r="G241" s="345"/>
      <c r="H241" s="345"/>
      <c r="I241" s="346"/>
      <c r="J241" s="347"/>
      <c r="K241" s="693"/>
      <c r="L241" s="693"/>
      <c r="M241" s="693"/>
      <c r="N241" s="693"/>
      <c r="O241" s="693"/>
      <c r="P241" s="693"/>
      <c r="Q241" s="694"/>
      <c r="R241" s="509"/>
      <c r="S241" s="509"/>
    </row>
    <row r="242" spans="1:19" s="22" customFormat="1" ht="33" customHeight="1">
      <c r="A242" s="196"/>
      <c r="B242" s="197"/>
      <c r="C242" s="277" t="s">
        <v>2738</v>
      </c>
      <c r="D242" s="917"/>
      <c r="E242" s="198"/>
      <c r="F242" s="332"/>
      <c r="G242" s="332"/>
      <c r="H242" s="332"/>
      <c r="I242" s="333"/>
      <c r="J242" s="334"/>
      <c r="K242" s="693"/>
      <c r="L242" s="693"/>
      <c r="M242" s="693"/>
      <c r="N242" s="693"/>
      <c r="O242" s="693"/>
      <c r="P242" s="693"/>
      <c r="Q242" s="694"/>
      <c r="R242" s="509"/>
      <c r="S242" s="509"/>
    </row>
    <row r="243" spans="1:21" s="22" customFormat="1" ht="18.75" customHeight="1">
      <c r="A243" s="196" t="s">
        <v>2739</v>
      </c>
      <c r="B243" s="197" t="s">
        <v>2740</v>
      </c>
      <c r="C243" s="199" t="s">
        <v>446</v>
      </c>
      <c r="D243" s="917" t="s">
        <v>447</v>
      </c>
      <c r="E243" s="198" t="s">
        <v>1826</v>
      </c>
      <c r="F243" s="332">
        <v>31.9</v>
      </c>
      <c r="G243" s="332"/>
      <c r="H243" s="332">
        <f aca="true" t="shared" si="10" ref="H243:H249">F243*G243</f>
        <v>0</v>
      </c>
      <c r="I243" s="333">
        <v>0.00301</v>
      </c>
      <c r="J243" s="334">
        <f aca="true" t="shared" si="11" ref="J243:J249">F243*I243</f>
        <v>0.096019</v>
      </c>
      <c r="K243" s="509"/>
      <c r="L243" s="585"/>
      <c r="M243" s="585"/>
      <c r="N243" s="585"/>
      <c r="O243" s="585"/>
      <c r="P243" s="585"/>
      <c r="Q243" s="585"/>
      <c r="R243" s="585"/>
      <c r="S243" s="585"/>
      <c r="T243" s="777"/>
      <c r="U243" s="777"/>
    </row>
    <row r="244" spans="1:19" s="22" customFormat="1" ht="18.75" customHeight="1">
      <c r="A244" s="196" t="s">
        <v>448</v>
      </c>
      <c r="B244" s="197" t="s">
        <v>449</v>
      </c>
      <c r="C244" s="199" t="s">
        <v>790</v>
      </c>
      <c r="D244" s="917" t="s">
        <v>451</v>
      </c>
      <c r="E244" s="198" t="s">
        <v>1826</v>
      </c>
      <c r="F244" s="332">
        <v>29.8</v>
      </c>
      <c r="G244" s="332"/>
      <c r="H244" s="332">
        <f t="shared" si="10"/>
        <v>0</v>
      </c>
      <c r="I244" s="333">
        <v>0.00295</v>
      </c>
      <c r="J244" s="334">
        <f t="shared" si="11"/>
        <v>0.08791</v>
      </c>
      <c r="K244" s="509"/>
      <c r="L244" s="509"/>
      <c r="M244" s="509"/>
      <c r="N244" s="509"/>
      <c r="O244" s="509"/>
      <c r="P244" s="509"/>
      <c r="Q244" s="509"/>
      <c r="R244" s="509"/>
      <c r="S244" s="509"/>
    </row>
    <row r="245" spans="1:19" s="22" customFormat="1" ht="18.75" customHeight="1">
      <c r="A245" s="196" t="s">
        <v>452</v>
      </c>
      <c r="B245" s="197" t="s">
        <v>491</v>
      </c>
      <c r="C245" s="199" t="s">
        <v>492</v>
      </c>
      <c r="D245" s="917" t="s">
        <v>791</v>
      </c>
      <c r="E245" s="198" t="s">
        <v>1826</v>
      </c>
      <c r="F245" s="332">
        <v>9.6</v>
      </c>
      <c r="G245" s="332"/>
      <c r="H245" s="332">
        <f t="shared" si="10"/>
        <v>0</v>
      </c>
      <c r="I245" s="333">
        <v>0.00339</v>
      </c>
      <c r="J245" s="334">
        <f t="shared" si="11"/>
        <v>0.032544</v>
      </c>
      <c r="K245" s="509"/>
      <c r="L245" s="509"/>
      <c r="M245" s="509"/>
      <c r="N245" s="509"/>
      <c r="O245" s="509"/>
      <c r="P245" s="509"/>
      <c r="Q245" s="509"/>
      <c r="R245" s="509"/>
      <c r="S245" s="509"/>
    </row>
    <row r="246" spans="1:19" s="22" customFormat="1" ht="18.75" customHeight="1">
      <c r="A246" s="196" t="s">
        <v>456</v>
      </c>
      <c r="B246" s="197" t="s">
        <v>792</v>
      </c>
      <c r="C246" s="246" t="s">
        <v>793</v>
      </c>
      <c r="D246" s="917" t="s">
        <v>794</v>
      </c>
      <c r="E246" s="198" t="s">
        <v>1826</v>
      </c>
      <c r="F246" s="332">
        <v>32.5</v>
      </c>
      <c r="G246" s="332"/>
      <c r="H246" s="332">
        <f t="shared" si="10"/>
        <v>0</v>
      </c>
      <c r="I246" s="333">
        <v>0.00363</v>
      </c>
      <c r="J246" s="334">
        <f t="shared" si="11"/>
        <v>0.117975</v>
      </c>
      <c r="K246" s="509"/>
      <c r="L246" s="509"/>
      <c r="M246" s="509"/>
      <c r="N246" s="509"/>
      <c r="O246" s="509"/>
      <c r="P246" s="509"/>
      <c r="Q246" s="509"/>
      <c r="R246" s="509"/>
      <c r="S246" s="509"/>
    </row>
    <row r="247" spans="1:19" s="22" customFormat="1" ht="18.75" customHeight="1">
      <c r="A247" s="196" t="s">
        <v>460</v>
      </c>
      <c r="B247" s="197" t="s">
        <v>453</v>
      </c>
      <c r="C247" s="246" t="s">
        <v>454</v>
      </c>
      <c r="D247" s="917" t="s">
        <v>455</v>
      </c>
      <c r="E247" s="198" t="s">
        <v>1826</v>
      </c>
      <c r="F247" s="332">
        <v>6.6</v>
      </c>
      <c r="G247" s="332"/>
      <c r="H247" s="332">
        <f t="shared" si="10"/>
        <v>0</v>
      </c>
      <c r="I247" s="333">
        <v>0.00315</v>
      </c>
      <c r="J247" s="334">
        <f t="shared" si="11"/>
        <v>0.02079</v>
      </c>
      <c r="K247" s="509"/>
      <c r="L247" s="509"/>
      <c r="M247" s="509"/>
      <c r="N247" s="509"/>
      <c r="O247" s="509"/>
      <c r="P247" s="509"/>
      <c r="Q247" s="509"/>
      <c r="R247" s="509"/>
      <c r="S247" s="509"/>
    </row>
    <row r="248" spans="1:19" s="22" customFormat="1" ht="18.75" customHeight="1">
      <c r="A248" s="196" t="s">
        <v>464</v>
      </c>
      <c r="B248" s="197" t="s">
        <v>457</v>
      </c>
      <c r="C248" s="246" t="s">
        <v>458</v>
      </c>
      <c r="D248" s="917" t="s">
        <v>459</v>
      </c>
      <c r="E248" s="198" t="s">
        <v>1826</v>
      </c>
      <c r="F248" s="332">
        <f>75.4-45.3</f>
        <v>30.10000000000001</v>
      </c>
      <c r="G248" s="332"/>
      <c r="H248" s="332">
        <f t="shared" si="10"/>
        <v>0</v>
      </c>
      <c r="I248" s="333">
        <v>0.00376</v>
      </c>
      <c r="J248" s="334">
        <f t="shared" si="11"/>
        <v>0.11317600000000003</v>
      </c>
      <c r="K248" s="693"/>
      <c r="L248" s="693"/>
      <c r="M248" s="693"/>
      <c r="N248" s="693"/>
      <c r="O248" s="693"/>
      <c r="P248" s="693"/>
      <c r="Q248" s="694"/>
      <c r="R248" s="509"/>
      <c r="S248" s="509"/>
    </row>
    <row r="249" spans="1:19" s="22" customFormat="1" ht="18.75" customHeight="1">
      <c r="A249" s="196" t="s">
        <v>468</v>
      </c>
      <c r="B249" s="197" t="s">
        <v>461</v>
      </c>
      <c r="C249" s="246" t="s">
        <v>795</v>
      </c>
      <c r="D249" s="917" t="s">
        <v>463</v>
      </c>
      <c r="E249" s="198" t="s">
        <v>1826</v>
      </c>
      <c r="F249" s="332">
        <v>49.8</v>
      </c>
      <c r="G249" s="332"/>
      <c r="H249" s="332">
        <f t="shared" si="10"/>
        <v>0</v>
      </c>
      <c r="I249" s="333">
        <v>0.00285</v>
      </c>
      <c r="J249" s="334">
        <f t="shared" si="11"/>
        <v>0.14193</v>
      </c>
      <c r="K249" s="509"/>
      <c r="L249" s="585"/>
      <c r="M249" s="585"/>
      <c r="N249" s="585"/>
      <c r="O249" s="585"/>
      <c r="P249" s="585"/>
      <c r="Q249" s="585"/>
      <c r="R249" s="509"/>
      <c r="S249" s="509"/>
    </row>
    <row r="250" spans="1:19" s="22" customFormat="1" ht="18.75" customHeight="1">
      <c r="A250" s="196" t="s">
        <v>471</v>
      </c>
      <c r="B250" s="197" t="s">
        <v>796</v>
      </c>
      <c r="C250" s="199" t="s">
        <v>797</v>
      </c>
      <c r="D250" s="917" t="s">
        <v>798</v>
      </c>
      <c r="E250" s="198" t="s">
        <v>1826</v>
      </c>
      <c r="F250" s="332">
        <v>6.5</v>
      </c>
      <c r="G250" s="332"/>
      <c r="H250" s="332">
        <f>F250*G250</f>
        <v>0</v>
      </c>
      <c r="I250" s="333">
        <v>0.00469</v>
      </c>
      <c r="J250" s="334">
        <f>F250*I250</f>
        <v>0.030484999999999998</v>
      </c>
      <c r="K250" s="509"/>
      <c r="L250" s="509"/>
      <c r="M250" s="509"/>
      <c r="N250" s="509"/>
      <c r="O250" s="509"/>
      <c r="P250" s="509"/>
      <c r="Q250" s="509"/>
      <c r="R250" s="509"/>
      <c r="S250" s="509"/>
    </row>
    <row r="251" spans="1:19" s="22" customFormat="1" ht="18.75" customHeight="1">
      <c r="A251" s="196"/>
      <c r="B251" s="197"/>
      <c r="C251" s="199"/>
      <c r="D251" s="917"/>
      <c r="E251" s="198"/>
      <c r="F251" s="332"/>
      <c r="G251" s="332"/>
      <c r="H251" s="332"/>
      <c r="I251" s="333"/>
      <c r="J251" s="334"/>
      <c r="K251" s="509"/>
      <c r="L251" s="509"/>
      <c r="M251" s="509"/>
      <c r="N251" s="509"/>
      <c r="O251" s="509"/>
      <c r="P251" s="509"/>
      <c r="Q251" s="509"/>
      <c r="R251" s="509"/>
      <c r="S251" s="509"/>
    </row>
    <row r="252" spans="1:19" s="22" customFormat="1" ht="18.75" customHeight="1">
      <c r="A252" s="196" t="s">
        <v>474</v>
      </c>
      <c r="B252" s="197" t="s">
        <v>525</v>
      </c>
      <c r="C252" s="199" t="s">
        <v>526</v>
      </c>
      <c r="D252" s="917" t="s">
        <v>2525</v>
      </c>
      <c r="E252" s="198" t="s">
        <v>1831</v>
      </c>
      <c r="F252" s="332">
        <v>9</v>
      </c>
      <c r="G252" s="332"/>
      <c r="H252" s="332">
        <f>F252*G252</f>
        <v>0</v>
      </c>
      <c r="I252" s="333">
        <v>0.00801</v>
      </c>
      <c r="J252" s="334">
        <f>F252*I252</f>
        <v>0.07209</v>
      </c>
      <c r="K252" s="509"/>
      <c r="L252" s="509"/>
      <c r="M252" s="509"/>
      <c r="N252" s="509"/>
      <c r="O252" s="509"/>
      <c r="P252" s="509"/>
      <c r="Q252" s="509"/>
      <c r="R252" s="509"/>
      <c r="S252" s="509"/>
    </row>
    <row r="253" spans="1:19" s="22" customFormat="1" ht="18.75" customHeight="1">
      <c r="A253" s="196" t="s">
        <v>478</v>
      </c>
      <c r="B253" s="197" t="s">
        <v>2523</v>
      </c>
      <c r="C253" s="199" t="s">
        <v>2524</v>
      </c>
      <c r="D253" s="917" t="s">
        <v>2525</v>
      </c>
      <c r="E253" s="198" t="s">
        <v>1831</v>
      </c>
      <c r="F253" s="332">
        <v>9</v>
      </c>
      <c r="G253" s="332"/>
      <c r="H253" s="332">
        <f>F253*G253</f>
        <v>0</v>
      </c>
      <c r="I253" s="333">
        <v>0.00463</v>
      </c>
      <c r="J253" s="334">
        <f>F253*I253</f>
        <v>0.04167</v>
      </c>
      <c r="K253" s="509"/>
      <c r="L253" s="509"/>
      <c r="M253" s="509"/>
      <c r="N253" s="509"/>
      <c r="O253" s="509"/>
      <c r="P253" s="509"/>
      <c r="Q253" s="509"/>
      <c r="R253" s="509"/>
      <c r="S253" s="509"/>
    </row>
    <row r="254" spans="1:19" s="22" customFormat="1" ht="18.75" customHeight="1" thickBot="1">
      <c r="A254" s="196" t="s">
        <v>482</v>
      </c>
      <c r="B254" s="256" t="s">
        <v>533</v>
      </c>
      <c r="C254" s="264" t="s">
        <v>534</v>
      </c>
      <c r="D254" s="968"/>
      <c r="E254" s="257" t="s">
        <v>1783</v>
      </c>
      <c r="F254" s="368">
        <f>J240</f>
        <v>0.754589</v>
      </c>
      <c r="G254" s="368"/>
      <c r="H254" s="368">
        <f>F254*G254</f>
        <v>0</v>
      </c>
      <c r="I254" s="369">
        <v>0</v>
      </c>
      <c r="J254" s="370">
        <f>F254*I254</f>
        <v>0</v>
      </c>
      <c r="K254" s="509"/>
      <c r="L254" s="509"/>
      <c r="M254" s="509"/>
      <c r="N254" s="509"/>
      <c r="O254" s="509"/>
      <c r="P254" s="509"/>
      <c r="Q254" s="509"/>
      <c r="R254" s="509"/>
      <c r="S254" s="509"/>
    </row>
    <row r="255" spans="1:19" ht="16.5" customHeight="1" thickBot="1">
      <c r="A255" s="266" t="s">
        <v>535</v>
      </c>
      <c r="B255" s="175" t="s">
        <v>536</v>
      </c>
      <c r="C255" s="176" t="s">
        <v>537</v>
      </c>
      <c r="D255" s="175"/>
      <c r="E255" s="175"/>
      <c r="F255" s="341"/>
      <c r="G255" s="341"/>
      <c r="H255" s="1011">
        <f>SUM(H256:H266)</f>
        <v>0</v>
      </c>
      <c r="I255" s="343"/>
      <c r="J255" s="1012">
        <f>SUM(J256:J265)</f>
        <v>0.6490100000000001</v>
      </c>
      <c r="K255" s="670"/>
      <c r="L255" s="670"/>
      <c r="M255" s="670"/>
      <c r="N255" s="670"/>
      <c r="O255" s="670"/>
      <c r="P255" s="670"/>
      <c r="Q255" s="670"/>
      <c r="R255" s="670"/>
      <c r="S255" s="670"/>
    </row>
    <row r="256" spans="1:19" s="22" customFormat="1" ht="18.75" customHeight="1">
      <c r="A256" s="190" t="s">
        <v>538</v>
      </c>
      <c r="B256" s="191" t="s">
        <v>539</v>
      </c>
      <c r="C256" s="265" t="s">
        <v>540</v>
      </c>
      <c r="D256" s="964" t="s">
        <v>541</v>
      </c>
      <c r="E256" s="192" t="s">
        <v>2488</v>
      </c>
      <c r="F256" s="345">
        <v>60</v>
      </c>
      <c r="G256" s="345"/>
      <c r="H256" s="345">
        <f>F256*G256</f>
        <v>0</v>
      </c>
      <c r="I256" s="346">
        <v>5E-05</v>
      </c>
      <c r="J256" s="347">
        <f>F256*I256</f>
        <v>0.003</v>
      </c>
      <c r="K256" s="509"/>
      <c r="L256" s="509"/>
      <c r="M256" s="509"/>
      <c r="N256" s="509"/>
      <c r="O256" s="509"/>
      <c r="P256" s="509"/>
      <c r="Q256" s="509"/>
      <c r="R256" s="509"/>
      <c r="S256" s="509"/>
    </row>
    <row r="257" spans="1:19" s="22" customFormat="1" ht="25.5" customHeight="1">
      <c r="A257" s="196" t="s">
        <v>542</v>
      </c>
      <c r="B257" s="197" t="s">
        <v>543</v>
      </c>
      <c r="C257" s="199" t="s">
        <v>544</v>
      </c>
      <c r="D257" s="917" t="s">
        <v>541</v>
      </c>
      <c r="E257" s="198" t="s">
        <v>2695</v>
      </c>
      <c r="F257" s="332">
        <v>2</v>
      </c>
      <c r="G257" s="332"/>
      <c r="H257" s="332">
        <f>F257*G257</f>
        <v>0</v>
      </c>
      <c r="I257" s="333">
        <v>6E-05</v>
      </c>
      <c r="J257" s="334">
        <f>F257*I257</f>
        <v>0.00012</v>
      </c>
      <c r="K257" s="509"/>
      <c r="L257" s="509"/>
      <c r="M257" s="509"/>
      <c r="N257" s="509"/>
      <c r="O257" s="509"/>
      <c r="P257" s="509"/>
      <c r="Q257" s="509"/>
      <c r="R257" s="509"/>
      <c r="S257" s="509"/>
    </row>
    <row r="258" spans="1:19" s="22" customFormat="1" ht="18.75" customHeight="1">
      <c r="A258" s="196" t="s">
        <v>545</v>
      </c>
      <c r="B258" s="197" t="s">
        <v>539</v>
      </c>
      <c r="C258" s="199" t="s">
        <v>546</v>
      </c>
      <c r="D258" s="917" t="s">
        <v>541</v>
      </c>
      <c r="E258" s="198" t="s">
        <v>2488</v>
      </c>
      <c r="F258" s="332">
        <v>115</v>
      </c>
      <c r="G258" s="332"/>
      <c r="H258" s="332">
        <f>F258*G258</f>
        <v>0</v>
      </c>
      <c r="I258" s="333">
        <v>5E-05</v>
      </c>
      <c r="J258" s="334">
        <f>F258*I258</f>
        <v>0.00575</v>
      </c>
      <c r="K258" s="509"/>
      <c r="L258" s="509"/>
      <c r="M258" s="509"/>
      <c r="N258" s="509"/>
      <c r="O258" s="509"/>
      <c r="P258" s="509"/>
      <c r="Q258" s="509"/>
      <c r="R258" s="509"/>
      <c r="S258" s="509"/>
    </row>
    <row r="259" spans="1:19" s="22" customFormat="1" ht="27.75" customHeight="1">
      <c r="A259" s="196" t="s">
        <v>547</v>
      </c>
      <c r="B259" s="197" t="s">
        <v>548</v>
      </c>
      <c r="C259" s="199" t="s">
        <v>549</v>
      </c>
      <c r="D259" s="917" t="s">
        <v>541</v>
      </c>
      <c r="E259" s="198" t="s">
        <v>2695</v>
      </c>
      <c r="F259" s="332">
        <v>1</v>
      </c>
      <c r="G259" s="332"/>
      <c r="H259" s="332">
        <f>F259*G259</f>
        <v>0</v>
      </c>
      <c r="I259" s="333">
        <v>6E-05</v>
      </c>
      <c r="J259" s="334">
        <f>F259*I259</f>
        <v>6E-05</v>
      </c>
      <c r="K259" s="509"/>
      <c r="L259" s="509"/>
      <c r="M259" s="509"/>
      <c r="N259" s="509"/>
      <c r="O259" s="509"/>
      <c r="P259" s="509"/>
      <c r="Q259" s="509"/>
      <c r="R259" s="509"/>
      <c r="S259" s="509"/>
    </row>
    <row r="260" spans="1:19" s="22" customFormat="1" ht="18.75" customHeight="1">
      <c r="A260" s="196" t="s">
        <v>550</v>
      </c>
      <c r="B260" s="197" t="s">
        <v>554</v>
      </c>
      <c r="C260" s="199" t="s">
        <v>555</v>
      </c>
      <c r="D260" s="917" t="s">
        <v>556</v>
      </c>
      <c r="E260" s="198" t="s">
        <v>1718</v>
      </c>
      <c r="F260" s="332">
        <v>5</v>
      </c>
      <c r="G260" s="332"/>
      <c r="H260" s="332">
        <f aca="true" t="shared" si="12" ref="H260:H265">F260*G260</f>
        <v>0</v>
      </c>
      <c r="I260" s="333">
        <v>0.0004</v>
      </c>
      <c r="J260" s="334">
        <f aca="true" t="shared" si="13" ref="J260:J265">F260*I260</f>
        <v>0.002</v>
      </c>
      <c r="K260" s="730"/>
      <c r="L260" s="509"/>
      <c r="M260" s="509"/>
      <c r="N260" s="509"/>
      <c r="O260" s="509"/>
      <c r="P260" s="509"/>
      <c r="Q260" s="509"/>
      <c r="R260" s="509"/>
      <c r="S260" s="509"/>
    </row>
    <row r="261" spans="1:19" s="22" customFormat="1" ht="18.75" customHeight="1">
      <c r="A261" s="196" t="s">
        <v>553</v>
      </c>
      <c r="B261" s="197" t="s">
        <v>558</v>
      </c>
      <c r="C261" s="199" t="s">
        <v>559</v>
      </c>
      <c r="D261" s="917" t="s">
        <v>556</v>
      </c>
      <c r="E261" s="198" t="s">
        <v>1718</v>
      </c>
      <c r="F261" s="332">
        <v>5</v>
      </c>
      <c r="G261" s="332"/>
      <c r="H261" s="332">
        <f t="shared" si="12"/>
        <v>0</v>
      </c>
      <c r="I261" s="333">
        <v>0.01</v>
      </c>
      <c r="J261" s="334">
        <f t="shared" si="13"/>
        <v>0.05</v>
      </c>
      <c r="K261" s="730"/>
      <c r="L261" s="509"/>
      <c r="M261" s="509"/>
      <c r="N261" s="509"/>
      <c r="O261" s="509"/>
      <c r="P261" s="509"/>
      <c r="Q261" s="509"/>
      <c r="R261" s="509"/>
      <c r="S261" s="509"/>
    </row>
    <row r="262" spans="1:19" s="22" customFormat="1" ht="18.75" customHeight="1">
      <c r="A262" s="196" t="s">
        <v>557</v>
      </c>
      <c r="B262" s="197" t="s">
        <v>564</v>
      </c>
      <c r="C262" s="199" t="s">
        <v>565</v>
      </c>
      <c r="D262" s="917" t="s">
        <v>566</v>
      </c>
      <c r="E262" s="198" t="s">
        <v>1718</v>
      </c>
      <c r="F262" s="332">
        <v>4</v>
      </c>
      <c r="G262" s="332"/>
      <c r="H262" s="332">
        <f t="shared" si="12"/>
        <v>0</v>
      </c>
      <c r="I262" s="333">
        <v>0.07301</v>
      </c>
      <c r="J262" s="334">
        <f t="shared" si="13"/>
        <v>0.29204</v>
      </c>
      <c r="K262" s="730"/>
      <c r="L262" s="509"/>
      <c r="M262" s="509"/>
      <c r="N262" s="509"/>
      <c r="O262" s="509"/>
      <c r="P262" s="509"/>
      <c r="Q262" s="509"/>
      <c r="R262" s="509"/>
      <c r="S262" s="509"/>
    </row>
    <row r="263" spans="1:19" s="22" customFormat="1" ht="18.75" customHeight="1">
      <c r="A263" s="196" t="s">
        <v>560</v>
      </c>
      <c r="B263" s="197" t="s">
        <v>568</v>
      </c>
      <c r="C263" s="199" t="s">
        <v>569</v>
      </c>
      <c r="D263" s="917" t="s">
        <v>566</v>
      </c>
      <c r="E263" s="198" t="s">
        <v>1718</v>
      </c>
      <c r="F263" s="332">
        <v>4</v>
      </c>
      <c r="G263" s="332"/>
      <c r="H263" s="332">
        <f t="shared" si="12"/>
        <v>0</v>
      </c>
      <c r="I263" s="333">
        <v>0.07301</v>
      </c>
      <c r="J263" s="334">
        <f t="shared" si="13"/>
        <v>0.29204</v>
      </c>
      <c r="K263" s="730"/>
      <c r="L263" s="509"/>
      <c r="M263" s="509"/>
      <c r="N263" s="509"/>
      <c r="O263" s="509"/>
      <c r="P263" s="509"/>
      <c r="Q263" s="509"/>
      <c r="R263" s="509"/>
      <c r="S263" s="509"/>
    </row>
    <row r="264" spans="1:19" s="22" customFormat="1" ht="18.75" customHeight="1">
      <c r="A264" s="196" t="s">
        <v>563</v>
      </c>
      <c r="B264" s="197" t="s">
        <v>799</v>
      </c>
      <c r="C264" s="199" t="s">
        <v>800</v>
      </c>
      <c r="D264" s="917"/>
      <c r="E264" s="198" t="s">
        <v>1831</v>
      </c>
      <c r="F264" s="332">
        <v>5</v>
      </c>
      <c r="G264" s="332"/>
      <c r="H264" s="332">
        <f t="shared" si="12"/>
        <v>0</v>
      </c>
      <c r="I264" s="333">
        <v>0.0004</v>
      </c>
      <c r="J264" s="334">
        <f t="shared" si="13"/>
        <v>0.002</v>
      </c>
      <c r="K264" s="730"/>
      <c r="L264" s="509"/>
      <c r="M264" s="509"/>
      <c r="N264" s="509"/>
      <c r="O264" s="509"/>
      <c r="P264" s="509"/>
      <c r="Q264" s="509"/>
      <c r="R264" s="509"/>
      <c r="S264" s="509"/>
    </row>
    <row r="265" spans="1:19" s="22" customFormat="1" ht="18.75" customHeight="1">
      <c r="A265" s="196" t="s">
        <v>567</v>
      </c>
      <c r="B265" s="197" t="s">
        <v>801</v>
      </c>
      <c r="C265" s="199" t="s">
        <v>802</v>
      </c>
      <c r="D265" s="917"/>
      <c r="E265" s="198" t="s">
        <v>1831</v>
      </c>
      <c r="F265" s="332">
        <v>5</v>
      </c>
      <c r="G265" s="332"/>
      <c r="H265" s="332">
        <f t="shared" si="12"/>
        <v>0</v>
      </c>
      <c r="I265" s="333">
        <v>0.0004</v>
      </c>
      <c r="J265" s="334">
        <f t="shared" si="13"/>
        <v>0.002</v>
      </c>
      <c r="K265" s="763"/>
      <c r="L265" s="763"/>
      <c r="M265" s="763"/>
      <c r="N265" s="763"/>
      <c r="O265" s="763"/>
      <c r="P265" s="763"/>
      <c r="Q265" s="694"/>
      <c r="R265" s="509"/>
      <c r="S265" s="509"/>
    </row>
    <row r="266" spans="1:19" s="22" customFormat="1" ht="18.75" customHeight="1" thickBot="1">
      <c r="A266" s="196" t="s">
        <v>570</v>
      </c>
      <c r="B266" s="256" t="s">
        <v>592</v>
      </c>
      <c r="C266" s="264" t="s">
        <v>593</v>
      </c>
      <c r="D266" s="968"/>
      <c r="E266" s="257" t="s">
        <v>1783</v>
      </c>
      <c r="F266" s="368">
        <f>J255</f>
        <v>0.6490100000000001</v>
      </c>
      <c r="G266" s="368"/>
      <c r="H266" s="368">
        <f>F266*G266</f>
        <v>0</v>
      </c>
      <c r="I266" s="369">
        <v>0</v>
      </c>
      <c r="J266" s="370">
        <f>F266*I266</f>
        <v>0</v>
      </c>
      <c r="K266" s="693"/>
      <c r="L266" s="693"/>
      <c r="M266" s="693"/>
      <c r="N266" s="693"/>
      <c r="O266" s="693"/>
      <c r="P266" s="693"/>
      <c r="Q266" s="694"/>
      <c r="R266" s="509"/>
      <c r="S266" s="509"/>
    </row>
    <row r="267" spans="1:19" ht="16.5" customHeight="1" thickBot="1">
      <c r="A267" s="266" t="s">
        <v>1657</v>
      </c>
      <c r="B267" s="175" t="s">
        <v>594</v>
      </c>
      <c r="C267" s="176" t="s">
        <v>595</v>
      </c>
      <c r="D267" s="175"/>
      <c r="E267" s="175"/>
      <c r="F267" s="341"/>
      <c r="G267" s="341"/>
      <c r="H267" s="342">
        <f>SUM(H269:H285)</f>
        <v>0</v>
      </c>
      <c r="I267" s="343"/>
      <c r="J267" s="344">
        <f>SUM(J269:J277)</f>
        <v>0.23425500000000002</v>
      </c>
      <c r="K267" s="670"/>
      <c r="L267" s="670"/>
      <c r="M267" s="670"/>
      <c r="N267" s="670"/>
      <c r="O267" s="670"/>
      <c r="P267" s="670"/>
      <c r="Q267" s="670"/>
      <c r="R267" s="670"/>
      <c r="S267" s="670"/>
    </row>
    <row r="268" spans="1:22" s="294" customFormat="1" ht="12.75">
      <c r="A268" s="309"/>
      <c r="B268" s="684"/>
      <c r="C268" s="310"/>
      <c r="D268" s="981"/>
      <c r="E268" s="148"/>
      <c r="F268" s="311"/>
      <c r="G268" s="311"/>
      <c r="H268" s="304"/>
      <c r="I268" s="304"/>
      <c r="J268" s="366"/>
      <c r="K268" s="143"/>
      <c r="L268" s="143"/>
      <c r="M268" s="735"/>
      <c r="N268" s="693"/>
      <c r="O268" s="293"/>
      <c r="P268" s="293"/>
      <c r="Q268" s="293"/>
      <c r="R268" s="293"/>
      <c r="S268" s="293"/>
      <c r="T268" s="293"/>
      <c r="U268" s="293"/>
      <c r="V268" s="293"/>
    </row>
    <row r="269" spans="1:19" s="288" customFormat="1" ht="24">
      <c r="A269" s="196" t="s">
        <v>596</v>
      </c>
      <c r="B269" s="285" t="s">
        <v>597</v>
      </c>
      <c r="C269" s="286" t="s">
        <v>598</v>
      </c>
      <c r="D269" s="982" t="s">
        <v>2759</v>
      </c>
      <c r="E269" s="287" t="s">
        <v>1748</v>
      </c>
      <c r="F269" s="734">
        <f>E270</f>
        <v>14.55</v>
      </c>
      <c r="G269" s="387"/>
      <c r="H269" s="332">
        <f>F269*G269</f>
        <v>0</v>
      </c>
      <c r="I269" s="388">
        <v>0.0161</v>
      </c>
      <c r="J269" s="334">
        <f>F269*I269</f>
        <v>0.23425500000000002</v>
      </c>
      <c r="K269" s="143"/>
      <c r="L269" s="143"/>
      <c r="M269" s="143"/>
      <c r="N269" s="735"/>
      <c r="O269" s="693"/>
      <c r="P269" s="144"/>
      <c r="Q269" s="144"/>
      <c r="R269" s="144"/>
      <c r="S269" s="144"/>
    </row>
    <row r="270" spans="1:19" s="130" customFormat="1" ht="18.75" customHeight="1">
      <c r="A270" s="204"/>
      <c r="B270" s="205" t="s">
        <v>774</v>
      </c>
      <c r="C270" s="206" t="s">
        <v>775</v>
      </c>
      <c r="D270" s="916"/>
      <c r="E270" s="260">
        <f>0.8*14.67+1.34*0.3*7</f>
        <v>14.55</v>
      </c>
      <c r="F270" s="335"/>
      <c r="G270" s="335"/>
      <c r="H270" s="335"/>
      <c r="I270" s="336"/>
      <c r="J270" s="337"/>
      <c r="K270" s="508"/>
      <c r="L270" s="508"/>
      <c r="M270" s="508"/>
      <c r="N270" s="508"/>
      <c r="O270" s="508"/>
      <c r="P270" s="508"/>
      <c r="Q270" s="508"/>
      <c r="R270" s="508"/>
      <c r="S270" s="508"/>
    </row>
    <row r="271" spans="1:22" s="294" customFormat="1" ht="12.75">
      <c r="A271" s="289"/>
      <c r="B271" s="285"/>
      <c r="C271" s="290"/>
      <c r="D271" s="983"/>
      <c r="E271" s="283"/>
      <c r="F271" s="291"/>
      <c r="G271" s="291"/>
      <c r="H271" s="292"/>
      <c r="I271" s="292"/>
      <c r="J271" s="389"/>
      <c r="K271" s="143"/>
      <c r="L271" s="143"/>
      <c r="M271" s="735"/>
      <c r="N271" s="693"/>
      <c r="O271" s="293"/>
      <c r="P271" s="293"/>
      <c r="Q271" s="293"/>
      <c r="R271" s="293"/>
      <c r="S271" s="293"/>
      <c r="T271" s="293"/>
      <c r="U271" s="293"/>
      <c r="V271" s="293"/>
    </row>
    <row r="272" spans="1:60" s="288" customFormat="1" ht="24">
      <c r="A272" s="196" t="s">
        <v>599</v>
      </c>
      <c r="B272" s="285" t="s">
        <v>603</v>
      </c>
      <c r="C272" s="286" t="s">
        <v>604</v>
      </c>
      <c r="D272" s="982" t="s">
        <v>2759</v>
      </c>
      <c r="E272" s="287" t="s">
        <v>1748</v>
      </c>
      <c r="F272" s="734">
        <f>SUM(E273:E274)</f>
        <v>35.05</v>
      </c>
      <c r="G272" s="387"/>
      <c r="H272" s="332">
        <f>F272*G272</f>
        <v>0</v>
      </c>
      <c r="I272" s="388">
        <v>0</v>
      </c>
      <c r="J272" s="334">
        <f>F272*I272</f>
        <v>0</v>
      </c>
      <c r="K272" s="143"/>
      <c r="L272" s="143"/>
      <c r="M272" s="143"/>
      <c r="N272" s="735"/>
      <c r="O272" s="693"/>
      <c r="P272" s="144"/>
      <c r="Q272" s="144"/>
      <c r="R272" s="144"/>
      <c r="S272" s="144"/>
      <c r="BC272" s="288">
        <v>2</v>
      </c>
      <c r="BD272" s="288">
        <f>IF(BC272=1,H272,0)</f>
        <v>0</v>
      </c>
      <c r="BE272" s="288">
        <f>IF(BC272=2,H272,0)</f>
        <v>0</v>
      </c>
      <c r="BF272" s="288">
        <f>IF(BC272=3,H272,0)</f>
        <v>0</v>
      </c>
      <c r="BG272" s="288">
        <f>IF(BC272=4,H272,0)</f>
        <v>0</v>
      </c>
      <c r="BH272" s="288">
        <f>IF(BC272=5,H272,0)</f>
        <v>0</v>
      </c>
    </row>
    <row r="273" spans="1:19" s="130" customFormat="1" ht="18.75" customHeight="1">
      <c r="A273" s="204"/>
      <c r="B273" s="205" t="s">
        <v>774</v>
      </c>
      <c r="C273" s="206" t="s">
        <v>775</v>
      </c>
      <c r="D273" s="916"/>
      <c r="E273" s="260">
        <f>0.8*14.67+1.34*0.3*7</f>
        <v>14.55</v>
      </c>
      <c r="F273" s="335"/>
      <c r="G273" s="335"/>
      <c r="H273" s="335"/>
      <c r="I273" s="336"/>
      <c r="J273" s="337"/>
      <c r="K273" s="508"/>
      <c r="L273" s="508"/>
      <c r="M273" s="508"/>
      <c r="N273" s="508"/>
      <c r="O273" s="508"/>
      <c r="P273" s="508"/>
      <c r="Q273" s="508"/>
      <c r="R273" s="508"/>
      <c r="S273" s="508"/>
    </row>
    <row r="274" spans="1:19" s="130" customFormat="1" ht="18.75" customHeight="1">
      <c r="A274" s="204"/>
      <c r="B274" s="205" t="s">
        <v>776</v>
      </c>
      <c r="C274" s="206" t="s">
        <v>777</v>
      </c>
      <c r="D274" s="916"/>
      <c r="E274" s="260">
        <f>14.9+5.6</f>
        <v>20.5</v>
      </c>
      <c r="F274" s="335"/>
      <c r="G274" s="335"/>
      <c r="H274" s="335"/>
      <c r="I274" s="336"/>
      <c r="J274" s="337"/>
      <c r="K274" s="508"/>
      <c r="L274" s="508"/>
      <c r="M274" s="508"/>
      <c r="N274" s="508"/>
      <c r="O274" s="508"/>
      <c r="P274" s="508"/>
      <c r="Q274" s="508"/>
      <c r="R274" s="508"/>
      <c r="S274" s="508"/>
    </row>
    <row r="275" spans="1:19" s="299" customFormat="1" ht="17.25" customHeight="1">
      <c r="A275" s="295"/>
      <c r="B275" s="296"/>
      <c r="C275" s="297"/>
      <c r="D275" s="984"/>
      <c r="E275" s="298"/>
      <c r="F275" s="141"/>
      <c r="G275" s="141"/>
      <c r="H275" s="141"/>
      <c r="I275" s="390"/>
      <c r="J275" s="391"/>
      <c r="K275" s="736"/>
      <c r="L275" s="736"/>
      <c r="M275" s="736"/>
      <c r="N275" s="737"/>
      <c r="O275" s="580"/>
      <c r="P275" s="580"/>
      <c r="Q275" s="580"/>
      <c r="R275" s="580"/>
      <c r="S275" s="580"/>
    </row>
    <row r="276" spans="1:60" s="300" customFormat="1" ht="20.25" customHeight="1">
      <c r="A276" s="738" t="s">
        <v>602</v>
      </c>
      <c r="B276" s="739" t="s">
        <v>606</v>
      </c>
      <c r="C276" s="740" t="s">
        <v>607</v>
      </c>
      <c r="D276" s="985" t="s">
        <v>2759</v>
      </c>
      <c r="E276" s="741" t="s">
        <v>1748</v>
      </c>
      <c r="F276" s="734">
        <f>SUM(E277:E278)</f>
        <v>35.05</v>
      </c>
      <c r="G276" s="742"/>
      <c r="H276" s="742">
        <f>F276*G276</f>
        <v>0</v>
      </c>
      <c r="I276" s="392"/>
      <c r="J276" s="393"/>
      <c r="K276" s="743"/>
      <c r="L276" s="743"/>
      <c r="M276" s="744"/>
      <c r="N276" s="744">
        <v>2</v>
      </c>
      <c r="O276" s="744"/>
      <c r="P276" s="744"/>
      <c r="Q276" s="744"/>
      <c r="R276" s="744"/>
      <c r="S276" s="745"/>
      <c r="T276" s="746"/>
      <c r="U276" s="746"/>
      <c r="V276" s="746"/>
      <c r="W276" s="746"/>
      <c r="X276" s="746">
        <v>12</v>
      </c>
      <c r="Y276" s="746">
        <v>0</v>
      </c>
      <c r="Z276" s="746">
        <v>200</v>
      </c>
      <c r="AA276" s="746"/>
      <c r="AB276" s="746"/>
      <c r="AC276" s="746"/>
      <c r="AD276" s="746"/>
      <c r="AE276" s="746"/>
      <c r="AF276" s="746"/>
      <c r="AG276" s="746"/>
      <c r="AH276" s="746"/>
      <c r="AI276" s="746"/>
      <c r="AJ276" s="746"/>
      <c r="AK276" s="746"/>
      <c r="AL276" s="746"/>
      <c r="AM276" s="746"/>
      <c r="AN276" s="746"/>
      <c r="AO276" s="746"/>
      <c r="AP276" s="746"/>
      <c r="AQ276" s="746"/>
      <c r="AR276" s="746"/>
      <c r="AS276" s="746"/>
      <c r="AT276" s="746"/>
      <c r="AU276" s="746"/>
      <c r="AV276" s="746"/>
      <c r="AW276" s="746"/>
      <c r="AX276" s="746"/>
      <c r="AY276" s="746">
        <v>2</v>
      </c>
      <c r="AZ276" s="746">
        <f>IF(AY276=1,H276,0)</f>
        <v>0</v>
      </c>
      <c r="BA276" s="746">
        <f>IF(AY276=2,H276,0)</f>
        <v>0</v>
      </c>
      <c r="BB276" s="746">
        <f>IF(AY276=3,H276,0)</f>
        <v>0</v>
      </c>
      <c r="BC276" s="746">
        <f>IF(AY276=4,H276,0)</f>
        <v>0</v>
      </c>
      <c r="BD276" s="746">
        <f>IF(AY276=5,H276,0)</f>
        <v>0</v>
      </c>
      <c r="BE276" s="746"/>
      <c r="BF276" s="746"/>
      <c r="BG276" s="746"/>
      <c r="BH276" s="746"/>
    </row>
    <row r="277" spans="1:19" s="130" customFormat="1" ht="18.75" customHeight="1">
      <c r="A277" s="204"/>
      <c r="B277" s="205" t="s">
        <v>774</v>
      </c>
      <c r="C277" s="206" t="s">
        <v>775</v>
      </c>
      <c r="D277" s="916"/>
      <c r="E277" s="260">
        <f>0.8*14.67+1.34*0.3*7</f>
        <v>14.55</v>
      </c>
      <c r="F277" s="335"/>
      <c r="G277" s="335"/>
      <c r="H277" s="335"/>
      <c r="I277" s="336"/>
      <c r="J277" s="337"/>
      <c r="K277" s="508"/>
      <c r="L277" s="508"/>
      <c r="M277" s="508"/>
      <c r="N277" s="508"/>
      <c r="O277" s="508"/>
      <c r="P277" s="508"/>
      <c r="Q277" s="508"/>
      <c r="R277" s="508"/>
      <c r="S277" s="508"/>
    </row>
    <row r="278" spans="1:19" s="130" customFormat="1" ht="18.75" customHeight="1">
      <c r="A278" s="204"/>
      <c r="B278" s="205" t="s">
        <v>776</v>
      </c>
      <c r="C278" s="206" t="s">
        <v>777</v>
      </c>
      <c r="D278" s="916"/>
      <c r="E278" s="260">
        <f>14.9+5.6</f>
        <v>20.5</v>
      </c>
      <c r="F278" s="335"/>
      <c r="G278" s="335"/>
      <c r="H278" s="335"/>
      <c r="I278" s="336"/>
      <c r="J278" s="337"/>
      <c r="K278" s="508"/>
      <c r="L278" s="508"/>
      <c r="M278" s="508"/>
      <c r="N278" s="508"/>
      <c r="O278" s="508"/>
      <c r="P278" s="508"/>
      <c r="Q278" s="508"/>
      <c r="R278" s="508"/>
      <c r="S278" s="508"/>
    </row>
    <row r="279" spans="1:19" s="299" customFormat="1" ht="15" customHeight="1">
      <c r="A279" s="295"/>
      <c r="B279" s="296"/>
      <c r="C279" s="297"/>
      <c r="D279" s="984"/>
      <c r="E279" s="298"/>
      <c r="F279" s="141"/>
      <c r="G279" s="141"/>
      <c r="H279" s="141"/>
      <c r="I279" s="390"/>
      <c r="J279" s="391"/>
      <c r="K279" s="736"/>
      <c r="L279" s="736"/>
      <c r="M279" s="736"/>
      <c r="N279" s="737"/>
      <c r="O279" s="580"/>
      <c r="P279" s="580"/>
      <c r="Q279" s="580"/>
      <c r="R279" s="580"/>
      <c r="S279" s="580"/>
    </row>
    <row r="280" spans="1:60" s="300" customFormat="1" ht="26.25" customHeight="1">
      <c r="A280" s="738" t="s">
        <v>605</v>
      </c>
      <c r="B280" s="739" t="s">
        <v>609</v>
      </c>
      <c r="C280" s="740" t="s">
        <v>610</v>
      </c>
      <c r="D280" s="985" t="s">
        <v>2759</v>
      </c>
      <c r="E280" s="741" t="s">
        <v>1748</v>
      </c>
      <c r="F280" s="734">
        <f>SUM(E281:E282)</f>
        <v>35.751000000000005</v>
      </c>
      <c r="G280" s="742"/>
      <c r="H280" s="742">
        <f>F280*G280</f>
        <v>0</v>
      </c>
      <c r="I280" s="392"/>
      <c r="J280" s="393"/>
      <c r="K280" s="743"/>
      <c r="L280" s="743"/>
      <c r="M280" s="744"/>
      <c r="N280" s="744">
        <v>2</v>
      </c>
      <c r="O280" s="744"/>
      <c r="P280" s="744"/>
      <c r="Q280" s="744"/>
      <c r="R280" s="744"/>
      <c r="S280" s="745"/>
      <c r="T280" s="746"/>
      <c r="U280" s="746"/>
      <c r="V280" s="746"/>
      <c r="W280" s="746"/>
      <c r="X280" s="746">
        <v>12</v>
      </c>
      <c r="Y280" s="746">
        <v>1</v>
      </c>
      <c r="Z280" s="746">
        <v>201</v>
      </c>
      <c r="AA280" s="746"/>
      <c r="AB280" s="746"/>
      <c r="AC280" s="746"/>
      <c r="AD280" s="746"/>
      <c r="AE280" s="746"/>
      <c r="AF280" s="746"/>
      <c r="AG280" s="746"/>
      <c r="AH280" s="746"/>
      <c r="AI280" s="746"/>
      <c r="AJ280" s="746"/>
      <c r="AK280" s="746"/>
      <c r="AL280" s="746"/>
      <c r="AM280" s="746"/>
      <c r="AN280" s="746"/>
      <c r="AO280" s="746"/>
      <c r="AP280" s="746"/>
      <c r="AQ280" s="746"/>
      <c r="AR280" s="746"/>
      <c r="AS280" s="746"/>
      <c r="AT280" s="746"/>
      <c r="AU280" s="746"/>
      <c r="AV280" s="746"/>
      <c r="AW280" s="746"/>
      <c r="AX280" s="746"/>
      <c r="AY280" s="746">
        <v>2</v>
      </c>
      <c r="AZ280" s="746">
        <f>IF(AY280=1,H280,0)</f>
        <v>0</v>
      </c>
      <c r="BA280" s="746">
        <f>IF(AY280=2,H280,0)</f>
        <v>0</v>
      </c>
      <c r="BB280" s="746">
        <f>IF(AY280=3,H280,0)</f>
        <v>0</v>
      </c>
      <c r="BC280" s="746">
        <f>IF(AY280=4,H280,0)</f>
        <v>0</v>
      </c>
      <c r="BD280" s="746">
        <f>IF(AY280=5,H280,0)</f>
        <v>0</v>
      </c>
      <c r="BE280" s="746"/>
      <c r="BF280" s="746"/>
      <c r="BG280" s="746"/>
      <c r="BH280" s="746"/>
    </row>
    <row r="281" spans="1:19" s="130" customFormat="1" ht="18.75" customHeight="1">
      <c r="A281" s="204"/>
      <c r="B281" s="205" t="s">
        <v>774</v>
      </c>
      <c r="C281" s="206" t="s">
        <v>803</v>
      </c>
      <c r="D281" s="916"/>
      <c r="E281" s="260">
        <f>(0.8*14.67+1.34*0.3*7)*1.02</f>
        <v>14.841000000000001</v>
      </c>
      <c r="F281" s="335"/>
      <c r="G281" s="335"/>
      <c r="H281" s="335"/>
      <c r="I281" s="336"/>
      <c r="J281" s="337"/>
      <c r="K281" s="508"/>
      <c r="L281" s="508"/>
      <c r="M281" s="508"/>
      <c r="N281" s="508"/>
      <c r="O281" s="508"/>
      <c r="P281" s="508"/>
      <c r="Q281" s="508"/>
      <c r="R281" s="508"/>
      <c r="S281" s="508"/>
    </row>
    <row r="282" spans="1:19" s="130" customFormat="1" ht="18.75" customHeight="1">
      <c r="A282" s="204"/>
      <c r="B282" s="205" t="s">
        <v>776</v>
      </c>
      <c r="C282" s="206" t="s">
        <v>804</v>
      </c>
      <c r="D282" s="916"/>
      <c r="E282" s="260">
        <f>(14.9+5.6)*1.02</f>
        <v>20.91</v>
      </c>
      <c r="F282" s="335"/>
      <c r="G282" s="335"/>
      <c r="H282" s="335"/>
      <c r="I282" s="336"/>
      <c r="J282" s="337"/>
      <c r="K282" s="508"/>
      <c r="L282" s="508"/>
      <c r="M282" s="508"/>
      <c r="N282" s="508"/>
      <c r="O282" s="508"/>
      <c r="P282" s="508"/>
      <c r="Q282" s="508"/>
      <c r="R282" s="508"/>
      <c r="S282" s="508"/>
    </row>
    <row r="283" spans="1:19" s="299" customFormat="1" ht="13.5" customHeight="1">
      <c r="A283" s="295"/>
      <c r="B283" s="296"/>
      <c r="C283" s="297"/>
      <c r="D283" s="984"/>
      <c r="E283" s="298"/>
      <c r="F283" s="141"/>
      <c r="G283" s="141"/>
      <c r="H283" s="141"/>
      <c r="I283" s="390"/>
      <c r="J283" s="391"/>
      <c r="K283" s="736"/>
      <c r="L283" s="736"/>
      <c r="M283" s="736"/>
      <c r="N283" s="737"/>
      <c r="O283" s="580"/>
      <c r="P283" s="580"/>
      <c r="Q283" s="580"/>
      <c r="R283" s="580"/>
      <c r="S283" s="580"/>
    </row>
    <row r="284" spans="1:60" s="145" customFormat="1" ht="17.25" customHeight="1">
      <c r="A284" s="196" t="s">
        <v>608</v>
      </c>
      <c r="B284" s="285" t="s">
        <v>626</v>
      </c>
      <c r="C284" s="286" t="s">
        <v>627</v>
      </c>
      <c r="D284" s="982"/>
      <c r="E284" s="287" t="s">
        <v>1665</v>
      </c>
      <c r="F284" s="387">
        <f>SUM(H269:H283)*0.01</f>
        <v>0</v>
      </c>
      <c r="G284" s="387"/>
      <c r="H284" s="387">
        <f>F284*G284</f>
        <v>0</v>
      </c>
      <c r="I284" s="292">
        <v>0</v>
      </c>
      <c r="J284" s="389">
        <f>F284*I284</f>
        <v>0</v>
      </c>
      <c r="K284" s="143">
        <v>0</v>
      </c>
      <c r="L284" s="143">
        <f>F284*K284</f>
        <v>0</v>
      </c>
      <c r="M284" s="143"/>
      <c r="N284" s="144"/>
      <c r="O284" s="144"/>
      <c r="P284" s="144"/>
      <c r="Q284" s="144"/>
      <c r="R284" s="144">
        <v>2</v>
      </c>
      <c r="S284" s="144"/>
      <c r="T284" s="288"/>
      <c r="U284" s="288"/>
      <c r="V284" s="288"/>
      <c r="W284" s="288"/>
      <c r="X284" s="288"/>
      <c r="Y284" s="288"/>
      <c r="Z284" s="288"/>
      <c r="AA284" s="288"/>
      <c r="AB284" s="288">
        <v>12</v>
      </c>
      <c r="AC284" s="288">
        <v>0</v>
      </c>
      <c r="AD284" s="288">
        <v>70</v>
      </c>
      <c r="AE284" s="288"/>
      <c r="AF284" s="288"/>
      <c r="AG284" s="288"/>
      <c r="AH284" s="288"/>
      <c r="AI284" s="288"/>
      <c r="AJ284" s="288"/>
      <c r="AK284" s="288"/>
      <c r="AL284" s="288"/>
      <c r="AM284" s="288"/>
      <c r="AN284" s="288"/>
      <c r="AO284" s="288"/>
      <c r="AP284" s="288"/>
      <c r="AQ284" s="288"/>
      <c r="AR284" s="288"/>
      <c r="AS284" s="288"/>
      <c r="AT284" s="288"/>
      <c r="AU284" s="288"/>
      <c r="AV284" s="288"/>
      <c r="AW284" s="288"/>
      <c r="AX284" s="288"/>
      <c r="AY284" s="288"/>
      <c r="AZ284" s="288"/>
      <c r="BA284" s="288"/>
      <c r="BB284" s="288"/>
      <c r="BC284" s="288">
        <v>2</v>
      </c>
      <c r="BD284" s="288">
        <f>IF(BC284=1,H284,0)</f>
        <v>0</v>
      </c>
      <c r="BE284" s="288">
        <f>IF(BC284=2,H284,0)</f>
        <v>0</v>
      </c>
      <c r="BF284" s="288">
        <f>IF(BC284=3,H284,0)</f>
        <v>0</v>
      </c>
      <c r="BG284" s="288">
        <f>IF(BC284=4,H284,0)</f>
        <v>0</v>
      </c>
      <c r="BH284" s="288">
        <f>IF(BC284=5,H284,0)</f>
        <v>0</v>
      </c>
    </row>
    <row r="285" spans="1:23" s="152" customFormat="1" ht="13.5" thickBot="1">
      <c r="A285" s="156"/>
      <c r="B285" s="751"/>
      <c r="C285" s="157"/>
      <c r="D285" s="986"/>
      <c r="E285" s="158"/>
      <c r="F285" s="396"/>
      <c r="G285" s="284"/>
      <c r="H285" s="284"/>
      <c r="I285" s="397"/>
      <c r="J285" s="398"/>
      <c r="K285" s="149"/>
      <c r="L285" s="149"/>
      <c r="M285" s="149"/>
      <c r="N285" s="150"/>
      <c r="O285" s="733"/>
      <c r="P285" s="151"/>
      <c r="Q285" s="151"/>
      <c r="R285" s="151"/>
      <c r="S285" s="151"/>
      <c r="T285" s="151"/>
      <c r="U285" s="151"/>
      <c r="V285" s="151"/>
      <c r="W285" s="151"/>
    </row>
    <row r="286" spans="1:19" ht="16.5" customHeight="1" thickBot="1">
      <c r="A286" s="266" t="s">
        <v>628</v>
      </c>
      <c r="B286" s="175" t="s">
        <v>629</v>
      </c>
      <c r="C286" s="176" t="s">
        <v>630</v>
      </c>
      <c r="D286" s="1008"/>
      <c r="E286" s="175"/>
      <c r="F286" s="341"/>
      <c r="G286" s="341"/>
      <c r="H286" s="342">
        <f>SUM(H287:H287)</f>
        <v>0</v>
      </c>
      <c r="I286" s="343"/>
      <c r="J286" s="344">
        <f>SUM(J287:J287)</f>
        <v>0</v>
      </c>
      <c r="K286" s="670"/>
      <c r="L286" s="670"/>
      <c r="M286" s="670"/>
      <c r="N286" s="670"/>
      <c r="O286" s="670"/>
      <c r="P286" s="670"/>
      <c r="Q286" s="670"/>
      <c r="R286" s="670"/>
      <c r="S286" s="670"/>
    </row>
    <row r="287" spans="1:19" s="22" customFormat="1" ht="18.75" customHeight="1" thickBot="1">
      <c r="A287" s="29"/>
      <c r="B287" s="21"/>
      <c r="C287" s="20"/>
      <c r="D287" s="1184"/>
      <c r="E287" s="1183"/>
      <c r="F287" s="406"/>
      <c r="G287" s="406"/>
      <c r="H287" s="406"/>
      <c r="I287" s="407"/>
      <c r="J287" s="408"/>
      <c r="K287" s="761"/>
      <c r="L287" s="761"/>
      <c r="M287" s="761"/>
      <c r="N287" s="761"/>
      <c r="O287" s="761"/>
      <c r="P287" s="761"/>
      <c r="Q287" s="694"/>
      <c r="R287" s="509"/>
      <c r="S287" s="509"/>
    </row>
    <row r="288" spans="1:19" ht="16.5" customHeight="1" thickBot="1">
      <c r="A288" s="266" t="s">
        <v>679</v>
      </c>
      <c r="B288" s="175" t="s">
        <v>680</v>
      </c>
      <c r="C288" s="176" t="s">
        <v>681</v>
      </c>
      <c r="D288" s="1008"/>
      <c r="E288" s="175"/>
      <c r="F288" s="341"/>
      <c r="G288" s="341"/>
      <c r="H288" s="342">
        <f>SUM(H289:H291)</f>
        <v>0</v>
      </c>
      <c r="I288" s="343"/>
      <c r="J288" s="344">
        <f>SUM(J289:J290)</f>
        <v>0.211605</v>
      </c>
      <c r="K288" s="670"/>
      <c r="L288" s="670"/>
      <c r="M288" s="670"/>
      <c r="N288" s="670"/>
      <c r="O288" s="670"/>
      <c r="P288" s="670"/>
      <c r="Q288" s="670"/>
      <c r="R288" s="670"/>
      <c r="S288" s="670"/>
    </row>
    <row r="289" spans="1:19" s="300" customFormat="1" ht="26.25" customHeight="1">
      <c r="A289" s="738" t="s">
        <v>682</v>
      </c>
      <c r="B289" s="739" t="s">
        <v>683</v>
      </c>
      <c r="C289" s="740" t="s">
        <v>684</v>
      </c>
      <c r="D289" s="985" t="s">
        <v>2761</v>
      </c>
      <c r="E289" s="741" t="s">
        <v>1748</v>
      </c>
      <c r="F289" s="734">
        <v>221.34</v>
      </c>
      <c r="G289" s="742"/>
      <c r="H289" s="742">
        <f>F289*G289</f>
        <v>0</v>
      </c>
      <c r="I289" s="747">
        <v>0.00031</v>
      </c>
      <c r="J289" s="748">
        <f>F289*I289</f>
        <v>0.06861540000000001</v>
      </c>
      <c r="K289" s="743"/>
      <c r="L289" s="743"/>
      <c r="M289" s="744"/>
      <c r="N289" s="744"/>
      <c r="O289" s="744"/>
      <c r="P289" s="744"/>
      <c r="Q289" s="744"/>
      <c r="R289" s="744"/>
      <c r="S289" s="745"/>
    </row>
    <row r="290" spans="1:19" s="300" customFormat="1" ht="26.25" customHeight="1">
      <c r="A290" s="738" t="s">
        <v>686</v>
      </c>
      <c r="B290" s="739" t="s">
        <v>690</v>
      </c>
      <c r="C290" s="740" t="s">
        <v>691</v>
      </c>
      <c r="D290" s="985" t="s">
        <v>2761</v>
      </c>
      <c r="E290" s="741" t="s">
        <v>1748</v>
      </c>
      <c r="F290" s="734">
        <v>366.64</v>
      </c>
      <c r="G290" s="742"/>
      <c r="H290" s="742">
        <f>F290*G290</f>
        <v>0</v>
      </c>
      <c r="I290" s="747">
        <v>0.00039</v>
      </c>
      <c r="J290" s="748">
        <f>F290*I290</f>
        <v>0.1429896</v>
      </c>
      <c r="K290" s="743"/>
      <c r="L290" s="743"/>
      <c r="M290" s="744"/>
      <c r="N290" s="744"/>
      <c r="O290" s="744"/>
      <c r="P290" s="744"/>
      <c r="Q290" s="744"/>
      <c r="R290" s="744"/>
      <c r="S290" s="745"/>
    </row>
    <row r="291" spans="1:19" s="300" customFormat="1" ht="14.25" customHeight="1" thickBot="1">
      <c r="A291" s="738"/>
      <c r="B291" s="739"/>
      <c r="C291" s="740"/>
      <c r="D291" s="985"/>
      <c r="E291" s="741"/>
      <c r="F291" s="734"/>
      <c r="G291" s="742"/>
      <c r="H291" s="742"/>
      <c r="I291" s="392"/>
      <c r="J291" s="393"/>
      <c r="K291" s="743"/>
      <c r="L291" s="743"/>
      <c r="M291" s="744"/>
      <c r="N291" s="744"/>
      <c r="O291" s="744"/>
      <c r="P291" s="744"/>
      <c r="Q291" s="744"/>
      <c r="R291" s="744"/>
      <c r="S291" s="745"/>
    </row>
    <row r="292" spans="1:19" ht="16.5" customHeight="1" thickBot="1">
      <c r="A292" s="266" t="s">
        <v>695</v>
      </c>
      <c r="B292" s="175" t="s">
        <v>696</v>
      </c>
      <c r="C292" s="176" t="s">
        <v>697</v>
      </c>
      <c r="D292" s="1008"/>
      <c r="E292" s="175"/>
      <c r="F292" s="341"/>
      <c r="G292" s="341"/>
      <c r="H292" s="342">
        <f>SUM(H293:H295)</f>
        <v>0</v>
      </c>
      <c r="I292" s="343"/>
      <c r="J292" s="344">
        <f>SUM(J293:J295)</f>
        <v>0.06956399999999999</v>
      </c>
      <c r="K292" s="670"/>
      <c r="L292" s="670"/>
      <c r="M292" s="670"/>
      <c r="N292" s="670"/>
      <c r="O292" s="670"/>
      <c r="P292" s="670"/>
      <c r="Q292" s="670"/>
      <c r="R292" s="670"/>
      <c r="S292" s="670"/>
    </row>
    <row r="293" spans="1:19" s="300" customFormat="1" ht="19.5" customHeight="1">
      <c r="A293" s="738" t="s">
        <v>698</v>
      </c>
      <c r="B293" s="739" t="s">
        <v>699</v>
      </c>
      <c r="C293" s="740" t="s">
        <v>700</v>
      </c>
      <c r="D293" s="985" t="s">
        <v>2759</v>
      </c>
      <c r="E293" s="741" t="s">
        <v>1748</v>
      </c>
      <c r="F293" s="734">
        <f>316.2*0.85</f>
        <v>268.77</v>
      </c>
      <c r="G293" s="742"/>
      <c r="H293" s="742">
        <f>F293*G293</f>
        <v>0</v>
      </c>
      <c r="I293" s="747">
        <v>0</v>
      </c>
      <c r="J293" s="748">
        <f>F293*I293</f>
        <v>0</v>
      </c>
      <c r="K293" s="743"/>
      <c r="L293" s="743"/>
      <c r="M293" s="744"/>
      <c r="N293" s="744"/>
      <c r="O293" s="744"/>
      <c r="P293" s="744"/>
      <c r="Q293" s="744"/>
      <c r="R293" s="744"/>
      <c r="S293" s="745"/>
    </row>
    <row r="294" spans="1:19" s="300" customFormat="1" ht="19.5" customHeight="1">
      <c r="A294" s="738" t="s">
        <v>701</v>
      </c>
      <c r="B294" s="739" t="s">
        <v>702</v>
      </c>
      <c r="C294" s="740" t="s">
        <v>703</v>
      </c>
      <c r="D294" s="985" t="s">
        <v>2759</v>
      </c>
      <c r="E294" s="741" t="s">
        <v>1748</v>
      </c>
      <c r="F294" s="734">
        <v>316.2</v>
      </c>
      <c r="G294" s="742"/>
      <c r="H294" s="742">
        <f>F294*G294</f>
        <v>0</v>
      </c>
      <c r="I294" s="747">
        <v>7E-05</v>
      </c>
      <c r="J294" s="748">
        <f>F294*I294</f>
        <v>0.022133999999999997</v>
      </c>
      <c r="K294" s="743"/>
      <c r="L294" s="743"/>
      <c r="M294" s="744"/>
      <c r="N294" s="744"/>
      <c r="O294" s="744"/>
      <c r="P294" s="744"/>
      <c r="Q294" s="744"/>
      <c r="R294" s="744"/>
      <c r="S294" s="745"/>
    </row>
    <row r="295" spans="1:19" s="300" customFormat="1" ht="19.5" customHeight="1" thickBot="1">
      <c r="A295" s="738" t="s">
        <v>704</v>
      </c>
      <c r="B295" s="739" t="s">
        <v>705</v>
      </c>
      <c r="C295" s="740" t="s">
        <v>706</v>
      </c>
      <c r="D295" s="985" t="s">
        <v>2759</v>
      </c>
      <c r="E295" s="741" t="s">
        <v>1748</v>
      </c>
      <c r="F295" s="734">
        <f>F294</f>
        <v>316.2</v>
      </c>
      <c r="G295" s="742"/>
      <c r="H295" s="742">
        <f>F295*G295</f>
        <v>0</v>
      </c>
      <c r="I295" s="747">
        <v>0.00015</v>
      </c>
      <c r="J295" s="748">
        <f>F295*I295</f>
        <v>0.04742999999999999</v>
      </c>
      <c r="K295" s="743"/>
      <c r="L295" s="743"/>
      <c r="M295" s="744"/>
      <c r="N295" s="744"/>
      <c r="O295" s="744"/>
      <c r="P295" s="744"/>
      <c r="Q295" s="744"/>
      <c r="R295" s="744"/>
      <c r="S295" s="745"/>
    </row>
    <row r="296" spans="1:19" ht="16.5" customHeight="1" thickBot="1">
      <c r="A296" s="266" t="s">
        <v>805</v>
      </c>
      <c r="B296" s="175" t="s">
        <v>708</v>
      </c>
      <c r="C296" s="176" t="s">
        <v>709</v>
      </c>
      <c r="D296" s="1008"/>
      <c r="E296" s="175"/>
      <c r="F296" s="341"/>
      <c r="G296" s="341"/>
      <c r="H296" s="342">
        <f>SUM(H297:H299)</f>
        <v>0</v>
      </c>
      <c r="I296" s="343"/>
      <c r="J296" s="344">
        <f>SUM(J297:J299)</f>
        <v>0</v>
      </c>
      <c r="K296" s="670"/>
      <c r="L296" s="670"/>
      <c r="M296" s="670"/>
      <c r="N296" s="670"/>
      <c r="O296" s="670"/>
      <c r="P296" s="670"/>
      <c r="Q296" s="670"/>
      <c r="R296" s="670"/>
      <c r="S296" s="670"/>
    </row>
    <row r="297" spans="1:19" s="300" customFormat="1" ht="11.25" customHeight="1">
      <c r="A297" s="738"/>
      <c r="B297" s="739"/>
      <c r="C297" s="740"/>
      <c r="D297" s="985"/>
      <c r="E297" s="741"/>
      <c r="F297" s="734"/>
      <c r="G297" s="742"/>
      <c r="H297" s="742"/>
      <c r="I297" s="392"/>
      <c r="J297" s="393"/>
      <c r="K297" s="743"/>
      <c r="L297" s="743"/>
      <c r="M297" s="744"/>
      <c r="N297" s="744"/>
      <c r="O297" s="744"/>
      <c r="P297" s="744"/>
      <c r="Q297" s="744"/>
      <c r="R297" s="744"/>
      <c r="S297" s="745"/>
    </row>
    <row r="298" spans="1:19" s="300" customFormat="1" ht="29.25" customHeight="1">
      <c r="A298" s="738" t="s">
        <v>710</v>
      </c>
      <c r="B298" s="739" t="s">
        <v>711</v>
      </c>
      <c r="C298" s="740" t="s">
        <v>712</v>
      </c>
      <c r="D298" s="985" t="s">
        <v>2761</v>
      </c>
      <c r="E298" s="741" t="s">
        <v>2695</v>
      </c>
      <c r="F298" s="734">
        <v>1</v>
      </c>
      <c r="G298" s="742"/>
      <c r="H298" s="742">
        <f>F298*G298</f>
        <v>0</v>
      </c>
      <c r="I298" s="392">
        <v>0</v>
      </c>
      <c r="J298" s="393">
        <f>F298*I298</f>
        <v>0</v>
      </c>
      <c r="K298" s="743"/>
      <c r="L298" s="743"/>
      <c r="M298" s="744"/>
      <c r="N298" s="744"/>
      <c r="O298" s="744"/>
      <c r="P298" s="744"/>
      <c r="Q298" s="744"/>
      <c r="R298" s="744"/>
      <c r="S298" s="745"/>
    </row>
    <row r="299" spans="1:19" s="300" customFormat="1" ht="13.5" customHeight="1" thickBot="1">
      <c r="A299" s="738"/>
      <c r="B299" s="739"/>
      <c r="C299" s="740"/>
      <c r="D299" s="985"/>
      <c r="E299" s="741"/>
      <c r="F299" s="734"/>
      <c r="G299" s="742"/>
      <c r="H299" s="742"/>
      <c r="I299" s="392"/>
      <c r="J299" s="393"/>
      <c r="K299" s="743"/>
      <c r="L299" s="743"/>
      <c r="M299" s="744"/>
      <c r="N299" s="744"/>
      <c r="O299" s="744"/>
      <c r="P299" s="744"/>
      <c r="Q299" s="744"/>
      <c r="R299" s="744"/>
      <c r="S299" s="745"/>
    </row>
    <row r="300" spans="1:19" ht="16.5" customHeight="1" thickBot="1">
      <c r="A300" s="266"/>
      <c r="B300" s="175"/>
      <c r="C300" s="176"/>
      <c r="D300" s="1008"/>
      <c r="E300" s="175"/>
      <c r="F300" s="341"/>
      <c r="G300" s="341"/>
      <c r="H300" s="342"/>
      <c r="I300" s="343"/>
      <c r="J300" s="344"/>
      <c r="K300" s="670"/>
      <c r="L300" s="670"/>
      <c r="M300" s="670"/>
      <c r="N300" s="670"/>
      <c r="O300" s="670"/>
      <c r="P300" s="670"/>
      <c r="Q300" s="670"/>
      <c r="R300" s="670"/>
      <c r="S300" s="670"/>
    </row>
    <row r="301" spans="1:19" ht="15">
      <c r="A301" s="24"/>
      <c r="B301" s="186"/>
      <c r="C301" s="186"/>
      <c r="D301" s="187"/>
      <c r="E301" s="187"/>
      <c r="F301" s="409"/>
      <c r="G301" s="409"/>
      <c r="H301" s="409"/>
      <c r="I301" s="410"/>
      <c r="J301" s="411"/>
      <c r="K301" s="761"/>
      <c r="L301" s="761"/>
      <c r="M301" s="761"/>
      <c r="N301" s="761"/>
      <c r="O301" s="761"/>
      <c r="P301" s="761"/>
      <c r="Q301" s="762"/>
      <c r="R301" s="670"/>
      <c r="S301" s="670"/>
    </row>
    <row r="302" spans="1:20" s="577" customFormat="1" ht="24" customHeight="1" thickBot="1">
      <c r="A302" s="753"/>
      <c r="B302" s="754"/>
      <c r="C302" s="755" t="s">
        <v>716</v>
      </c>
      <c r="D302" s="756"/>
      <c r="E302" s="756"/>
      <c r="F302" s="754"/>
      <c r="G302" s="754"/>
      <c r="H302" s="757">
        <f>H296+H292+H288+H286+H267+H255+H240+H238+H233+H231+H222+H205+H190+H145+H135+H130+H97+H92+H62+H54+H38+H36+H34+H29+H18</f>
        <v>0</v>
      </c>
      <c r="I302" s="758"/>
      <c r="J302" s="759"/>
      <c r="K302" s="760"/>
      <c r="L302" s="760"/>
      <c r="M302" s="760"/>
      <c r="N302" s="760"/>
      <c r="O302" s="760"/>
      <c r="P302" s="760"/>
      <c r="Q302" s="760"/>
      <c r="R302" s="760"/>
      <c r="S302" s="760"/>
      <c r="T302" s="760"/>
    </row>
    <row r="303" spans="6:19" ht="12.75">
      <c r="F303" s="412"/>
      <c r="G303" s="412"/>
      <c r="H303" s="412"/>
      <c r="I303" s="413"/>
      <c r="J303" s="413"/>
      <c r="K303" s="761"/>
      <c r="L303" s="761"/>
      <c r="M303" s="761"/>
      <c r="N303" s="761"/>
      <c r="O303" s="761"/>
      <c r="P303" s="761"/>
      <c r="Q303" s="762"/>
      <c r="R303" s="670"/>
      <c r="S303" s="670"/>
    </row>
    <row r="304" spans="6:19" ht="12.75">
      <c r="F304" s="412"/>
      <c r="G304" s="412"/>
      <c r="H304" s="412"/>
      <c r="I304" s="413"/>
      <c r="J304" s="413"/>
      <c r="K304" s="761"/>
      <c r="L304" s="761"/>
      <c r="M304" s="761"/>
      <c r="N304" s="761"/>
      <c r="O304" s="761"/>
      <c r="P304" s="761"/>
      <c r="Q304" s="762"/>
      <c r="R304" s="670"/>
      <c r="S304" s="670"/>
    </row>
    <row r="305" spans="6:19" ht="12.75">
      <c r="F305" s="412"/>
      <c r="G305" s="412"/>
      <c r="H305" s="412"/>
      <c r="I305" s="413"/>
      <c r="J305" s="413"/>
      <c r="K305" s="761"/>
      <c r="L305" s="761"/>
      <c r="M305" s="761"/>
      <c r="N305" s="761"/>
      <c r="O305" s="761"/>
      <c r="P305" s="761"/>
      <c r="Q305" s="762"/>
      <c r="R305" s="670"/>
      <c r="S305" s="670"/>
    </row>
    <row r="306" spans="6:19" ht="12.75">
      <c r="F306" s="412"/>
      <c r="G306" s="412"/>
      <c r="H306" s="412"/>
      <c r="I306" s="413"/>
      <c r="J306" s="413"/>
      <c r="K306" s="761"/>
      <c r="L306" s="761"/>
      <c r="M306" s="761"/>
      <c r="N306" s="761"/>
      <c r="O306" s="761"/>
      <c r="P306" s="761"/>
      <c r="Q306" s="762"/>
      <c r="R306" s="670"/>
      <c r="S306" s="670"/>
    </row>
    <row r="307" spans="6:19" ht="12.75">
      <c r="F307" s="412"/>
      <c r="G307" s="412"/>
      <c r="H307" s="412"/>
      <c r="I307" s="413"/>
      <c r="J307" s="413"/>
      <c r="K307" s="761"/>
      <c r="L307" s="761"/>
      <c r="M307" s="761"/>
      <c r="N307" s="761"/>
      <c r="O307" s="761"/>
      <c r="P307" s="761"/>
      <c r="Q307" s="762"/>
      <c r="R307" s="670"/>
      <c r="S307" s="670"/>
    </row>
    <row r="308" spans="6:19" ht="12.75">
      <c r="F308" s="412"/>
      <c r="G308" s="412"/>
      <c r="H308" s="412"/>
      <c r="I308" s="413"/>
      <c r="J308" s="413"/>
      <c r="K308" s="761"/>
      <c r="L308" s="761"/>
      <c r="M308" s="761"/>
      <c r="N308" s="761"/>
      <c r="O308" s="761"/>
      <c r="P308" s="761"/>
      <c r="Q308" s="762"/>
      <c r="R308" s="670"/>
      <c r="S308" s="670"/>
    </row>
    <row r="309" spans="6:19" ht="12.75">
      <c r="F309" s="412"/>
      <c r="G309" s="412"/>
      <c r="H309" s="412"/>
      <c r="I309" s="413"/>
      <c r="J309" s="413"/>
      <c r="K309" s="761"/>
      <c r="L309" s="761"/>
      <c r="M309" s="761"/>
      <c r="N309" s="761"/>
      <c r="O309" s="761"/>
      <c r="P309" s="761"/>
      <c r="Q309" s="762"/>
      <c r="R309" s="670"/>
      <c r="S309" s="670"/>
    </row>
    <row r="310" spans="6:19" ht="12.75">
      <c r="F310" s="412"/>
      <c r="G310" s="412"/>
      <c r="H310" s="412"/>
      <c r="I310" s="413"/>
      <c r="J310" s="413"/>
      <c r="K310" s="761"/>
      <c r="L310" s="761"/>
      <c r="M310" s="761"/>
      <c r="N310" s="761"/>
      <c r="O310" s="761"/>
      <c r="P310" s="761"/>
      <c r="Q310" s="762"/>
      <c r="R310" s="670"/>
      <c r="S310" s="670"/>
    </row>
    <row r="311" spans="6:19" ht="12.75">
      <c r="F311" s="412"/>
      <c r="G311" s="412"/>
      <c r="H311" s="412"/>
      <c r="I311" s="413"/>
      <c r="J311" s="413"/>
      <c r="K311" s="761"/>
      <c r="L311" s="761"/>
      <c r="M311" s="761"/>
      <c r="N311" s="761"/>
      <c r="O311" s="761"/>
      <c r="P311" s="761"/>
      <c r="Q311" s="762"/>
      <c r="R311" s="670"/>
      <c r="S311" s="670"/>
    </row>
    <row r="312" spans="6:19" ht="12.75">
      <c r="F312" s="412"/>
      <c r="G312" s="412"/>
      <c r="H312" s="412"/>
      <c r="I312" s="413"/>
      <c r="J312" s="413"/>
      <c r="K312" s="761"/>
      <c r="L312" s="761"/>
      <c r="M312" s="761"/>
      <c r="N312" s="761"/>
      <c r="O312" s="761"/>
      <c r="P312" s="761"/>
      <c r="Q312" s="762"/>
      <c r="R312" s="670"/>
      <c r="S312" s="670"/>
    </row>
    <row r="313" spans="6:19" ht="12.75">
      <c r="F313" s="412"/>
      <c r="G313" s="412"/>
      <c r="H313" s="412"/>
      <c r="I313" s="413"/>
      <c r="J313" s="413"/>
      <c r="K313" s="761"/>
      <c r="L313" s="761"/>
      <c r="M313" s="761"/>
      <c r="N313" s="761"/>
      <c r="O313" s="761"/>
      <c r="P313" s="761"/>
      <c r="Q313" s="762"/>
      <c r="R313" s="670"/>
      <c r="S313" s="670"/>
    </row>
    <row r="314" spans="6:19" ht="12.75">
      <c r="F314" s="412"/>
      <c r="G314" s="412"/>
      <c r="H314" s="412"/>
      <c r="I314" s="413"/>
      <c r="J314" s="413"/>
      <c r="K314" s="761"/>
      <c r="L314" s="761"/>
      <c r="M314" s="761"/>
      <c r="N314" s="761"/>
      <c r="O314" s="761"/>
      <c r="P314" s="761"/>
      <c r="Q314" s="762"/>
      <c r="R314" s="670"/>
      <c r="S314" s="670"/>
    </row>
    <row r="315" spans="6:19" ht="12.75">
      <c r="F315" s="412"/>
      <c r="G315" s="412"/>
      <c r="H315" s="412"/>
      <c r="I315" s="413"/>
      <c r="J315" s="413"/>
      <c r="K315" s="761"/>
      <c r="L315" s="761"/>
      <c r="M315" s="761"/>
      <c r="N315" s="761"/>
      <c r="O315" s="761"/>
      <c r="P315" s="761"/>
      <c r="Q315" s="762"/>
      <c r="R315" s="670"/>
      <c r="S315" s="670"/>
    </row>
    <row r="316" spans="6:19" ht="12.75">
      <c r="F316" s="412"/>
      <c r="G316" s="412"/>
      <c r="H316" s="412"/>
      <c r="I316" s="413"/>
      <c r="J316" s="413"/>
      <c r="K316" s="761"/>
      <c r="L316" s="761"/>
      <c r="M316" s="761"/>
      <c r="N316" s="761"/>
      <c r="O316" s="761"/>
      <c r="P316" s="761"/>
      <c r="Q316" s="762"/>
      <c r="R316" s="670"/>
      <c r="S316" s="670"/>
    </row>
    <row r="317" spans="6:19" ht="12.75">
      <c r="F317" s="412"/>
      <c r="G317" s="412"/>
      <c r="H317" s="412"/>
      <c r="I317" s="413"/>
      <c r="J317" s="413"/>
      <c r="K317" s="761"/>
      <c r="L317" s="761"/>
      <c r="M317" s="761"/>
      <c r="N317" s="761"/>
      <c r="O317" s="761"/>
      <c r="P317" s="761"/>
      <c r="Q317" s="762"/>
      <c r="R317" s="670"/>
      <c r="S317" s="670"/>
    </row>
    <row r="318" spans="6:10" ht="12.75">
      <c r="F318" s="412"/>
      <c r="G318" s="412"/>
      <c r="H318" s="412"/>
      <c r="I318" s="413"/>
      <c r="J318" s="413"/>
    </row>
    <row r="319" spans="6:10" ht="12.75">
      <c r="F319" s="412"/>
      <c r="G319" s="412"/>
      <c r="H319" s="412"/>
      <c r="I319" s="413"/>
      <c r="J319" s="413"/>
    </row>
    <row r="320" spans="6:10" ht="12.75">
      <c r="F320" s="412"/>
      <c r="G320" s="412"/>
      <c r="H320" s="412"/>
      <c r="I320" s="413"/>
      <c r="J320" s="413"/>
    </row>
    <row r="321" spans="6:10" ht="12.75">
      <c r="F321" s="412"/>
      <c r="G321" s="412"/>
      <c r="H321" s="412"/>
      <c r="I321" s="413"/>
      <c r="J321" s="413"/>
    </row>
    <row r="322" spans="6:10" ht="12.75">
      <c r="F322" s="412"/>
      <c r="G322" s="412"/>
      <c r="H322" s="412"/>
      <c r="I322" s="413"/>
      <c r="J322" s="413"/>
    </row>
    <row r="323" spans="6:10" ht="12.75">
      <c r="F323" s="412"/>
      <c r="G323" s="412"/>
      <c r="H323" s="412"/>
      <c r="I323" s="413"/>
      <c r="J323" s="413"/>
    </row>
    <row r="324" spans="6:10" ht="12.75">
      <c r="F324" s="412"/>
      <c r="G324" s="412"/>
      <c r="H324" s="412"/>
      <c r="I324" s="413"/>
      <c r="J324" s="413"/>
    </row>
    <row r="325" spans="6:10" ht="12.75">
      <c r="F325" s="412"/>
      <c r="G325" s="412"/>
      <c r="H325" s="412"/>
      <c r="I325" s="413"/>
      <c r="J325" s="413"/>
    </row>
    <row r="326" spans="6:10" ht="12.75">
      <c r="F326" s="412"/>
      <c r="G326" s="412"/>
      <c r="H326" s="412"/>
      <c r="I326" s="413"/>
      <c r="J326" s="413"/>
    </row>
    <row r="327" spans="6:10" ht="12.75">
      <c r="F327" s="412"/>
      <c r="G327" s="412"/>
      <c r="H327" s="412"/>
      <c r="I327" s="413"/>
      <c r="J327" s="413"/>
    </row>
    <row r="328" spans="6:10" ht="12.75">
      <c r="F328" s="412"/>
      <c r="G328" s="412"/>
      <c r="H328" s="412"/>
      <c r="I328" s="413"/>
      <c r="J328" s="413"/>
    </row>
    <row r="329" spans="6:10" ht="12.75">
      <c r="F329" s="412"/>
      <c r="G329" s="412"/>
      <c r="H329" s="412"/>
      <c r="I329" s="413"/>
      <c r="J329" s="413"/>
    </row>
    <row r="330" spans="6:10" ht="12.75">
      <c r="F330" s="412"/>
      <c r="G330" s="412"/>
      <c r="H330" s="412"/>
      <c r="I330" s="413"/>
      <c r="J330" s="413"/>
    </row>
    <row r="331" spans="6:10" ht="12.75">
      <c r="F331" s="412"/>
      <c r="G331" s="412"/>
      <c r="H331" s="412"/>
      <c r="I331" s="413"/>
      <c r="J331" s="413"/>
    </row>
    <row r="332" spans="6:10" ht="12.75">
      <c r="F332" s="412"/>
      <c r="G332" s="412"/>
      <c r="H332" s="412"/>
      <c r="I332" s="413"/>
      <c r="J332" s="413"/>
    </row>
    <row r="333" spans="6:10" ht="12.75">
      <c r="F333" s="412"/>
      <c r="G333" s="412"/>
      <c r="H333" s="412"/>
      <c r="I333" s="413"/>
      <c r="J333" s="413"/>
    </row>
    <row r="334" spans="6:10" ht="12.75">
      <c r="F334" s="412"/>
      <c r="G334" s="412"/>
      <c r="H334" s="412"/>
      <c r="I334" s="413"/>
      <c r="J334" s="413"/>
    </row>
    <row r="335" spans="6:10" ht="12.75">
      <c r="F335" s="412"/>
      <c r="G335" s="412"/>
      <c r="H335" s="412"/>
      <c r="I335" s="413"/>
      <c r="J335" s="413"/>
    </row>
    <row r="336" spans="6:10" ht="12.75">
      <c r="F336" s="412"/>
      <c r="G336" s="412"/>
      <c r="H336" s="412"/>
      <c r="I336" s="413"/>
      <c r="J336" s="413"/>
    </row>
    <row r="337" spans="6:10" ht="12.75">
      <c r="F337" s="412"/>
      <c r="G337" s="412"/>
      <c r="H337" s="412"/>
      <c r="I337" s="413"/>
      <c r="J337" s="413"/>
    </row>
    <row r="338" spans="6:10" ht="12.75">
      <c r="F338" s="412"/>
      <c r="G338" s="412"/>
      <c r="H338" s="412"/>
      <c r="I338" s="413"/>
      <c r="J338" s="413"/>
    </row>
    <row r="339" spans="6:10" ht="12.75">
      <c r="F339" s="412"/>
      <c r="G339" s="412"/>
      <c r="H339" s="412"/>
      <c r="I339" s="413"/>
      <c r="J339" s="413"/>
    </row>
    <row r="340" spans="6:10" ht="12.75">
      <c r="F340" s="412"/>
      <c r="G340" s="412"/>
      <c r="H340" s="412"/>
      <c r="I340" s="413"/>
      <c r="J340" s="413"/>
    </row>
    <row r="341" spans="6:10" ht="12.75">
      <c r="F341" s="412"/>
      <c r="G341" s="412"/>
      <c r="H341" s="412"/>
      <c r="I341" s="413"/>
      <c r="J341" s="413"/>
    </row>
    <row r="342" spans="6:10" ht="12.75">
      <c r="F342" s="412"/>
      <c r="G342" s="412"/>
      <c r="H342" s="412"/>
      <c r="I342" s="413"/>
      <c r="J342" s="413"/>
    </row>
    <row r="343" spans="6:10" ht="12.75">
      <c r="F343" s="412"/>
      <c r="G343" s="412"/>
      <c r="H343" s="412"/>
      <c r="I343" s="413"/>
      <c r="J343" s="413"/>
    </row>
    <row r="344" spans="6:10" ht="12.75">
      <c r="F344" s="412"/>
      <c r="G344" s="412"/>
      <c r="H344" s="412"/>
      <c r="I344" s="413"/>
      <c r="J344" s="413"/>
    </row>
    <row r="345" spans="6:10" ht="12.75">
      <c r="F345" s="412"/>
      <c r="G345" s="412"/>
      <c r="H345" s="412"/>
      <c r="I345" s="413"/>
      <c r="J345" s="413"/>
    </row>
    <row r="346" spans="6:10" ht="12.75">
      <c r="F346" s="412"/>
      <c r="G346" s="412"/>
      <c r="H346" s="412"/>
      <c r="I346" s="413"/>
      <c r="J346" s="413"/>
    </row>
  </sheetData>
  <mergeCells count="21">
    <mergeCell ref="F2:F3"/>
    <mergeCell ref="C2:C3"/>
    <mergeCell ref="C4:C5"/>
    <mergeCell ref="F4:F5"/>
    <mergeCell ref="D2:E3"/>
    <mergeCell ref="D4:E5"/>
    <mergeCell ref="G2:G3"/>
    <mergeCell ref="G4:G5"/>
    <mergeCell ref="H2:J3"/>
    <mergeCell ref="H4:J5"/>
    <mergeCell ref="H6:J7"/>
    <mergeCell ref="G14:H14"/>
    <mergeCell ref="G6:G7"/>
    <mergeCell ref="I14:J14"/>
    <mergeCell ref="C8:C9"/>
    <mergeCell ref="D8:F9"/>
    <mergeCell ref="G8:G9"/>
    <mergeCell ref="H8:J9"/>
    <mergeCell ref="C6:C7"/>
    <mergeCell ref="D6:E7"/>
    <mergeCell ref="F6:F7"/>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BH286"/>
  <sheetViews>
    <sheetView showGridLines="0" view="pageBreakPreview" zoomScaleSheetLayoutView="100" workbookViewId="0" topLeftCell="A1">
      <selection activeCell="E1" sqref="D1:E1"/>
    </sheetView>
  </sheetViews>
  <sheetFormatPr defaultColWidth="9.140625" defaultRowHeight="12.75"/>
  <cols>
    <col min="1" max="1" width="5.28125" style="28" customWidth="1"/>
    <col min="2" max="2" width="14.7109375" style="0" customWidth="1"/>
    <col min="3" max="3" width="45.421875" style="0" customWidth="1"/>
    <col min="4" max="4" width="10.7109375" style="987" customWidth="1"/>
    <col min="5" max="5" width="8.28125" style="33" customWidth="1"/>
    <col min="6" max="6" width="9.57421875" style="0" customWidth="1"/>
    <col min="7" max="7" width="10.8515625" style="0" customWidth="1"/>
    <col min="8" max="8" width="14.00390625" style="0" customWidth="1"/>
    <col min="9" max="9" width="9.140625" style="12" customWidth="1"/>
    <col min="10" max="10" width="10.140625" style="12" customWidth="1"/>
    <col min="11" max="14" width="7.28125" style="583" customWidth="1"/>
    <col min="15" max="16" width="9.140625" style="583" customWidth="1"/>
    <col min="17" max="17" width="9.140625" style="584" customWidth="1"/>
    <col min="18" max="20" width="9.140625" style="579" customWidth="1"/>
  </cols>
  <sheetData>
    <row r="1" spans="1:20" ht="23.25">
      <c r="A1" s="23"/>
      <c r="B1" s="13"/>
      <c r="C1" s="14" t="s">
        <v>1683</v>
      </c>
      <c r="D1" s="13"/>
      <c r="E1" s="13"/>
      <c r="F1" s="13"/>
      <c r="G1" s="13"/>
      <c r="H1" s="13"/>
      <c r="I1" s="15"/>
      <c r="J1" s="16"/>
      <c r="K1" s="761"/>
      <c r="L1" s="761"/>
      <c r="M1" s="761"/>
      <c r="N1" s="761"/>
      <c r="O1" s="761"/>
      <c r="P1" s="761"/>
      <c r="Q1" s="762"/>
      <c r="R1" s="670"/>
      <c r="S1" s="670"/>
      <c r="T1" s="670"/>
    </row>
    <row r="2" spans="1:20" ht="12.75">
      <c r="A2" s="24"/>
      <c r="B2" s="653"/>
      <c r="C2" s="1310" t="s">
        <v>1684</v>
      </c>
      <c r="D2" s="1308" t="s">
        <v>1685</v>
      </c>
      <c r="E2" s="1308"/>
      <c r="F2" s="1308"/>
      <c r="G2" s="1320" t="s">
        <v>1686</v>
      </c>
      <c r="H2" s="1324" t="s">
        <v>1687</v>
      </c>
      <c r="I2" s="1325"/>
      <c r="J2" s="1326"/>
      <c r="K2" s="761"/>
      <c r="L2" s="761"/>
      <c r="M2" s="761"/>
      <c r="N2" s="761"/>
      <c r="O2" s="761"/>
      <c r="P2" s="761"/>
      <c r="Q2" s="762"/>
      <c r="R2" s="670"/>
      <c r="S2" s="670"/>
      <c r="T2" s="670"/>
    </row>
    <row r="3" spans="1:20" ht="12.75">
      <c r="A3" s="24"/>
      <c r="B3" s="652"/>
      <c r="C3" s="1311"/>
      <c r="D3" s="1309"/>
      <c r="E3" s="1309"/>
      <c r="F3" s="1309"/>
      <c r="G3" s="1321"/>
      <c r="H3" s="1316"/>
      <c r="I3" s="1316"/>
      <c r="J3" s="1317"/>
      <c r="K3" s="761"/>
      <c r="L3" s="761"/>
      <c r="M3" s="761"/>
      <c r="N3" s="761"/>
      <c r="O3" s="761"/>
      <c r="P3" s="761"/>
      <c r="Q3" s="762"/>
      <c r="R3" s="670"/>
      <c r="S3" s="670"/>
      <c r="T3" s="670"/>
    </row>
    <row r="4" spans="1:20" ht="12.75">
      <c r="A4" s="24"/>
      <c r="B4" s="652"/>
      <c r="C4" s="1309" t="s">
        <v>1688</v>
      </c>
      <c r="D4" s="1309" t="s">
        <v>1689</v>
      </c>
      <c r="E4" s="1309"/>
      <c r="F4" s="1327"/>
      <c r="G4" s="1321" t="s">
        <v>1690</v>
      </c>
      <c r="H4" s="1315" t="s">
        <v>1586</v>
      </c>
      <c r="I4" s="1315"/>
      <c r="J4" s="1328"/>
      <c r="K4" s="761"/>
      <c r="L4" s="761"/>
      <c r="M4" s="761"/>
      <c r="N4" s="761"/>
      <c r="O4" s="761"/>
      <c r="P4" s="761"/>
      <c r="Q4" s="762"/>
      <c r="R4" s="670"/>
      <c r="S4" s="670"/>
      <c r="T4" s="670"/>
    </row>
    <row r="5" spans="1:20" ht="12.75">
      <c r="A5" s="24"/>
      <c r="B5" s="652"/>
      <c r="C5" s="1312"/>
      <c r="D5" s="1309"/>
      <c r="E5" s="1309"/>
      <c r="F5" s="1327"/>
      <c r="G5" s="1321"/>
      <c r="H5" s="1315"/>
      <c r="I5" s="1315"/>
      <c r="J5" s="1328"/>
      <c r="K5" s="761"/>
      <c r="L5" s="761"/>
      <c r="M5" s="761"/>
      <c r="N5" s="761"/>
      <c r="O5" s="761"/>
      <c r="P5" s="761"/>
      <c r="Q5" s="762"/>
      <c r="R5" s="670"/>
      <c r="S5" s="670"/>
      <c r="T5" s="670"/>
    </row>
    <row r="6" spans="1:20" ht="12.75">
      <c r="A6" s="24"/>
      <c r="B6" s="652"/>
      <c r="C6" s="1309" t="s">
        <v>1580</v>
      </c>
      <c r="D6" s="1309" t="s">
        <v>1691</v>
      </c>
      <c r="E6" s="1309"/>
      <c r="F6" s="1327"/>
      <c r="G6" s="1321" t="s">
        <v>1692</v>
      </c>
      <c r="H6" s="1315"/>
      <c r="I6" s="1316"/>
      <c r="J6" s="1317"/>
      <c r="K6" s="761"/>
      <c r="L6" s="761"/>
      <c r="M6" s="761"/>
      <c r="N6" s="761"/>
      <c r="O6" s="761"/>
      <c r="P6" s="761"/>
      <c r="Q6" s="762"/>
      <c r="R6" s="670"/>
      <c r="S6" s="670"/>
      <c r="T6" s="670"/>
    </row>
    <row r="7" spans="1:20" ht="12.75">
      <c r="A7" s="24"/>
      <c r="B7" s="652"/>
      <c r="C7" s="1312"/>
      <c r="D7" s="1309"/>
      <c r="E7" s="1309"/>
      <c r="F7" s="1327"/>
      <c r="G7" s="1321"/>
      <c r="H7" s="1316"/>
      <c r="I7" s="1316"/>
      <c r="J7" s="1317"/>
      <c r="K7" s="761"/>
      <c r="L7" s="761"/>
      <c r="M7" s="761"/>
      <c r="N7" s="761"/>
      <c r="O7" s="761"/>
      <c r="P7" s="761"/>
      <c r="Q7" s="762"/>
      <c r="R7" s="670"/>
      <c r="S7" s="670"/>
      <c r="T7" s="670"/>
    </row>
    <row r="8" spans="1:20" ht="12.75">
      <c r="A8" s="24"/>
      <c r="B8" s="652"/>
      <c r="C8" s="1306" t="s">
        <v>806</v>
      </c>
      <c r="D8" s="1313" t="s">
        <v>2830</v>
      </c>
      <c r="E8" s="1314"/>
      <c r="F8" s="1314"/>
      <c r="G8" s="1321" t="s">
        <v>1693</v>
      </c>
      <c r="H8" s="1315" t="s">
        <v>1586</v>
      </c>
      <c r="I8" s="1316"/>
      <c r="J8" s="1317"/>
      <c r="K8" s="761"/>
      <c r="L8" s="761"/>
      <c r="M8" s="761"/>
      <c r="N8" s="761"/>
      <c r="O8" s="761"/>
      <c r="P8" s="761"/>
      <c r="Q8" s="762"/>
      <c r="R8" s="670"/>
      <c r="S8" s="670"/>
      <c r="T8" s="670"/>
    </row>
    <row r="9" spans="1:20" ht="12.75">
      <c r="A9" s="24"/>
      <c r="B9" s="652"/>
      <c r="C9" s="1329"/>
      <c r="D9" s="1314"/>
      <c r="E9" s="1314"/>
      <c r="F9" s="1314"/>
      <c r="G9" s="1321"/>
      <c r="H9" s="1316"/>
      <c r="I9" s="1316"/>
      <c r="J9" s="1317"/>
      <c r="K9" s="761"/>
      <c r="L9" s="761"/>
      <c r="M9" s="761"/>
      <c r="N9" s="761"/>
      <c r="O9" s="761"/>
      <c r="P9" s="761"/>
      <c r="Q9" s="762"/>
      <c r="R9" s="670"/>
      <c r="S9" s="670"/>
      <c r="T9" s="670"/>
    </row>
    <row r="10" spans="1:20" s="18" customFormat="1" ht="15" customHeight="1">
      <c r="A10" s="25"/>
      <c r="B10" s="652"/>
      <c r="C10" s="1015"/>
      <c r="D10" s="1021" t="s">
        <v>2748</v>
      </c>
      <c r="E10" s="1020"/>
      <c r="F10" s="1020"/>
      <c r="G10" s="1000"/>
      <c r="H10" s="1001"/>
      <c r="I10" s="1001"/>
      <c r="J10" s="1002"/>
      <c r="K10" s="671"/>
      <c r="L10" s="671"/>
      <c r="M10" s="671"/>
      <c r="N10" s="671"/>
      <c r="O10" s="671"/>
      <c r="P10" s="671"/>
      <c r="Q10" s="671"/>
      <c r="R10" s="671"/>
      <c r="S10" s="671"/>
      <c r="T10" s="671"/>
    </row>
    <row r="11" spans="1:20" s="18" customFormat="1" ht="16.5" customHeight="1">
      <c r="A11" s="25"/>
      <c r="B11" s="652"/>
      <c r="C11" s="1015"/>
      <c r="D11" s="1035" t="s">
        <v>2828</v>
      </c>
      <c r="E11" s="1035"/>
      <c r="F11" s="1035"/>
      <c r="G11" s="1000"/>
      <c r="H11" s="1001"/>
      <c r="I11" s="1001"/>
      <c r="J11" s="1002"/>
      <c r="O11" s="512"/>
      <c r="P11" s="512"/>
      <c r="T11" s="671"/>
    </row>
    <row r="12" spans="1:20" s="18" customFormat="1" ht="16.5" customHeight="1" thickBot="1">
      <c r="A12" s="889"/>
      <c r="B12" s="890"/>
      <c r="C12" s="891"/>
      <c r="D12" s="1036" t="s">
        <v>2834</v>
      </c>
      <c r="E12" s="1036"/>
      <c r="F12" s="1036"/>
      <c r="G12" s="892"/>
      <c r="H12" s="893"/>
      <c r="I12" s="893"/>
      <c r="J12" s="894"/>
      <c r="O12" s="512"/>
      <c r="P12" s="512"/>
      <c r="T12" s="671"/>
    </row>
    <row r="13" spans="1:20" ht="13.5" thickBot="1">
      <c r="A13" s="160"/>
      <c r="B13" s="161"/>
      <c r="C13" s="162"/>
      <c r="D13" s="1129"/>
      <c r="E13" s="161"/>
      <c r="F13" s="161"/>
      <c r="G13" s="161"/>
      <c r="H13" s="161"/>
      <c r="I13" s="163"/>
      <c r="J13" s="164"/>
      <c r="K13" s="670"/>
      <c r="L13" s="670"/>
      <c r="M13" s="670"/>
      <c r="N13" s="670"/>
      <c r="O13" s="670"/>
      <c r="P13" s="670"/>
      <c r="Q13" s="670"/>
      <c r="R13" s="670"/>
      <c r="S13" s="670"/>
      <c r="T13" s="670"/>
    </row>
    <row r="14" spans="1:20" s="18" customFormat="1" ht="12.75">
      <c r="A14" s="25"/>
      <c r="B14" s="17" t="s">
        <v>1694</v>
      </c>
      <c r="C14" s="2" t="s">
        <v>1694</v>
      </c>
      <c r="D14" s="1180"/>
      <c r="E14" s="30" t="s">
        <v>1694</v>
      </c>
      <c r="F14" s="2" t="s">
        <v>1694</v>
      </c>
      <c r="G14" s="1322" t="s">
        <v>1695</v>
      </c>
      <c r="H14" s="1323"/>
      <c r="I14" s="1318" t="s">
        <v>1696</v>
      </c>
      <c r="J14" s="1319"/>
      <c r="K14" s="763"/>
      <c r="L14" s="763"/>
      <c r="M14" s="763"/>
      <c r="N14" s="763"/>
      <c r="O14" s="763"/>
      <c r="P14" s="763"/>
      <c r="Q14" s="764"/>
      <c r="R14" s="671"/>
      <c r="S14" s="671"/>
      <c r="T14" s="671"/>
    </row>
    <row r="15" spans="1:20" s="18" customFormat="1" ht="13.5" thickBot="1">
      <c r="A15" s="26"/>
      <c r="B15" s="19" t="s">
        <v>1697</v>
      </c>
      <c r="C15" s="4" t="s">
        <v>1698</v>
      </c>
      <c r="D15" s="924" t="s">
        <v>2751</v>
      </c>
      <c r="E15" s="6" t="s">
        <v>1699</v>
      </c>
      <c r="F15" s="6" t="s">
        <v>1700</v>
      </c>
      <c r="G15" s="7" t="s">
        <v>1701</v>
      </c>
      <c r="H15" s="8" t="s">
        <v>1702</v>
      </c>
      <c r="I15" s="10" t="s">
        <v>1701</v>
      </c>
      <c r="J15" s="11" t="s">
        <v>1702</v>
      </c>
      <c r="K15" s="763"/>
      <c r="L15" s="763"/>
      <c r="M15" s="763"/>
      <c r="N15" s="763"/>
      <c r="O15" s="763"/>
      <c r="P15" s="763"/>
      <c r="Q15" s="764"/>
      <c r="R15" s="671"/>
      <c r="S15" s="671"/>
      <c r="T15" s="671"/>
    </row>
    <row r="16" spans="1:20" ht="16.5" customHeight="1" thickBot="1">
      <c r="A16" s="266"/>
      <c r="B16" s="175"/>
      <c r="C16" s="176"/>
      <c r="D16" s="1008"/>
      <c r="E16" s="175"/>
      <c r="F16" s="175"/>
      <c r="G16" s="175"/>
      <c r="H16" s="185"/>
      <c r="I16" s="177"/>
      <c r="J16" s="178"/>
      <c r="K16" s="670"/>
      <c r="L16" s="670"/>
      <c r="M16" s="670"/>
      <c r="N16" s="670"/>
      <c r="O16" s="670"/>
      <c r="P16" s="670"/>
      <c r="Q16" s="670"/>
      <c r="R16" s="670"/>
      <c r="S16" s="670"/>
      <c r="T16" s="670"/>
    </row>
    <row r="17" spans="1:20" s="18" customFormat="1" ht="16.5" customHeight="1" thickBot="1">
      <c r="A17" s="27"/>
      <c r="B17" s="122"/>
      <c r="C17" s="122" t="s">
        <v>1703</v>
      </c>
      <c r="D17" s="1181"/>
      <c r="E17" s="123"/>
      <c r="F17" s="123"/>
      <c r="G17" s="124"/>
      <c r="H17" s="125">
        <f>H18+H28+H35+H37+H39+H55+H63+H93+H98+H120+H124+H134+H178+H194+H211+H220+H222+H227+H229+H243+H252+H268+H270+H272+H276</f>
        <v>0</v>
      </c>
      <c r="I17" s="126"/>
      <c r="J17" s="127"/>
      <c r="K17" s="763"/>
      <c r="L17" s="763"/>
      <c r="M17" s="763"/>
      <c r="N17" s="763"/>
      <c r="O17" s="763"/>
      <c r="P17" s="763"/>
      <c r="Q17" s="764"/>
      <c r="R17" s="671"/>
      <c r="S17" s="671"/>
      <c r="T17" s="671"/>
    </row>
    <row r="18" spans="1:20" ht="16.5" customHeight="1" thickBot="1">
      <c r="A18" s="266" t="s">
        <v>1704</v>
      </c>
      <c r="B18" s="175" t="s">
        <v>1616</v>
      </c>
      <c r="C18" s="176" t="s">
        <v>1705</v>
      </c>
      <c r="D18" s="1008"/>
      <c r="E18" s="175"/>
      <c r="F18" s="175"/>
      <c r="G18" s="175"/>
      <c r="H18" s="185">
        <f>SUM(H19:H27)</f>
        <v>0</v>
      </c>
      <c r="I18" s="177"/>
      <c r="J18" s="178">
        <f>SUM(J19:J27)</f>
        <v>33.0326</v>
      </c>
      <c r="K18" s="670"/>
      <c r="L18" s="670"/>
      <c r="M18" s="670"/>
      <c r="N18" s="670"/>
      <c r="O18" s="670"/>
      <c r="P18" s="670"/>
      <c r="Q18" s="670"/>
      <c r="R18" s="670"/>
      <c r="S18" s="670"/>
      <c r="T18" s="670"/>
    </row>
    <row r="19" spans="1:20" s="22" customFormat="1" ht="17.25" customHeight="1">
      <c r="A19" s="190" t="s">
        <v>1706</v>
      </c>
      <c r="B19" s="191" t="s">
        <v>1707</v>
      </c>
      <c r="C19" s="191" t="s">
        <v>1708</v>
      </c>
      <c r="D19" s="964" t="s">
        <v>2759</v>
      </c>
      <c r="E19" s="192" t="s">
        <v>1709</v>
      </c>
      <c r="F19" s="345">
        <f>SUM(E20)</f>
        <v>29.830000000000002</v>
      </c>
      <c r="G19" s="345"/>
      <c r="H19" s="345">
        <f aca="true" t="shared" si="0" ref="H19:H27">F19*G19</f>
        <v>0</v>
      </c>
      <c r="I19" s="346">
        <v>0</v>
      </c>
      <c r="J19" s="347">
        <f aca="true" t="shared" si="1" ref="J19:J27">F19*I19</f>
        <v>0</v>
      </c>
      <c r="K19" s="693"/>
      <c r="L19" s="693"/>
      <c r="M19" s="693"/>
      <c r="N19" s="693"/>
      <c r="O19" s="693"/>
      <c r="P19" s="693"/>
      <c r="Q19" s="694"/>
      <c r="R19" s="509"/>
      <c r="S19" s="509"/>
      <c r="T19" s="509"/>
    </row>
    <row r="20" spans="1:20" s="130" customFormat="1" ht="20.25" customHeight="1">
      <c r="A20" s="204"/>
      <c r="B20" s="205"/>
      <c r="C20" s="205" t="s">
        <v>807</v>
      </c>
      <c r="D20" s="916"/>
      <c r="E20" s="207">
        <f>(1.35*7+1.32*7+1.32*1+1.33*4+0.9*5)</f>
        <v>29.830000000000002</v>
      </c>
      <c r="F20" s="335"/>
      <c r="G20" s="335"/>
      <c r="H20" s="335"/>
      <c r="I20" s="336"/>
      <c r="J20" s="337"/>
      <c r="K20" s="672"/>
      <c r="L20" s="672"/>
      <c r="M20" s="672"/>
      <c r="N20" s="672"/>
      <c r="O20" s="672"/>
      <c r="P20" s="672"/>
      <c r="Q20" s="673"/>
      <c r="R20" s="508"/>
      <c r="S20" s="508"/>
      <c r="T20" s="508"/>
    </row>
    <row r="21" spans="1:20" s="22" customFormat="1" ht="17.25" customHeight="1">
      <c r="A21" s="196" t="s">
        <v>1711</v>
      </c>
      <c r="B21" s="197" t="s">
        <v>1712</v>
      </c>
      <c r="C21" s="197" t="s">
        <v>1713</v>
      </c>
      <c r="D21" s="917" t="s">
        <v>2759</v>
      </c>
      <c r="E21" s="198" t="s">
        <v>1709</v>
      </c>
      <c r="F21" s="332">
        <f>SUM(E22)</f>
        <v>7.088</v>
      </c>
      <c r="G21" s="332"/>
      <c r="H21" s="332">
        <f t="shared" si="0"/>
        <v>0</v>
      </c>
      <c r="I21" s="333">
        <v>0</v>
      </c>
      <c r="J21" s="334">
        <f t="shared" si="1"/>
        <v>0</v>
      </c>
      <c r="K21" s="693"/>
      <c r="L21" s="693"/>
      <c r="M21" s="693"/>
      <c r="N21" s="693"/>
      <c r="O21" s="693"/>
      <c r="P21" s="693"/>
      <c r="Q21" s="694"/>
      <c r="R21" s="509"/>
      <c r="S21" s="509"/>
      <c r="T21" s="509"/>
    </row>
    <row r="22" spans="1:20" s="130" customFormat="1" ht="20.25" customHeight="1">
      <c r="A22" s="204"/>
      <c r="B22" s="205"/>
      <c r="C22" s="205" t="s">
        <v>808</v>
      </c>
      <c r="D22" s="916"/>
      <c r="E22" s="207">
        <f>(17.72*0.2*1)*2</f>
        <v>7.088</v>
      </c>
      <c r="F22" s="335"/>
      <c r="G22" s="335"/>
      <c r="H22" s="335"/>
      <c r="I22" s="336"/>
      <c r="J22" s="337"/>
      <c r="K22" s="672"/>
      <c r="L22" s="672"/>
      <c r="M22" s="672"/>
      <c r="N22" s="672"/>
      <c r="O22" s="672"/>
      <c r="P22" s="672"/>
      <c r="Q22" s="673"/>
      <c r="R22" s="508"/>
      <c r="S22" s="508"/>
      <c r="T22" s="508"/>
    </row>
    <row r="23" spans="1:20" s="22" customFormat="1" ht="17.25" customHeight="1">
      <c r="A23" s="196" t="s">
        <v>1715</v>
      </c>
      <c r="B23" s="197" t="s">
        <v>1723</v>
      </c>
      <c r="C23" s="197" t="s">
        <v>1724</v>
      </c>
      <c r="D23" s="917" t="s">
        <v>2759</v>
      </c>
      <c r="E23" s="198" t="s">
        <v>1709</v>
      </c>
      <c r="F23" s="332">
        <f>SUM(E24)</f>
        <v>7.430800000000001</v>
      </c>
      <c r="G23" s="332"/>
      <c r="H23" s="332">
        <f t="shared" si="0"/>
        <v>0</v>
      </c>
      <c r="I23" s="333">
        <v>0</v>
      </c>
      <c r="J23" s="334">
        <f t="shared" si="1"/>
        <v>0</v>
      </c>
      <c r="K23" s="693"/>
      <c r="L23" s="693"/>
      <c r="M23" s="693"/>
      <c r="N23" s="693"/>
      <c r="O23" s="693"/>
      <c r="P23" s="693"/>
      <c r="Q23" s="694"/>
      <c r="R23" s="509"/>
      <c r="S23" s="509"/>
      <c r="T23" s="509"/>
    </row>
    <row r="24" spans="1:20" s="130" customFormat="1" ht="20.25" customHeight="1">
      <c r="A24" s="204"/>
      <c r="B24" s="205"/>
      <c r="C24" s="205" t="s">
        <v>809</v>
      </c>
      <c r="D24" s="916"/>
      <c r="E24" s="207">
        <f>(17.72*0.8*1)*2-17.72*0.5*0.14-17.72*2*0.5*0.14-17.2</f>
        <v>7.430800000000001</v>
      </c>
      <c r="F24" s="335"/>
      <c r="G24" s="335"/>
      <c r="H24" s="335"/>
      <c r="I24" s="336"/>
      <c r="J24" s="337"/>
      <c r="K24" s="672"/>
      <c r="L24" s="672"/>
      <c r="M24" s="672"/>
      <c r="N24" s="672"/>
      <c r="O24" s="672"/>
      <c r="P24" s="672"/>
      <c r="Q24" s="673"/>
      <c r="R24" s="508"/>
      <c r="S24" s="508"/>
      <c r="T24" s="508"/>
    </row>
    <row r="25" spans="1:20" s="22" customFormat="1" ht="17.25" customHeight="1">
      <c r="A25" s="196" t="s">
        <v>1719</v>
      </c>
      <c r="B25" s="197" t="s">
        <v>1726</v>
      </c>
      <c r="C25" s="199" t="s">
        <v>1727</v>
      </c>
      <c r="D25" s="965"/>
      <c r="E25" s="198" t="s">
        <v>1709</v>
      </c>
      <c r="F25" s="332">
        <f>E20+E22-E24</f>
        <v>29.487199999999998</v>
      </c>
      <c r="G25" s="332"/>
      <c r="H25" s="332">
        <f t="shared" si="0"/>
        <v>0</v>
      </c>
      <c r="I25" s="333">
        <v>0</v>
      </c>
      <c r="J25" s="334">
        <f t="shared" si="1"/>
        <v>0</v>
      </c>
      <c r="K25" s="693"/>
      <c r="L25" s="693"/>
      <c r="M25" s="693"/>
      <c r="N25" s="693"/>
      <c r="O25" s="693"/>
      <c r="P25" s="693"/>
      <c r="Q25" s="694"/>
      <c r="R25" s="509"/>
      <c r="S25" s="509"/>
      <c r="T25" s="509"/>
    </row>
    <row r="26" spans="1:20" s="22" customFormat="1" ht="17.25" customHeight="1">
      <c r="A26" s="196" t="s">
        <v>1722</v>
      </c>
      <c r="B26" s="197" t="s">
        <v>1729</v>
      </c>
      <c r="C26" s="199" t="s">
        <v>1730</v>
      </c>
      <c r="D26" s="965"/>
      <c r="E26" s="198" t="s">
        <v>1709</v>
      </c>
      <c r="F26" s="332">
        <f>F25</f>
        <v>29.487199999999998</v>
      </c>
      <c r="G26" s="332"/>
      <c r="H26" s="332">
        <f t="shared" si="0"/>
        <v>0</v>
      </c>
      <c r="I26" s="333">
        <v>0</v>
      </c>
      <c r="J26" s="334">
        <f t="shared" si="1"/>
        <v>0</v>
      </c>
      <c r="K26" s="693"/>
      <c r="L26" s="693"/>
      <c r="M26" s="693"/>
      <c r="N26" s="693"/>
      <c r="O26" s="693"/>
      <c r="P26" s="693"/>
      <c r="Q26" s="694"/>
      <c r="R26" s="509"/>
      <c r="S26" s="509"/>
      <c r="T26" s="509"/>
    </row>
    <row r="27" spans="1:20" s="22" customFormat="1" ht="17.25" customHeight="1" thickBot="1">
      <c r="A27" s="255" t="s">
        <v>1725</v>
      </c>
      <c r="B27" s="256" t="s">
        <v>1732</v>
      </c>
      <c r="C27" s="264" t="s">
        <v>1733</v>
      </c>
      <c r="D27" s="966"/>
      <c r="E27" s="257" t="s">
        <v>1709</v>
      </c>
      <c r="F27" s="368">
        <v>17.2</v>
      </c>
      <c r="G27" s="368"/>
      <c r="H27" s="368">
        <f t="shared" si="0"/>
        <v>0</v>
      </c>
      <c r="I27" s="369">
        <v>1.9205</v>
      </c>
      <c r="J27" s="370">
        <f t="shared" si="1"/>
        <v>33.0326</v>
      </c>
      <c r="K27" s="693"/>
      <c r="L27" s="693"/>
      <c r="M27" s="693"/>
      <c r="N27" s="693"/>
      <c r="O27" s="693"/>
      <c r="P27" s="693"/>
      <c r="Q27" s="694"/>
      <c r="R27" s="509"/>
      <c r="S27" s="509"/>
      <c r="T27" s="509"/>
    </row>
    <row r="28" spans="1:20" ht="16.5" customHeight="1" thickBot="1">
      <c r="A28" s="266" t="s">
        <v>1743</v>
      </c>
      <c r="B28" s="175" t="s">
        <v>1744</v>
      </c>
      <c r="C28" s="176" t="s">
        <v>1745</v>
      </c>
      <c r="D28" s="1008"/>
      <c r="E28" s="175"/>
      <c r="F28" s="341"/>
      <c r="G28" s="341"/>
      <c r="H28" s="342">
        <f>SUM(H29:H34)</f>
        <v>0</v>
      </c>
      <c r="I28" s="343"/>
      <c r="J28" s="344">
        <f>SUM(J29:J34)</f>
        <v>1.3057513600000001</v>
      </c>
      <c r="K28" s="670"/>
      <c r="L28" s="670"/>
      <c r="M28" s="670"/>
      <c r="N28" s="670"/>
      <c r="O28" s="670"/>
      <c r="P28" s="670"/>
      <c r="Q28" s="670"/>
      <c r="R28" s="670"/>
      <c r="S28" s="670"/>
      <c r="T28" s="670"/>
    </row>
    <row r="29" spans="1:20" s="22" customFormat="1" ht="17.25" customHeight="1">
      <c r="A29" s="190"/>
      <c r="B29" s="191"/>
      <c r="C29" s="191"/>
      <c r="D29" s="964"/>
      <c r="E29" s="192"/>
      <c r="F29" s="345"/>
      <c r="G29" s="345"/>
      <c r="H29" s="345"/>
      <c r="I29" s="346"/>
      <c r="J29" s="347"/>
      <c r="K29" s="693"/>
      <c r="L29" s="693"/>
      <c r="M29" s="693"/>
      <c r="N29" s="693"/>
      <c r="O29" s="693"/>
      <c r="P29" s="693"/>
      <c r="Q29" s="694"/>
      <c r="R29" s="509"/>
      <c r="S29" s="509"/>
      <c r="T29" s="509"/>
    </row>
    <row r="30" spans="1:20" s="22" customFormat="1" ht="17.25" customHeight="1">
      <c r="A30" s="196" t="s">
        <v>1734</v>
      </c>
      <c r="B30" s="197" t="s">
        <v>1746</v>
      </c>
      <c r="C30" s="197" t="s">
        <v>1747</v>
      </c>
      <c r="D30" s="917" t="s">
        <v>2759</v>
      </c>
      <c r="E30" s="198" t="s">
        <v>1748</v>
      </c>
      <c r="F30" s="332">
        <f>SUM(E31:E31)</f>
        <v>28.352</v>
      </c>
      <c r="G30" s="332"/>
      <c r="H30" s="332">
        <f>F30*G30</f>
        <v>0</v>
      </c>
      <c r="I30" s="333">
        <v>0.03279</v>
      </c>
      <c r="J30" s="334">
        <f>F30*I30</f>
        <v>0.9296620800000001</v>
      </c>
      <c r="K30" s="693"/>
      <c r="L30" s="693"/>
      <c r="M30" s="693"/>
      <c r="N30" s="693"/>
      <c r="O30" s="693"/>
      <c r="P30" s="693"/>
      <c r="Q30" s="694"/>
      <c r="R30" s="509"/>
      <c r="S30" s="509"/>
      <c r="T30" s="509"/>
    </row>
    <row r="31" spans="1:20" s="130" customFormat="1" ht="20.25" customHeight="1">
      <c r="A31" s="204"/>
      <c r="B31" s="205" t="s">
        <v>1749</v>
      </c>
      <c r="C31" s="205" t="s">
        <v>810</v>
      </c>
      <c r="D31" s="916"/>
      <c r="E31" s="207">
        <f>(17.72)*0.8*2</f>
        <v>28.352</v>
      </c>
      <c r="F31" s="335"/>
      <c r="G31" s="335"/>
      <c r="H31" s="335"/>
      <c r="I31" s="336"/>
      <c r="J31" s="337"/>
      <c r="K31" s="672"/>
      <c r="L31" s="672"/>
      <c r="M31" s="672"/>
      <c r="N31" s="672"/>
      <c r="O31" s="672"/>
      <c r="P31" s="672"/>
      <c r="Q31" s="673"/>
      <c r="R31" s="508"/>
      <c r="S31" s="508"/>
      <c r="T31" s="508"/>
    </row>
    <row r="32" spans="1:20" s="22" customFormat="1" ht="31.5" customHeight="1">
      <c r="A32" s="196" t="s">
        <v>1753</v>
      </c>
      <c r="B32" s="197" t="s">
        <v>1754</v>
      </c>
      <c r="C32" s="199" t="s">
        <v>1755</v>
      </c>
      <c r="D32" s="917" t="s">
        <v>2759</v>
      </c>
      <c r="E32" s="198" t="s">
        <v>1748</v>
      </c>
      <c r="F32" s="332">
        <f>SUM(E33)</f>
        <v>7.088</v>
      </c>
      <c r="G32" s="332"/>
      <c r="H32" s="332">
        <f>F32*G32</f>
        <v>0</v>
      </c>
      <c r="I32" s="333">
        <v>0.05306</v>
      </c>
      <c r="J32" s="334">
        <f>F32*I32</f>
        <v>0.37608928</v>
      </c>
      <c r="K32" s="693"/>
      <c r="L32" s="693"/>
      <c r="M32" s="693"/>
      <c r="N32" s="693"/>
      <c r="O32" s="693"/>
      <c r="P32" s="693"/>
      <c r="Q32" s="694"/>
      <c r="R32" s="509"/>
      <c r="S32" s="509"/>
      <c r="T32" s="509"/>
    </row>
    <row r="33" spans="1:20" s="130" customFormat="1" ht="20.25" customHeight="1">
      <c r="A33" s="204"/>
      <c r="B33" s="205" t="s">
        <v>1749</v>
      </c>
      <c r="C33" s="205" t="s">
        <v>811</v>
      </c>
      <c r="D33" s="916"/>
      <c r="E33" s="207">
        <f>(17.72)*0.8*2*0.25</f>
        <v>7.088</v>
      </c>
      <c r="F33" s="335"/>
      <c r="G33" s="335"/>
      <c r="H33" s="335"/>
      <c r="I33" s="336"/>
      <c r="J33" s="337"/>
      <c r="K33" s="672"/>
      <c r="L33" s="672"/>
      <c r="M33" s="672"/>
      <c r="N33" s="672"/>
      <c r="O33" s="672"/>
      <c r="P33" s="672"/>
      <c r="Q33" s="673"/>
      <c r="R33" s="508"/>
      <c r="S33" s="508"/>
      <c r="T33" s="508"/>
    </row>
    <row r="34" spans="1:20" s="22" customFormat="1" ht="17.25" customHeight="1" thickBot="1">
      <c r="A34" s="255"/>
      <c r="B34" s="256"/>
      <c r="C34" s="256"/>
      <c r="D34" s="968"/>
      <c r="E34" s="257"/>
      <c r="F34" s="368"/>
      <c r="G34" s="368"/>
      <c r="H34" s="368"/>
      <c r="I34" s="369"/>
      <c r="J34" s="370"/>
      <c r="K34" s="693"/>
      <c r="L34" s="693"/>
      <c r="M34" s="693"/>
      <c r="N34" s="693"/>
      <c r="O34" s="693"/>
      <c r="P34" s="693"/>
      <c r="Q34" s="694"/>
      <c r="R34" s="509"/>
      <c r="S34" s="509"/>
      <c r="T34" s="509"/>
    </row>
    <row r="35" spans="1:20" ht="16.5" customHeight="1" thickBot="1">
      <c r="A35" s="266" t="s">
        <v>1801</v>
      </c>
      <c r="B35" s="175" t="s">
        <v>1802</v>
      </c>
      <c r="C35" s="176" t="s">
        <v>1803</v>
      </c>
      <c r="D35" s="1008"/>
      <c r="E35" s="175"/>
      <c r="F35" s="341"/>
      <c r="G35" s="341"/>
      <c r="H35" s="342">
        <f>SUM(H36)</f>
        <v>0</v>
      </c>
      <c r="I35" s="343"/>
      <c r="J35" s="344">
        <f>SUM(J36)</f>
        <v>0</v>
      </c>
      <c r="K35" s="670"/>
      <c r="L35" s="670"/>
      <c r="M35" s="670"/>
      <c r="N35" s="670"/>
      <c r="O35" s="670"/>
      <c r="P35" s="670"/>
      <c r="Q35" s="670"/>
      <c r="R35" s="670"/>
      <c r="S35" s="670"/>
      <c r="T35" s="670"/>
    </row>
    <row r="36" spans="1:20" s="22" customFormat="1" ht="20.25" customHeight="1" thickBot="1">
      <c r="A36" s="196"/>
      <c r="B36" s="197"/>
      <c r="C36" s="199"/>
      <c r="D36" s="917"/>
      <c r="E36" s="198"/>
      <c r="F36" s="332"/>
      <c r="G36" s="332"/>
      <c r="H36" s="332"/>
      <c r="I36" s="333"/>
      <c r="J36" s="334"/>
      <c r="K36" s="693"/>
      <c r="L36" s="693"/>
      <c r="M36" s="693"/>
      <c r="N36" s="693"/>
      <c r="O36" s="693"/>
      <c r="P36" s="693"/>
      <c r="Q36" s="694"/>
      <c r="R36" s="509"/>
      <c r="S36" s="509"/>
      <c r="T36" s="509"/>
    </row>
    <row r="37" spans="1:20" ht="16.5" customHeight="1" thickBot="1">
      <c r="A37" s="266" t="s">
        <v>1809</v>
      </c>
      <c r="B37" s="175" t="s">
        <v>1810</v>
      </c>
      <c r="C37" s="176" t="s">
        <v>1811</v>
      </c>
      <c r="D37" s="1008"/>
      <c r="E37" s="175"/>
      <c r="F37" s="341"/>
      <c r="G37" s="341"/>
      <c r="H37" s="342">
        <f>SUM(H38:H38)</f>
        <v>0</v>
      </c>
      <c r="I37" s="343"/>
      <c r="J37" s="344">
        <f>SUM(J38:J38)</f>
        <v>0</v>
      </c>
      <c r="K37" s="670"/>
      <c r="L37" s="670"/>
      <c r="M37" s="670"/>
      <c r="N37" s="670"/>
      <c r="O37" s="670"/>
      <c r="P37" s="670"/>
      <c r="Q37" s="670"/>
      <c r="R37" s="670"/>
      <c r="S37" s="670"/>
      <c r="T37" s="670"/>
    </row>
    <row r="38" spans="1:20" s="22" customFormat="1" ht="20.25" customHeight="1" thickBot="1">
      <c r="A38" s="196"/>
      <c r="B38" s="197"/>
      <c r="C38" s="199"/>
      <c r="D38" s="917"/>
      <c r="E38" s="198"/>
      <c r="F38" s="332"/>
      <c r="G38" s="332"/>
      <c r="H38" s="332"/>
      <c r="I38" s="333"/>
      <c r="J38" s="334"/>
      <c r="K38" s="693"/>
      <c r="L38" s="693"/>
      <c r="M38" s="693"/>
      <c r="N38" s="693"/>
      <c r="O38" s="693"/>
      <c r="P38" s="693"/>
      <c r="Q38" s="694"/>
      <c r="R38" s="509"/>
      <c r="S38" s="509"/>
      <c r="T38" s="509"/>
    </row>
    <row r="39" spans="1:20" ht="16.5" customHeight="1" thickBot="1">
      <c r="A39" s="266" t="s">
        <v>1846</v>
      </c>
      <c r="B39" s="175" t="s">
        <v>1628</v>
      </c>
      <c r="C39" s="176" t="s">
        <v>1847</v>
      </c>
      <c r="D39" s="1008"/>
      <c r="E39" s="175"/>
      <c r="F39" s="341"/>
      <c r="G39" s="341"/>
      <c r="H39" s="342">
        <f>SUM(H40:H54)</f>
        <v>0</v>
      </c>
      <c r="I39" s="343"/>
      <c r="J39" s="344">
        <f>SUM(J40:J54)</f>
        <v>11.00745</v>
      </c>
      <c r="K39" s="670"/>
      <c r="L39" s="670"/>
      <c r="M39" s="670"/>
      <c r="N39" s="670"/>
      <c r="O39" s="670"/>
      <c r="P39" s="670"/>
      <c r="Q39" s="670"/>
      <c r="R39" s="670"/>
      <c r="S39" s="670"/>
      <c r="T39" s="670"/>
    </row>
    <row r="40" spans="1:20" s="22" customFormat="1" ht="16.5" customHeight="1">
      <c r="A40" s="190"/>
      <c r="B40" s="191"/>
      <c r="C40" s="191"/>
      <c r="D40" s="964"/>
      <c r="E40" s="192"/>
      <c r="F40" s="345"/>
      <c r="G40" s="345"/>
      <c r="H40" s="345"/>
      <c r="I40" s="346"/>
      <c r="J40" s="347"/>
      <c r="K40" s="693"/>
      <c r="L40" s="693"/>
      <c r="M40" s="693"/>
      <c r="N40" s="693"/>
      <c r="O40" s="693"/>
      <c r="P40" s="693"/>
      <c r="Q40" s="694"/>
      <c r="R40" s="509"/>
      <c r="S40" s="509"/>
      <c r="T40" s="509"/>
    </row>
    <row r="41" spans="1:20" s="22" customFormat="1" ht="16.5" customHeight="1">
      <c r="A41" s="196" t="s">
        <v>1848</v>
      </c>
      <c r="B41" s="197" t="s">
        <v>1849</v>
      </c>
      <c r="C41" s="197" t="s">
        <v>1850</v>
      </c>
      <c r="D41" s="917" t="s">
        <v>2759</v>
      </c>
      <c r="E41" s="198" t="s">
        <v>1748</v>
      </c>
      <c r="F41" s="332">
        <f>F42*1.1</f>
        <v>18.337</v>
      </c>
      <c r="G41" s="332"/>
      <c r="H41" s="332">
        <f>F41*G41</f>
        <v>0</v>
      </c>
      <c r="I41" s="333">
        <v>0.0005</v>
      </c>
      <c r="J41" s="334">
        <f>F41*I41</f>
        <v>0.0091685</v>
      </c>
      <c r="K41" s="509"/>
      <c r="L41" s="509"/>
      <c r="M41" s="509"/>
      <c r="N41" s="509"/>
      <c r="O41" s="509"/>
      <c r="P41" s="509"/>
      <c r="Q41" s="509"/>
      <c r="R41" s="509"/>
      <c r="S41" s="509"/>
      <c r="T41" s="509"/>
    </row>
    <row r="42" spans="1:20" s="22" customFormat="1" ht="16.5" customHeight="1">
      <c r="A42" s="196" t="s">
        <v>1851</v>
      </c>
      <c r="B42" s="197" t="s">
        <v>1813</v>
      </c>
      <c r="C42" s="197" t="s">
        <v>1814</v>
      </c>
      <c r="D42" s="917" t="s">
        <v>2759</v>
      </c>
      <c r="E42" s="198" t="s">
        <v>1748</v>
      </c>
      <c r="F42" s="332">
        <f>F43</f>
        <v>16.669999999999998</v>
      </c>
      <c r="G42" s="332"/>
      <c r="H42" s="332">
        <f>F42*G42</f>
        <v>0</v>
      </c>
      <c r="I42" s="333">
        <v>0.25094</v>
      </c>
      <c r="J42" s="334">
        <f>F42*I42</f>
        <v>4.183169799999999</v>
      </c>
      <c r="K42" s="509"/>
      <c r="L42" s="509"/>
      <c r="M42" s="509"/>
      <c r="N42" s="509"/>
      <c r="O42" s="509"/>
      <c r="P42" s="509"/>
      <c r="Q42" s="509"/>
      <c r="R42" s="509"/>
      <c r="S42" s="509"/>
      <c r="T42" s="509"/>
    </row>
    <row r="43" spans="1:20" s="22" customFormat="1" ht="31.5" customHeight="1">
      <c r="A43" s="196" t="s">
        <v>1852</v>
      </c>
      <c r="B43" s="245" t="s">
        <v>1853</v>
      </c>
      <c r="C43" s="246" t="s">
        <v>1854</v>
      </c>
      <c r="D43" s="917" t="s">
        <v>2759</v>
      </c>
      <c r="E43" s="247" t="s">
        <v>1748</v>
      </c>
      <c r="F43" s="363">
        <f>E44</f>
        <v>16.669999999999998</v>
      </c>
      <c r="G43" s="363"/>
      <c r="H43" s="363">
        <f>F43*G43</f>
        <v>0</v>
      </c>
      <c r="I43" s="364">
        <v>0.19825</v>
      </c>
      <c r="J43" s="365">
        <f>F43*I43</f>
        <v>3.3048274999999996</v>
      </c>
      <c r="K43" s="509"/>
      <c r="L43" s="509"/>
      <c r="M43" s="509"/>
      <c r="N43" s="509"/>
      <c r="O43" s="509"/>
      <c r="P43" s="509"/>
      <c r="Q43" s="509"/>
      <c r="R43" s="509"/>
      <c r="S43" s="509"/>
      <c r="T43" s="509"/>
    </row>
    <row r="44" spans="1:20" s="240" customFormat="1" ht="16.5" customHeight="1">
      <c r="A44" s="231"/>
      <c r="B44" s="232" t="s">
        <v>1855</v>
      </c>
      <c r="C44" s="233" t="s">
        <v>812</v>
      </c>
      <c r="D44" s="902"/>
      <c r="E44" s="213">
        <f>17.72*2*0.5-2.1*0.5</f>
        <v>16.669999999999998</v>
      </c>
      <c r="F44" s="387"/>
      <c r="G44" s="387"/>
      <c r="H44" s="356"/>
      <c r="I44" s="356"/>
      <c r="J44" s="357"/>
      <c r="K44" s="679"/>
      <c r="L44" s="679"/>
      <c r="M44" s="239"/>
      <c r="N44" s="239"/>
      <c r="O44" s="239"/>
      <c r="P44" s="239"/>
      <c r="Q44" s="239"/>
      <c r="R44" s="239"/>
      <c r="S44" s="239"/>
      <c r="T44" s="239"/>
    </row>
    <row r="45" spans="1:21" s="1034" customFormat="1" ht="18" customHeight="1">
      <c r="A45" s="1023" t="s">
        <v>2884</v>
      </c>
      <c r="B45" s="1024" t="s">
        <v>2879</v>
      </c>
      <c r="C45" s="1024" t="s">
        <v>2880</v>
      </c>
      <c r="D45" s="902"/>
      <c r="E45" s="1027" t="s">
        <v>1748</v>
      </c>
      <c r="F45" s="1028">
        <f>F48+F42</f>
        <v>21.269999999999996</v>
      </c>
      <c r="G45" s="1028"/>
      <c r="H45" s="1028">
        <f>F45*G45</f>
        <v>0</v>
      </c>
      <c r="I45" s="1029">
        <v>0</v>
      </c>
      <c r="J45" s="1030">
        <f>F45*I45</f>
        <v>0</v>
      </c>
      <c r="K45" s="1031"/>
      <c r="L45" s="1031"/>
      <c r="M45" s="1031"/>
      <c r="N45" s="1031"/>
      <c r="O45" s="1031"/>
      <c r="P45" s="1031"/>
      <c r="Q45" s="1032"/>
      <c r="R45" s="1033"/>
      <c r="S45" s="1033"/>
      <c r="T45" s="1033"/>
      <c r="U45" s="1033"/>
    </row>
    <row r="46" spans="1:20" s="22" customFormat="1" ht="16.5" customHeight="1">
      <c r="A46" s="196" t="s">
        <v>1857</v>
      </c>
      <c r="B46" s="197" t="s">
        <v>1860</v>
      </c>
      <c r="C46" s="197" t="s">
        <v>1861</v>
      </c>
      <c r="D46" s="917" t="s">
        <v>2759</v>
      </c>
      <c r="E46" s="198" t="s">
        <v>1748</v>
      </c>
      <c r="F46" s="332">
        <f>E47</f>
        <v>4.6</v>
      </c>
      <c r="G46" s="332"/>
      <c r="H46" s="332">
        <f>F46*G46</f>
        <v>0</v>
      </c>
      <c r="I46" s="333">
        <v>0.27994</v>
      </c>
      <c r="J46" s="334">
        <f>F46*I46</f>
        <v>1.287724</v>
      </c>
      <c r="K46" s="509"/>
      <c r="L46" s="509"/>
      <c r="M46" s="509"/>
      <c r="N46" s="509"/>
      <c r="O46" s="509"/>
      <c r="P46" s="509"/>
      <c r="Q46" s="509"/>
      <c r="R46" s="509"/>
      <c r="S46" s="509"/>
      <c r="T46" s="509"/>
    </row>
    <row r="47" spans="1:20" s="251" customFormat="1" ht="14.25" customHeight="1">
      <c r="A47" s="248"/>
      <c r="B47" s="249"/>
      <c r="C47" s="250">
        <v>4.6</v>
      </c>
      <c r="D47" s="902"/>
      <c r="E47" s="213">
        <f>4.6</f>
        <v>4.6</v>
      </c>
      <c r="F47" s="387"/>
      <c r="G47" s="387"/>
      <c r="H47" s="356"/>
      <c r="I47" s="356"/>
      <c r="J47" s="357"/>
      <c r="K47" s="681"/>
      <c r="L47" s="681"/>
      <c r="M47" s="682"/>
      <c r="N47" s="682"/>
      <c r="O47" s="682"/>
      <c r="P47" s="682"/>
      <c r="Q47" s="682"/>
      <c r="R47" s="682"/>
      <c r="S47" s="682"/>
      <c r="T47" s="682"/>
    </row>
    <row r="48" spans="1:20" s="22" customFormat="1" ht="16.5" customHeight="1">
      <c r="A48" s="196" t="s">
        <v>1864</v>
      </c>
      <c r="B48" s="1106" t="s">
        <v>2886</v>
      </c>
      <c r="C48" s="1106" t="s">
        <v>2887</v>
      </c>
      <c r="D48" s="917" t="s">
        <v>2759</v>
      </c>
      <c r="E48" s="247" t="s">
        <v>1748</v>
      </c>
      <c r="F48" s="363">
        <f>E49</f>
        <v>4.6</v>
      </c>
      <c r="G48" s="363"/>
      <c r="H48" s="363">
        <f>F48*G48</f>
        <v>0</v>
      </c>
      <c r="I48" s="364">
        <v>0.0739</v>
      </c>
      <c r="J48" s="365">
        <f>F48*I48</f>
        <v>0.33993999999999996</v>
      </c>
      <c r="K48" s="509"/>
      <c r="L48" s="509"/>
      <c r="M48" s="509"/>
      <c r="N48" s="509"/>
      <c r="O48" s="509"/>
      <c r="P48" s="509"/>
      <c r="Q48" s="509"/>
      <c r="R48" s="509"/>
      <c r="S48" s="509"/>
      <c r="T48" s="509"/>
    </row>
    <row r="49" spans="1:20" s="251" customFormat="1" ht="14.25" customHeight="1">
      <c r="A49" s="248"/>
      <c r="B49" s="249"/>
      <c r="C49" s="1139">
        <v>4.6</v>
      </c>
      <c r="D49" s="902"/>
      <c r="E49" s="213">
        <f>4.6</f>
        <v>4.6</v>
      </c>
      <c r="F49" s="387"/>
      <c r="G49" s="387"/>
      <c r="H49" s="356"/>
      <c r="I49" s="356"/>
      <c r="J49" s="357"/>
      <c r="K49" s="681"/>
      <c r="L49" s="681"/>
      <c r="M49" s="682"/>
      <c r="N49" s="682"/>
      <c r="O49" s="682"/>
      <c r="P49" s="682"/>
      <c r="Q49" s="682"/>
      <c r="R49" s="682"/>
      <c r="S49" s="682"/>
      <c r="T49" s="682"/>
    </row>
    <row r="50" spans="1:20" s="22" customFormat="1" ht="16.5" customHeight="1">
      <c r="A50" s="196" t="s">
        <v>1865</v>
      </c>
      <c r="B50" s="197" t="s">
        <v>1866</v>
      </c>
      <c r="C50" s="197" t="s">
        <v>1867</v>
      </c>
      <c r="D50" s="917" t="s">
        <v>2759</v>
      </c>
      <c r="E50" s="198" t="s">
        <v>1748</v>
      </c>
      <c r="F50" s="332">
        <f>SUM(E51:E51)</f>
        <v>4.691999999999999</v>
      </c>
      <c r="G50" s="332"/>
      <c r="H50" s="332">
        <f>F50*G50</f>
        <v>0</v>
      </c>
      <c r="I50" s="333">
        <v>0.1296</v>
      </c>
      <c r="J50" s="334">
        <f>F50*I50</f>
        <v>0.6080831999999998</v>
      </c>
      <c r="K50" s="509"/>
      <c r="L50" s="509"/>
      <c r="M50" s="509"/>
      <c r="N50" s="509"/>
      <c r="O50" s="509"/>
      <c r="P50" s="509"/>
      <c r="Q50" s="509"/>
      <c r="R50" s="509"/>
      <c r="S50" s="509"/>
      <c r="T50" s="509"/>
    </row>
    <row r="51" spans="1:20" s="251" customFormat="1" ht="14.25" customHeight="1">
      <c r="A51" s="248"/>
      <c r="B51" s="249"/>
      <c r="C51" s="1139" t="s">
        <v>813</v>
      </c>
      <c r="D51" s="902"/>
      <c r="E51" s="213">
        <f>(4.6)*1.02</f>
        <v>4.691999999999999</v>
      </c>
      <c r="F51" s="387"/>
      <c r="G51" s="387"/>
      <c r="H51" s="356"/>
      <c r="I51" s="356"/>
      <c r="J51" s="357"/>
      <c r="K51" s="681"/>
      <c r="L51" s="681"/>
      <c r="M51" s="682"/>
      <c r="N51" s="682"/>
      <c r="O51" s="682"/>
      <c r="P51" s="682"/>
      <c r="Q51" s="682"/>
      <c r="R51" s="682"/>
      <c r="S51" s="682"/>
      <c r="T51" s="682"/>
    </row>
    <row r="52" spans="1:20" s="22" customFormat="1" ht="30" customHeight="1">
      <c r="A52" s="196" t="s">
        <v>1870</v>
      </c>
      <c r="B52" s="197" t="s">
        <v>1871</v>
      </c>
      <c r="C52" s="683" t="s">
        <v>1872</v>
      </c>
      <c r="D52" s="917" t="s">
        <v>2759</v>
      </c>
      <c r="E52" s="198" t="s">
        <v>1826</v>
      </c>
      <c r="F52" s="332">
        <f>E53</f>
        <v>10.899999999999999</v>
      </c>
      <c r="G52" s="332"/>
      <c r="H52" s="332">
        <f>F52*G52</f>
        <v>0</v>
      </c>
      <c r="I52" s="333">
        <v>0.11693</v>
      </c>
      <c r="J52" s="334">
        <f>F52*I52</f>
        <v>1.2745369999999998</v>
      </c>
      <c r="K52" s="509"/>
      <c r="L52" s="509"/>
      <c r="M52" s="509"/>
      <c r="N52" s="509"/>
      <c r="O52" s="509"/>
      <c r="P52" s="509"/>
      <c r="Q52" s="509"/>
      <c r="R52" s="509"/>
      <c r="S52" s="509"/>
      <c r="T52" s="509"/>
    </row>
    <row r="53" spans="1:20" s="251" customFormat="1" ht="17.25" customHeight="1">
      <c r="A53" s="248"/>
      <c r="B53" s="249"/>
      <c r="C53" s="1139" t="s">
        <v>814</v>
      </c>
      <c r="D53" s="902"/>
      <c r="E53" s="213">
        <f>8.7+2.2</f>
        <v>10.899999999999999</v>
      </c>
      <c r="F53" s="387"/>
      <c r="G53" s="387"/>
      <c r="H53" s="356"/>
      <c r="I53" s="356"/>
      <c r="J53" s="357"/>
      <c r="K53" s="681"/>
      <c r="L53" s="681"/>
      <c r="M53" s="682"/>
      <c r="N53" s="682"/>
      <c r="O53" s="682"/>
      <c r="P53" s="682"/>
      <c r="Q53" s="682"/>
      <c r="R53" s="682"/>
      <c r="S53" s="682"/>
      <c r="T53" s="682"/>
    </row>
    <row r="54" spans="1:20" s="22" customFormat="1" ht="16.5" customHeight="1" thickBot="1">
      <c r="A54" s="255"/>
      <c r="B54" s="256"/>
      <c r="C54" s="256"/>
      <c r="D54" s="968"/>
      <c r="E54" s="257"/>
      <c r="F54" s="368"/>
      <c r="G54" s="368"/>
      <c r="H54" s="368"/>
      <c r="I54" s="369"/>
      <c r="J54" s="370"/>
      <c r="K54" s="693"/>
      <c r="L54" s="693"/>
      <c r="M54" s="693"/>
      <c r="N54" s="693"/>
      <c r="O54" s="693"/>
      <c r="P54" s="693"/>
      <c r="Q54" s="694"/>
      <c r="R54" s="509"/>
      <c r="S54" s="509"/>
      <c r="T54" s="509"/>
    </row>
    <row r="55" spans="1:20" ht="16.5" customHeight="1" thickBot="1">
      <c r="A55" s="266" t="s">
        <v>1874</v>
      </c>
      <c r="B55" s="175" t="s">
        <v>1875</v>
      </c>
      <c r="C55" s="176" t="s">
        <v>1876</v>
      </c>
      <c r="D55" s="1008"/>
      <c r="E55" s="175"/>
      <c r="F55" s="341"/>
      <c r="G55" s="341"/>
      <c r="H55" s="342">
        <f>SUM(H56:H62)</f>
        <v>0</v>
      </c>
      <c r="I55" s="343"/>
      <c r="J55" s="344">
        <f>SUM(J56:J62)</f>
        <v>0.6401326399999999</v>
      </c>
      <c r="K55" s="670"/>
      <c r="L55" s="670"/>
      <c r="M55" s="670"/>
      <c r="N55" s="670"/>
      <c r="O55" s="670"/>
      <c r="P55" s="670"/>
      <c r="Q55" s="670"/>
      <c r="R55" s="670"/>
      <c r="S55" s="670"/>
      <c r="T55" s="670"/>
    </row>
    <row r="56" spans="1:20" s="22" customFormat="1" ht="14.25" customHeight="1">
      <c r="A56" s="190"/>
      <c r="B56" s="191"/>
      <c r="C56" s="191"/>
      <c r="D56" s="964"/>
      <c r="E56" s="192"/>
      <c r="F56" s="345"/>
      <c r="G56" s="345"/>
      <c r="H56" s="345"/>
      <c r="I56" s="346"/>
      <c r="J56" s="347"/>
      <c r="K56" s="693"/>
      <c r="L56" s="693"/>
      <c r="M56" s="693"/>
      <c r="N56" s="693"/>
      <c r="O56" s="693"/>
      <c r="P56" s="693"/>
      <c r="Q56" s="694"/>
      <c r="R56" s="509"/>
      <c r="S56" s="509"/>
      <c r="T56" s="509"/>
    </row>
    <row r="57" spans="1:20" s="22" customFormat="1" ht="20.25" customHeight="1">
      <c r="A57" s="196" t="s">
        <v>1877</v>
      </c>
      <c r="B57" s="197" t="s">
        <v>1890</v>
      </c>
      <c r="C57" s="197" t="s">
        <v>1891</v>
      </c>
      <c r="D57" s="917" t="s">
        <v>2761</v>
      </c>
      <c r="E57" s="198" t="s">
        <v>1826</v>
      </c>
      <c r="F57" s="332">
        <f>E58</f>
        <v>100.24</v>
      </c>
      <c r="G57" s="332"/>
      <c r="H57" s="332">
        <f>F57*G57</f>
        <v>0</v>
      </c>
      <c r="I57" s="333">
        <v>0.00431</v>
      </c>
      <c r="J57" s="334">
        <f>F57*I57</f>
        <v>0.43203439999999993</v>
      </c>
      <c r="K57" s="509"/>
      <c r="L57" s="509"/>
      <c r="M57" s="509"/>
      <c r="N57" s="509"/>
      <c r="O57" s="509"/>
      <c r="P57" s="509"/>
      <c r="Q57" s="509"/>
      <c r="R57" s="509"/>
      <c r="S57" s="509"/>
      <c r="T57" s="509"/>
    </row>
    <row r="58" spans="1:20" s="251" customFormat="1" ht="17.25" customHeight="1">
      <c r="A58" s="248"/>
      <c r="B58" s="249"/>
      <c r="C58" s="250" t="s">
        <v>815</v>
      </c>
      <c r="D58" s="969"/>
      <c r="E58" s="213">
        <f>74.25+20.25+5.74</f>
        <v>100.24</v>
      </c>
      <c r="F58" s="367"/>
      <c r="G58" s="387"/>
      <c r="H58" s="387"/>
      <c r="I58" s="356"/>
      <c r="J58" s="357"/>
      <c r="K58" s="681"/>
      <c r="L58" s="681"/>
      <c r="M58" s="681"/>
      <c r="N58" s="682"/>
      <c r="O58" s="682"/>
      <c r="P58" s="682"/>
      <c r="Q58" s="682"/>
      <c r="R58" s="682"/>
      <c r="S58" s="682"/>
      <c r="T58" s="682"/>
    </row>
    <row r="59" spans="1:20" s="22" customFormat="1" ht="20.25" customHeight="1">
      <c r="A59" s="196" t="s">
        <v>1882</v>
      </c>
      <c r="B59" s="197" t="s">
        <v>1883</v>
      </c>
      <c r="C59" s="197" t="s">
        <v>1884</v>
      </c>
      <c r="D59" s="917" t="s">
        <v>2759</v>
      </c>
      <c r="E59" s="198" t="s">
        <v>1748</v>
      </c>
      <c r="F59" s="332">
        <f>E60</f>
        <v>30.071999999999996</v>
      </c>
      <c r="G59" s="332"/>
      <c r="H59" s="332">
        <f>F59*G59</f>
        <v>0</v>
      </c>
      <c r="I59" s="333">
        <v>0.00034</v>
      </c>
      <c r="J59" s="334">
        <f>F59*I59</f>
        <v>0.01022448</v>
      </c>
      <c r="K59" s="693"/>
      <c r="L59" s="693"/>
      <c r="M59" s="693"/>
      <c r="N59" s="693"/>
      <c r="O59" s="693"/>
      <c r="P59" s="693"/>
      <c r="Q59" s="694"/>
      <c r="R59" s="509"/>
      <c r="S59" s="509"/>
      <c r="T59" s="509"/>
    </row>
    <row r="60" spans="1:20" s="251" customFormat="1" ht="17.25" customHeight="1">
      <c r="A60" s="248"/>
      <c r="B60" s="249"/>
      <c r="C60" s="250" t="s">
        <v>816</v>
      </c>
      <c r="D60" s="969"/>
      <c r="E60" s="213">
        <f>(74.25+20.25+5.74)*0.3</f>
        <v>30.071999999999996</v>
      </c>
      <c r="F60" s="367"/>
      <c r="G60" s="387"/>
      <c r="H60" s="387"/>
      <c r="I60" s="356"/>
      <c r="J60" s="357"/>
      <c r="K60" s="681"/>
      <c r="L60" s="681"/>
      <c r="M60" s="681"/>
      <c r="N60" s="682"/>
      <c r="O60" s="682"/>
      <c r="P60" s="682"/>
      <c r="Q60" s="682"/>
      <c r="R60" s="682"/>
      <c r="S60" s="682"/>
      <c r="T60" s="682"/>
    </row>
    <row r="61" spans="1:20" s="22" customFormat="1" ht="20.25" customHeight="1">
      <c r="A61" s="196" t="s">
        <v>1886</v>
      </c>
      <c r="B61" s="197" t="s">
        <v>1887</v>
      </c>
      <c r="C61" s="197" t="s">
        <v>1888</v>
      </c>
      <c r="D61" s="917" t="s">
        <v>2759</v>
      </c>
      <c r="E61" s="198" t="s">
        <v>1748</v>
      </c>
      <c r="F61" s="332">
        <f>F59</f>
        <v>30.071999999999996</v>
      </c>
      <c r="G61" s="332"/>
      <c r="H61" s="332">
        <f>F61*G61</f>
        <v>0</v>
      </c>
      <c r="I61" s="333">
        <v>0.00658</v>
      </c>
      <c r="J61" s="334">
        <f>F61*I61</f>
        <v>0.19787375999999998</v>
      </c>
      <c r="K61" s="693"/>
      <c r="L61" s="693"/>
      <c r="M61" s="693"/>
      <c r="N61" s="693"/>
      <c r="O61" s="693"/>
      <c r="P61" s="693"/>
      <c r="Q61" s="694"/>
      <c r="R61" s="509"/>
      <c r="S61" s="509"/>
      <c r="T61" s="509"/>
    </row>
    <row r="62" spans="1:20" s="22" customFormat="1" ht="15" customHeight="1" thickBot="1">
      <c r="A62" s="255"/>
      <c r="B62" s="256"/>
      <c r="C62" s="256"/>
      <c r="D62" s="968"/>
      <c r="E62" s="257"/>
      <c r="F62" s="368"/>
      <c r="G62" s="368"/>
      <c r="H62" s="368"/>
      <c r="I62" s="369"/>
      <c r="J62" s="370"/>
      <c r="K62" s="693"/>
      <c r="L62" s="693"/>
      <c r="M62" s="693"/>
      <c r="N62" s="693"/>
      <c r="O62" s="693"/>
      <c r="P62" s="693"/>
      <c r="Q62" s="694"/>
      <c r="R62" s="509"/>
      <c r="S62" s="509"/>
      <c r="T62" s="509"/>
    </row>
    <row r="63" spans="1:20" ht="16.5" customHeight="1" thickBot="1">
      <c r="A63" s="266" t="s">
        <v>1893</v>
      </c>
      <c r="B63" s="175" t="s">
        <v>1894</v>
      </c>
      <c r="C63" s="176" t="s">
        <v>1895</v>
      </c>
      <c r="D63" s="1008"/>
      <c r="E63" s="175"/>
      <c r="F63" s="341"/>
      <c r="G63" s="341"/>
      <c r="H63" s="342">
        <f>SUM(H64:H92)</f>
        <v>0</v>
      </c>
      <c r="I63" s="343"/>
      <c r="J63" s="344">
        <f>SUM(J64:J92)</f>
        <v>7.5700177943</v>
      </c>
      <c r="K63" s="670"/>
      <c r="L63" s="670"/>
      <c r="M63" s="670"/>
      <c r="N63" s="670"/>
      <c r="O63" s="670"/>
      <c r="P63" s="670"/>
      <c r="Q63" s="670"/>
      <c r="R63" s="670"/>
      <c r="S63" s="670"/>
      <c r="T63" s="670"/>
    </row>
    <row r="64" spans="1:20" s="22" customFormat="1" ht="20.25" customHeight="1">
      <c r="A64" s="190" t="s">
        <v>1896</v>
      </c>
      <c r="B64" s="191" t="s">
        <v>1897</v>
      </c>
      <c r="C64" s="191" t="s">
        <v>1898</v>
      </c>
      <c r="D64" s="964" t="s">
        <v>2761</v>
      </c>
      <c r="E64" s="192" t="s">
        <v>1748</v>
      </c>
      <c r="F64" s="345">
        <v>39.55</v>
      </c>
      <c r="G64" s="345"/>
      <c r="H64" s="345">
        <f aca="true" t="shared" si="2" ref="H64:H90">F64*G64</f>
        <v>0</v>
      </c>
      <c r="I64" s="346">
        <v>4E-05</v>
      </c>
      <c r="J64" s="347">
        <f aca="true" t="shared" si="3" ref="J64:J90">F64*I64</f>
        <v>0.001582</v>
      </c>
      <c r="K64" s="693"/>
      <c r="L64" s="693"/>
      <c r="M64" s="693"/>
      <c r="N64" s="693"/>
      <c r="O64" s="693"/>
      <c r="P64" s="693"/>
      <c r="Q64" s="694"/>
      <c r="R64" s="509"/>
      <c r="S64" s="509"/>
      <c r="T64" s="509"/>
    </row>
    <row r="65" spans="1:20" s="22" customFormat="1" ht="20.25" customHeight="1">
      <c r="A65" s="196" t="s">
        <v>1900</v>
      </c>
      <c r="B65" s="197" t="s">
        <v>1901</v>
      </c>
      <c r="C65" s="197" t="s">
        <v>1902</v>
      </c>
      <c r="D65" s="917" t="s">
        <v>2761</v>
      </c>
      <c r="E65" s="198" t="s">
        <v>1748</v>
      </c>
      <c r="F65" s="332">
        <f>E66</f>
        <v>169.35</v>
      </c>
      <c r="G65" s="332"/>
      <c r="H65" s="332">
        <f t="shared" si="2"/>
        <v>0</v>
      </c>
      <c r="I65" s="333">
        <v>2E-05</v>
      </c>
      <c r="J65" s="334">
        <f t="shared" si="3"/>
        <v>0.0033870000000000003</v>
      </c>
      <c r="K65" s="693"/>
      <c r="L65" s="693"/>
      <c r="M65" s="693"/>
      <c r="N65" s="693"/>
      <c r="O65" s="693"/>
      <c r="P65" s="693"/>
      <c r="Q65" s="694"/>
      <c r="R65" s="509"/>
      <c r="S65" s="509"/>
      <c r="T65" s="509"/>
    </row>
    <row r="66" spans="1:20" s="251" customFormat="1" ht="14.25" customHeight="1">
      <c r="A66" s="248"/>
      <c r="B66" s="249"/>
      <c r="C66" s="250" t="s">
        <v>817</v>
      </c>
      <c r="D66" s="902"/>
      <c r="E66" s="213">
        <f>141+28.35</f>
        <v>169.35</v>
      </c>
      <c r="F66" s="387"/>
      <c r="G66" s="387"/>
      <c r="H66" s="356"/>
      <c r="I66" s="356"/>
      <c r="J66" s="357"/>
      <c r="K66" s="681"/>
      <c r="L66" s="681"/>
      <c r="M66" s="682"/>
      <c r="N66" s="682"/>
      <c r="O66" s="682"/>
      <c r="P66" s="682"/>
      <c r="Q66" s="682"/>
      <c r="R66" s="682"/>
      <c r="S66" s="682"/>
      <c r="T66" s="682"/>
    </row>
    <row r="67" spans="1:20" s="22" customFormat="1" ht="20.25" customHeight="1">
      <c r="A67" s="196" t="s">
        <v>1904</v>
      </c>
      <c r="B67" s="197" t="s">
        <v>1905</v>
      </c>
      <c r="C67" s="197" t="s">
        <v>1906</v>
      </c>
      <c r="D67" s="917" t="s">
        <v>2761</v>
      </c>
      <c r="E67" s="198" t="s">
        <v>1748</v>
      </c>
      <c r="F67" s="332">
        <f>141-F71</f>
        <v>48.480000000000004</v>
      </c>
      <c r="G67" s="332"/>
      <c r="H67" s="332">
        <f t="shared" si="2"/>
        <v>0</v>
      </c>
      <c r="I67" s="333">
        <v>0.04634</v>
      </c>
      <c r="J67" s="334">
        <f t="shared" si="3"/>
        <v>2.2465632</v>
      </c>
      <c r="K67" s="693"/>
      <c r="L67" s="693"/>
      <c r="M67" s="693"/>
      <c r="N67" s="693"/>
      <c r="O67" s="693"/>
      <c r="P67" s="693"/>
      <c r="Q67" s="694"/>
      <c r="R67" s="509"/>
      <c r="S67" s="509"/>
      <c r="T67" s="509"/>
    </row>
    <row r="68" spans="1:20" s="1034" customFormat="1" ht="17.25" customHeight="1">
      <c r="A68" s="1023" t="s">
        <v>2844</v>
      </c>
      <c r="B68" s="1024" t="s">
        <v>2837</v>
      </c>
      <c r="C68" s="1024" t="s">
        <v>2838</v>
      </c>
      <c r="D68" s="970"/>
      <c r="E68" s="1027" t="s">
        <v>1748</v>
      </c>
      <c r="F68" s="1028">
        <f>SUM(E69:E70)</f>
        <v>92.52</v>
      </c>
      <c r="G68" s="1028"/>
      <c r="H68" s="1028">
        <f>F68*G68</f>
        <v>0</v>
      </c>
      <c r="I68" s="1052">
        <v>0.0063</v>
      </c>
      <c r="J68" s="1060">
        <f>F68*I68</f>
        <v>0.582876</v>
      </c>
      <c r="K68" s="1033"/>
      <c r="L68" s="1033"/>
      <c r="M68" s="1033"/>
      <c r="N68" s="1033"/>
      <c r="O68" s="1033"/>
      <c r="P68" s="1033"/>
      <c r="Q68" s="1033"/>
      <c r="R68" s="1033"/>
      <c r="S68" s="1033"/>
      <c r="T68" s="1033"/>
    </row>
    <row r="69" spans="1:24" s="211" customFormat="1" ht="18.75" customHeight="1">
      <c r="A69" s="223"/>
      <c r="B69" s="224" t="s">
        <v>1920</v>
      </c>
      <c r="C69" s="224" t="s">
        <v>818</v>
      </c>
      <c r="D69" s="970"/>
      <c r="E69" s="220">
        <f>(17.72)*0.5*2</f>
        <v>17.72</v>
      </c>
      <c r="F69" s="225"/>
      <c r="G69" s="674"/>
      <c r="H69" s="225"/>
      <c r="I69" s="348"/>
      <c r="J69" s="349"/>
      <c r="K69" s="675"/>
      <c r="L69" s="675"/>
      <c r="M69" s="675"/>
      <c r="N69" s="675"/>
      <c r="O69" s="676"/>
      <c r="P69" s="676"/>
      <c r="Q69" s="676"/>
      <c r="R69" s="676"/>
      <c r="S69" s="515"/>
      <c r="T69" s="515"/>
      <c r="U69" s="210"/>
      <c r="V69" s="210"/>
      <c r="W69" s="210"/>
      <c r="X69" s="210"/>
    </row>
    <row r="70" spans="1:20" s="142" customFormat="1" ht="17.25" customHeight="1">
      <c r="A70" s="204"/>
      <c r="B70" s="212" t="s">
        <v>1921</v>
      </c>
      <c r="C70" s="212">
        <v>74.8</v>
      </c>
      <c r="D70" s="971"/>
      <c r="E70" s="141">
        <v>74.8</v>
      </c>
      <c r="F70" s="141"/>
      <c r="G70" s="141"/>
      <c r="H70" s="352"/>
      <c r="I70" s="352"/>
      <c r="J70" s="353"/>
      <c r="K70" s="677"/>
      <c r="L70" s="677"/>
      <c r="M70" s="215"/>
      <c r="N70" s="215"/>
      <c r="O70" s="215"/>
      <c r="P70" s="215"/>
      <c r="Q70" s="215"/>
      <c r="R70" s="215"/>
      <c r="S70" s="215"/>
      <c r="T70" s="215"/>
    </row>
    <row r="71" spans="1:20" s="22" customFormat="1" ht="18" customHeight="1">
      <c r="A71" s="196" t="s">
        <v>1907</v>
      </c>
      <c r="B71" s="197" t="s">
        <v>1918</v>
      </c>
      <c r="C71" s="1024" t="s">
        <v>2841</v>
      </c>
      <c r="D71" s="917" t="s">
        <v>2761</v>
      </c>
      <c r="E71" s="198" t="s">
        <v>1748</v>
      </c>
      <c r="F71" s="332">
        <f>SUM(E72:E73)</f>
        <v>92.52</v>
      </c>
      <c r="G71" s="332"/>
      <c r="H71" s="332">
        <f t="shared" si="2"/>
        <v>0</v>
      </c>
      <c r="I71" s="333">
        <v>0.026</v>
      </c>
      <c r="J71" s="334">
        <f t="shared" si="3"/>
        <v>2.4055199999999997</v>
      </c>
      <c r="K71" s="693"/>
      <c r="L71" s="693"/>
      <c r="M71" s="693"/>
      <c r="N71" s="693"/>
      <c r="O71" s="693"/>
      <c r="P71" s="693"/>
      <c r="Q71" s="694"/>
      <c r="R71" s="509"/>
      <c r="S71" s="509"/>
      <c r="T71" s="509"/>
    </row>
    <row r="72" spans="1:24" s="211" customFormat="1" ht="21.75" customHeight="1">
      <c r="A72" s="223"/>
      <c r="B72" s="224" t="s">
        <v>1920</v>
      </c>
      <c r="C72" s="224" t="s">
        <v>818</v>
      </c>
      <c r="D72" s="970"/>
      <c r="E72" s="220">
        <f>(17.72)*0.5*2</f>
        <v>17.72</v>
      </c>
      <c r="F72" s="225"/>
      <c r="G72" s="674"/>
      <c r="H72" s="225"/>
      <c r="I72" s="348"/>
      <c r="J72" s="349"/>
      <c r="K72" s="675"/>
      <c r="L72" s="675"/>
      <c r="M72" s="675"/>
      <c r="N72" s="675"/>
      <c r="O72" s="676"/>
      <c r="P72" s="676"/>
      <c r="Q72" s="676"/>
      <c r="R72" s="676"/>
      <c r="S72" s="515"/>
      <c r="T72" s="515"/>
      <c r="U72" s="210"/>
      <c r="V72" s="210"/>
      <c r="W72" s="210"/>
      <c r="X72" s="210"/>
    </row>
    <row r="73" spans="1:20" s="142" customFormat="1" ht="19.5" customHeight="1">
      <c r="A73" s="204"/>
      <c r="B73" s="212" t="s">
        <v>1921</v>
      </c>
      <c r="C73" s="212">
        <v>74.8</v>
      </c>
      <c r="D73" s="971"/>
      <c r="E73" s="141">
        <v>74.8</v>
      </c>
      <c r="F73" s="141"/>
      <c r="G73" s="141"/>
      <c r="H73" s="352"/>
      <c r="I73" s="352"/>
      <c r="J73" s="353"/>
      <c r="K73" s="677"/>
      <c r="L73" s="677"/>
      <c r="M73" s="215"/>
      <c r="N73" s="215"/>
      <c r="O73" s="215"/>
      <c r="P73" s="215"/>
      <c r="Q73" s="215"/>
      <c r="R73" s="215"/>
      <c r="S73" s="215"/>
      <c r="T73" s="215"/>
    </row>
    <row r="74" spans="1:20" s="22" customFormat="1" ht="20.25" customHeight="1">
      <c r="A74" s="196" t="s">
        <v>1914</v>
      </c>
      <c r="B74" s="197" t="s">
        <v>1923</v>
      </c>
      <c r="C74" s="197" t="s">
        <v>1924</v>
      </c>
      <c r="D74" s="917" t="s">
        <v>1925</v>
      </c>
      <c r="E74" s="198" t="s">
        <v>1748</v>
      </c>
      <c r="F74" s="332">
        <f>E75</f>
        <v>21.264</v>
      </c>
      <c r="G74" s="332"/>
      <c r="H74" s="332">
        <f>F74*G74</f>
        <v>0</v>
      </c>
      <c r="I74" s="333">
        <v>0.01021</v>
      </c>
      <c r="J74" s="334">
        <f>F74*I74</f>
        <v>0.21710544</v>
      </c>
      <c r="K74" s="509"/>
      <c r="L74" s="509"/>
      <c r="M74" s="509"/>
      <c r="N74" s="509"/>
      <c r="O74" s="509"/>
      <c r="P74" s="509"/>
      <c r="Q74" s="509"/>
      <c r="R74" s="509"/>
      <c r="S74" s="509"/>
      <c r="T74" s="509"/>
    </row>
    <row r="75" spans="1:24" s="211" customFormat="1" ht="21.75" customHeight="1">
      <c r="A75" s="223"/>
      <c r="B75" s="224" t="s">
        <v>1749</v>
      </c>
      <c r="C75" s="224" t="s">
        <v>819</v>
      </c>
      <c r="D75" s="970"/>
      <c r="E75" s="220">
        <f>(17.72)*0.6*2</f>
        <v>21.264</v>
      </c>
      <c r="F75" s="225"/>
      <c r="G75" s="674"/>
      <c r="H75" s="225"/>
      <c r="I75" s="348"/>
      <c r="J75" s="349"/>
      <c r="K75" s="675"/>
      <c r="L75" s="675"/>
      <c r="M75" s="675"/>
      <c r="N75" s="675"/>
      <c r="O75" s="676"/>
      <c r="P75" s="676"/>
      <c r="Q75" s="676"/>
      <c r="R75" s="676"/>
      <c r="S75" s="515"/>
      <c r="T75" s="515"/>
      <c r="U75" s="210"/>
      <c r="V75" s="210"/>
      <c r="W75" s="210"/>
      <c r="X75" s="210"/>
    </row>
    <row r="76" spans="1:20" s="22" customFormat="1" ht="30.75" customHeight="1">
      <c r="A76" s="196" t="s">
        <v>1917</v>
      </c>
      <c r="B76" s="197" t="s">
        <v>1927</v>
      </c>
      <c r="C76" s="199" t="s">
        <v>1928</v>
      </c>
      <c r="D76" s="917" t="s">
        <v>1929</v>
      </c>
      <c r="E76" s="198" t="s">
        <v>1748</v>
      </c>
      <c r="F76" s="332">
        <f>E77</f>
        <v>24.072999999999997</v>
      </c>
      <c r="G76" s="332"/>
      <c r="H76" s="332">
        <f>F76*G76</f>
        <v>0</v>
      </c>
      <c r="I76" s="333">
        <v>0.01396</v>
      </c>
      <c r="J76" s="334">
        <f>F76*I76</f>
        <v>0.33605907999999995</v>
      </c>
      <c r="K76" s="509"/>
      <c r="L76" s="509"/>
      <c r="M76" s="509"/>
      <c r="N76" s="509"/>
      <c r="O76" s="509"/>
      <c r="P76" s="509"/>
      <c r="Q76" s="509"/>
      <c r="R76" s="509"/>
      <c r="S76" s="509"/>
      <c r="T76" s="509"/>
    </row>
    <row r="77" spans="1:24" s="211" customFormat="1" ht="21.75" customHeight="1">
      <c r="A77" s="223"/>
      <c r="B77" s="224" t="s">
        <v>1920</v>
      </c>
      <c r="C77" s="224" t="s">
        <v>820</v>
      </c>
      <c r="D77" s="970"/>
      <c r="E77" s="220">
        <f>(17.72)*0.7*2-1.47*0.5</f>
        <v>24.072999999999997</v>
      </c>
      <c r="F77" s="225"/>
      <c r="G77" s="674"/>
      <c r="H77" s="225"/>
      <c r="I77" s="348"/>
      <c r="J77" s="349"/>
      <c r="K77" s="675"/>
      <c r="L77" s="675"/>
      <c r="M77" s="675"/>
      <c r="N77" s="675"/>
      <c r="O77" s="676"/>
      <c r="P77" s="676"/>
      <c r="Q77" s="676"/>
      <c r="R77" s="676"/>
      <c r="S77" s="515"/>
      <c r="T77" s="515"/>
      <c r="U77" s="210"/>
      <c r="V77" s="210"/>
      <c r="W77" s="210"/>
      <c r="X77" s="210"/>
    </row>
    <row r="78" spans="1:20" s="22" customFormat="1" ht="20.25" customHeight="1">
      <c r="A78" s="196" t="s">
        <v>1922</v>
      </c>
      <c r="B78" s="197" t="s">
        <v>1939</v>
      </c>
      <c r="C78" s="197" t="s">
        <v>1940</v>
      </c>
      <c r="D78" s="917" t="s">
        <v>1929</v>
      </c>
      <c r="E78" s="198" t="s">
        <v>1748</v>
      </c>
      <c r="F78" s="332">
        <f>F76</f>
        <v>24.072999999999997</v>
      </c>
      <c r="G78" s="332"/>
      <c r="H78" s="332">
        <f t="shared" si="2"/>
        <v>0</v>
      </c>
      <c r="I78" s="333">
        <v>0.00618</v>
      </c>
      <c r="J78" s="334">
        <f t="shared" si="3"/>
        <v>0.14877113999999997</v>
      </c>
      <c r="K78" s="693"/>
      <c r="L78" s="693"/>
      <c r="M78" s="693"/>
      <c r="N78" s="693"/>
      <c r="O78" s="693"/>
      <c r="P78" s="693"/>
      <c r="Q78" s="694"/>
      <c r="R78" s="509"/>
      <c r="S78" s="509"/>
      <c r="T78" s="509"/>
    </row>
    <row r="79" spans="1:20" s="22" customFormat="1" ht="20.25" customHeight="1">
      <c r="A79" s="196" t="s">
        <v>1926</v>
      </c>
      <c r="B79" s="197" t="s">
        <v>1961</v>
      </c>
      <c r="C79" s="197" t="s">
        <v>1962</v>
      </c>
      <c r="D79" s="917" t="s">
        <v>1963</v>
      </c>
      <c r="E79" s="198" t="s">
        <v>1748</v>
      </c>
      <c r="F79" s="332">
        <f>141-24.07</f>
        <v>116.93</v>
      </c>
      <c r="G79" s="332"/>
      <c r="H79" s="332">
        <f t="shared" si="2"/>
        <v>0</v>
      </c>
      <c r="I79" s="333">
        <v>0.01011</v>
      </c>
      <c r="J79" s="334">
        <f t="shared" si="3"/>
        <v>1.1821622999999999</v>
      </c>
      <c r="K79" s="693"/>
      <c r="L79" s="693"/>
      <c r="M79" s="693"/>
      <c r="N79" s="693"/>
      <c r="O79" s="693"/>
      <c r="P79" s="693"/>
      <c r="Q79" s="694"/>
      <c r="R79" s="509"/>
      <c r="S79" s="509"/>
      <c r="T79" s="509"/>
    </row>
    <row r="80" spans="1:20" s="1034" customFormat="1" ht="20.25" customHeight="1">
      <c r="A80" s="1023" t="s">
        <v>2948</v>
      </c>
      <c r="B80" s="1024" t="s">
        <v>2937</v>
      </c>
      <c r="C80" s="1024" t="s">
        <v>2936</v>
      </c>
      <c r="D80" s="1109"/>
      <c r="E80" s="1027" t="s">
        <v>1748</v>
      </c>
      <c r="F80" s="1028">
        <f>SUM(E81)</f>
        <v>5.313</v>
      </c>
      <c r="G80" s="1028"/>
      <c r="H80" s="1028">
        <f>F80*G80</f>
        <v>0</v>
      </c>
      <c r="I80" s="1029">
        <v>0.0098511</v>
      </c>
      <c r="J80" s="1030">
        <f>F80*I80</f>
        <v>0.052338894299999994</v>
      </c>
      <c r="K80" s="1033"/>
      <c r="L80" s="1033"/>
      <c r="M80" s="1033"/>
      <c r="N80" s="1033"/>
      <c r="O80" s="1033"/>
      <c r="P80" s="1033"/>
      <c r="Q80" s="1033"/>
      <c r="R80" s="1033"/>
      <c r="S80" s="1033"/>
      <c r="T80" s="1033"/>
    </row>
    <row r="81" spans="1:20" s="1231" customFormat="1" ht="15.75" customHeight="1">
      <c r="A81" s="1223"/>
      <c r="B81" s="1224" t="s">
        <v>2935</v>
      </c>
      <c r="C81" s="1225" t="s">
        <v>2963</v>
      </c>
      <c r="D81" s="1222"/>
      <c r="E81" s="1226">
        <f>35.42*0.15</f>
        <v>5.313</v>
      </c>
      <c r="F81" s="1226"/>
      <c r="G81" s="1226"/>
      <c r="H81" s="1227"/>
      <c r="I81" s="1227"/>
      <c r="J81" s="1228"/>
      <c r="K81" s="1229"/>
      <c r="L81" s="1229"/>
      <c r="M81" s="1230"/>
      <c r="N81" s="1230"/>
      <c r="O81" s="1230"/>
      <c r="P81" s="1230"/>
      <c r="Q81" s="1230"/>
      <c r="R81" s="1230"/>
      <c r="S81" s="1230"/>
      <c r="T81" s="1230"/>
    </row>
    <row r="82" spans="1:20" s="22" customFormat="1" ht="20.25" customHeight="1">
      <c r="A82" s="196" t="s">
        <v>1931</v>
      </c>
      <c r="B82" s="197" t="s">
        <v>1987</v>
      </c>
      <c r="C82" s="197" t="s">
        <v>1988</v>
      </c>
      <c r="D82" s="917" t="s">
        <v>2761</v>
      </c>
      <c r="E82" s="198" t="s">
        <v>1826</v>
      </c>
      <c r="F82" s="332">
        <v>12</v>
      </c>
      <c r="G82" s="332"/>
      <c r="H82" s="332">
        <f t="shared" si="2"/>
        <v>0</v>
      </c>
      <c r="I82" s="333">
        <v>0.0005</v>
      </c>
      <c r="J82" s="334">
        <f t="shared" si="3"/>
        <v>0.006</v>
      </c>
      <c r="K82" s="509"/>
      <c r="L82" s="509"/>
      <c r="M82" s="509"/>
      <c r="N82" s="509"/>
      <c r="O82" s="509"/>
      <c r="P82" s="509"/>
      <c r="Q82" s="509"/>
      <c r="R82" s="509"/>
      <c r="S82" s="509"/>
      <c r="T82" s="509"/>
    </row>
    <row r="83" spans="1:20" s="22" customFormat="1" ht="20.25" customHeight="1">
      <c r="A83" s="196" t="s">
        <v>1935</v>
      </c>
      <c r="B83" s="197" t="s">
        <v>1990</v>
      </c>
      <c r="C83" s="197" t="s">
        <v>1991</v>
      </c>
      <c r="D83" s="917" t="s">
        <v>2761</v>
      </c>
      <c r="E83" s="198" t="s">
        <v>1826</v>
      </c>
      <c r="F83" s="332">
        <f>E84</f>
        <v>100.24</v>
      </c>
      <c r="G83" s="332"/>
      <c r="H83" s="332">
        <f t="shared" si="2"/>
        <v>0</v>
      </c>
      <c r="I83" s="333">
        <v>0</v>
      </c>
      <c r="J83" s="334">
        <f t="shared" si="3"/>
        <v>0</v>
      </c>
      <c r="K83" s="693"/>
      <c r="L83" s="693"/>
      <c r="M83" s="693"/>
      <c r="N83" s="693"/>
      <c r="O83" s="693"/>
      <c r="P83" s="693"/>
      <c r="Q83" s="694"/>
      <c r="R83" s="509"/>
      <c r="S83" s="509"/>
      <c r="T83" s="509"/>
    </row>
    <row r="84" spans="1:24" s="211" customFormat="1" ht="21.75" customHeight="1">
      <c r="A84" s="223"/>
      <c r="B84" s="224"/>
      <c r="C84" s="224">
        <v>100.24</v>
      </c>
      <c r="D84" s="970"/>
      <c r="E84" s="220">
        <v>100.24</v>
      </c>
      <c r="F84" s="225"/>
      <c r="G84" s="674"/>
      <c r="H84" s="225"/>
      <c r="I84" s="348"/>
      <c r="J84" s="349"/>
      <c r="K84" s="675"/>
      <c r="L84" s="675"/>
      <c r="M84" s="675"/>
      <c r="N84" s="675"/>
      <c r="O84" s="676"/>
      <c r="P84" s="676"/>
      <c r="Q84" s="676"/>
      <c r="R84" s="676"/>
      <c r="S84" s="515"/>
      <c r="T84" s="515"/>
      <c r="U84" s="210"/>
      <c r="V84" s="210"/>
      <c r="W84" s="210"/>
      <c r="X84" s="210"/>
    </row>
    <row r="85" spans="1:20" s="22" customFormat="1" ht="20.25" customHeight="1">
      <c r="A85" s="196" t="s">
        <v>1938</v>
      </c>
      <c r="B85" s="197" t="s">
        <v>1993</v>
      </c>
      <c r="C85" s="197" t="s">
        <v>1994</v>
      </c>
      <c r="D85" s="917" t="s">
        <v>2761</v>
      </c>
      <c r="E85" s="198" t="s">
        <v>1826</v>
      </c>
      <c r="F85" s="332">
        <f>E86</f>
        <v>37.514</v>
      </c>
      <c r="G85" s="332"/>
      <c r="H85" s="332">
        <f t="shared" si="2"/>
        <v>0</v>
      </c>
      <c r="I85" s="333">
        <v>0.00011</v>
      </c>
      <c r="J85" s="334">
        <f t="shared" si="3"/>
        <v>0.004126540000000001</v>
      </c>
      <c r="K85" s="693"/>
      <c r="L85" s="693"/>
      <c r="M85" s="693"/>
      <c r="N85" s="693"/>
      <c r="O85" s="693"/>
      <c r="P85" s="693"/>
      <c r="Q85" s="694"/>
      <c r="R85" s="509"/>
      <c r="S85" s="509"/>
      <c r="T85" s="509"/>
    </row>
    <row r="86" spans="1:24" s="211" customFormat="1" ht="21.75" customHeight="1">
      <c r="A86" s="223"/>
      <c r="B86" s="224" t="s">
        <v>1920</v>
      </c>
      <c r="C86" s="224" t="s">
        <v>821</v>
      </c>
      <c r="D86" s="970"/>
      <c r="E86" s="220">
        <f>(17.72)*2*1.1-1.47</f>
        <v>37.514</v>
      </c>
      <c r="F86" s="225"/>
      <c r="G86" s="674"/>
      <c r="H86" s="225"/>
      <c r="I86" s="348"/>
      <c r="J86" s="349"/>
      <c r="K86" s="675"/>
      <c r="L86" s="675"/>
      <c r="M86" s="675"/>
      <c r="N86" s="675"/>
      <c r="O86" s="676"/>
      <c r="P86" s="676"/>
      <c r="Q86" s="676"/>
      <c r="R86" s="676"/>
      <c r="S86" s="515"/>
      <c r="T86" s="515"/>
      <c r="U86" s="210"/>
      <c r="V86" s="210"/>
      <c r="W86" s="210"/>
      <c r="X86" s="210"/>
    </row>
    <row r="87" spans="1:20" s="22" customFormat="1" ht="20.25" customHeight="1">
      <c r="A87" s="196" t="s">
        <v>1942</v>
      </c>
      <c r="B87" s="197" t="s">
        <v>1996</v>
      </c>
      <c r="C87" s="197" t="s">
        <v>1997</v>
      </c>
      <c r="D87" s="917" t="s">
        <v>2761</v>
      </c>
      <c r="E87" s="198" t="s">
        <v>1826</v>
      </c>
      <c r="F87" s="332">
        <v>57.5</v>
      </c>
      <c r="G87" s="332"/>
      <c r="H87" s="332">
        <f t="shared" si="2"/>
        <v>0</v>
      </c>
      <c r="I87" s="333">
        <v>0.00011</v>
      </c>
      <c r="J87" s="334">
        <f t="shared" si="3"/>
        <v>0.006325</v>
      </c>
      <c r="K87" s="693"/>
      <c r="L87" s="509"/>
      <c r="M87" s="693"/>
      <c r="N87" s="693"/>
      <c r="O87" s="693"/>
      <c r="P87" s="693"/>
      <c r="Q87" s="694"/>
      <c r="R87" s="509"/>
      <c r="S87" s="509"/>
      <c r="T87" s="509"/>
    </row>
    <row r="88" spans="1:20" s="22" customFormat="1" ht="20.25" customHeight="1">
      <c r="A88" s="196" t="s">
        <v>1955</v>
      </c>
      <c r="B88" s="197" t="s">
        <v>1999</v>
      </c>
      <c r="C88" s="197" t="s">
        <v>2000</v>
      </c>
      <c r="D88" s="917" t="s">
        <v>2761</v>
      </c>
      <c r="E88" s="198" t="s">
        <v>1826</v>
      </c>
      <c r="F88" s="332">
        <v>128.4</v>
      </c>
      <c r="G88" s="332"/>
      <c r="H88" s="332">
        <f t="shared" si="2"/>
        <v>0</v>
      </c>
      <c r="I88" s="333">
        <v>0</v>
      </c>
      <c r="J88" s="334">
        <f t="shared" si="3"/>
        <v>0</v>
      </c>
      <c r="K88" s="693"/>
      <c r="L88" s="509"/>
      <c r="M88" s="693"/>
      <c r="N88" s="693"/>
      <c r="O88" s="693"/>
      <c r="P88" s="693"/>
      <c r="Q88" s="694"/>
      <c r="R88" s="509"/>
      <c r="S88" s="509"/>
      <c r="T88" s="509"/>
    </row>
    <row r="89" spans="1:20" s="22" customFormat="1" ht="20.25" customHeight="1">
      <c r="A89" s="196" t="s">
        <v>1960</v>
      </c>
      <c r="B89" s="197" t="s">
        <v>2002</v>
      </c>
      <c r="C89" s="197" t="s">
        <v>2003</v>
      </c>
      <c r="D89" s="917" t="s">
        <v>2761</v>
      </c>
      <c r="E89" s="198" t="s">
        <v>1748</v>
      </c>
      <c r="F89" s="332">
        <v>141</v>
      </c>
      <c r="G89" s="332"/>
      <c r="H89" s="332">
        <f t="shared" si="2"/>
        <v>0</v>
      </c>
      <c r="I89" s="333">
        <v>0.00032</v>
      </c>
      <c r="J89" s="334">
        <f t="shared" si="3"/>
        <v>0.04512</v>
      </c>
      <c r="K89" s="693"/>
      <c r="L89" s="693"/>
      <c r="M89" s="693"/>
      <c r="N89" s="693"/>
      <c r="O89" s="693"/>
      <c r="P89" s="693"/>
      <c r="Q89" s="694"/>
      <c r="R89" s="509"/>
      <c r="S89" s="509"/>
      <c r="T89" s="509"/>
    </row>
    <row r="90" spans="1:20" s="22" customFormat="1" ht="20.25" customHeight="1">
      <c r="A90" s="196" t="s">
        <v>1965</v>
      </c>
      <c r="B90" s="197" t="s">
        <v>2005</v>
      </c>
      <c r="C90" s="197" t="s">
        <v>2006</v>
      </c>
      <c r="D90" s="917" t="s">
        <v>2761</v>
      </c>
      <c r="E90" s="198" t="s">
        <v>1748</v>
      </c>
      <c r="F90" s="332">
        <f>E91</f>
        <v>116.93</v>
      </c>
      <c r="G90" s="332"/>
      <c r="H90" s="332">
        <f t="shared" si="2"/>
        <v>0</v>
      </c>
      <c r="I90" s="333">
        <v>0.00284</v>
      </c>
      <c r="J90" s="334">
        <f t="shared" si="3"/>
        <v>0.3320812</v>
      </c>
      <c r="K90" s="693"/>
      <c r="L90" s="693"/>
      <c r="M90" s="693"/>
      <c r="N90" s="693"/>
      <c r="O90" s="693"/>
      <c r="P90" s="693"/>
      <c r="Q90" s="694"/>
      <c r="R90" s="509"/>
      <c r="S90" s="509"/>
      <c r="T90" s="509"/>
    </row>
    <row r="91" spans="1:24" s="211" customFormat="1" ht="21.75" customHeight="1">
      <c r="A91" s="223"/>
      <c r="B91" s="224"/>
      <c r="C91" s="224" t="s">
        <v>822</v>
      </c>
      <c r="D91" s="970"/>
      <c r="E91" s="220">
        <f>141-24.07</f>
        <v>116.93</v>
      </c>
      <c r="F91" s="225"/>
      <c r="G91" s="674"/>
      <c r="H91" s="225"/>
      <c r="I91" s="348"/>
      <c r="J91" s="349"/>
      <c r="K91" s="675"/>
      <c r="L91" s="675"/>
      <c r="M91" s="675"/>
      <c r="N91" s="675"/>
      <c r="O91" s="676"/>
      <c r="P91" s="676"/>
      <c r="Q91" s="676"/>
      <c r="R91" s="676"/>
      <c r="S91" s="515"/>
      <c r="T91" s="515"/>
      <c r="U91" s="210"/>
      <c r="V91" s="210"/>
      <c r="W91" s="210"/>
      <c r="X91" s="210"/>
    </row>
    <row r="92" spans="1:20" s="22" customFormat="1" ht="16.5" customHeight="1" thickBot="1">
      <c r="A92" s="196"/>
      <c r="B92" s="197"/>
      <c r="C92" s="197"/>
      <c r="D92" s="917"/>
      <c r="E92" s="198"/>
      <c r="F92" s="332"/>
      <c r="G92" s="332"/>
      <c r="H92" s="332"/>
      <c r="I92" s="333"/>
      <c r="J92" s="334"/>
      <c r="K92" s="693"/>
      <c r="L92" s="693"/>
      <c r="M92" s="693"/>
      <c r="N92" s="693"/>
      <c r="O92" s="693"/>
      <c r="P92" s="693"/>
      <c r="Q92" s="694"/>
      <c r="R92" s="509"/>
      <c r="S92" s="509"/>
      <c r="T92" s="509"/>
    </row>
    <row r="93" spans="1:20" ht="16.5" customHeight="1" thickBot="1">
      <c r="A93" s="266" t="s">
        <v>2011</v>
      </c>
      <c r="B93" s="175" t="s">
        <v>2012</v>
      </c>
      <c r="C93" s="176" t="s">
        <v>2013</v>
      </c>
      <c r="D93" s="1008"/>
      <c r="E93" s="175"/>
      <c r="F93" s="341"/>
      <c r="G93" s="341"/>
      <c r="H93" s="342">
        <f>SUM(H94:H97)</f>
        <v>0</v>
      </c>
      <c r="I93" s="343"/>
      <c r="J93" s="344">
        <f>SUM(J94:J97)</f>
        <v>2.4758970000000002</v>
      </c>
      <c r="K93" s="670"/>
      <c r="L93" s="670"/>
      <c r="M93" s="670"/>
      <c r="N93" s="670"/>
      <c r="O93" s="670"/>
      <c r="P93" s="670"/>
      <c r="Q93" s="670"/>
      <c r="R93" s="670"/>
      <c r="S93" s="670"/>
      <c r="T93" s="670"/>
    </row>
    <row r="94" spans="1:20" s="22" customFormat="1" ht="16.5" customHeight="1">
      <c r="A94" s="190"/>
      <c r="B94" s="191"/>
      <c r="C94" s="1098"/>
      <c r="D94" s="964"/>
      <c r="E94" s="192"/>
      <c r="F94" s="345"/>
      <c r="G94" s="345"/>
      <c r="H94" s="345"/>
      <c r="I94" s="346"/>
      <c r="J94" s="347"/>
      <c r="K94" s="693"/>
      <c r="L94" s="693"/>
      <c r="M94" s="693"/>
      <c r="N94" s="693"/>
      <c r="O94" s="693"/>
      <c r="P94" s="693"/>
      <c r="Q94" s="694"/>
      <c r="R94" s="509"/>
      <c r="S94" s="509"/>
      <c r="T94" s="509"/>
    </row>
    <row r="95" spans="1:20" s="22" customFormat="1" ht="17.25" customHeight="1">
      <c r="A95" s="196" t="s">
        <v>2014</v>
      </c>
      <c r="B95" s="197" t="s">
        <v>2015</v>
      </c>
      <c r="C95" s="1024" t="s">
        <v>2856</v>
      </c>
      <c r="D95" s="917" t="s">
        <v>735</v>
      </c>
      <c r="E95" s="198" t="s">
        <v>1748</v>
      </c>
      <c r="F95" s="332">
        <f>SUM(E96:E98)</f>
        <v>112.9</v>
      </c>
      <c r="G95" s="332"/>
      <c r="H95" s="332">
        <f>F95*G95</f>
        <v>0</v>
      </c>
      <c r="I95" s="333">
        <v>0.02193</v>
      </c>
      <c r="J95" s="334">
        <f>F95*I95</f>
        <v>2.4758970000000002</v>
      </c>
      <c r="K95" s="509"/>
      <c r="L95" s="509"/>
      <c r="M95" s="509"/>
      <c r="N95" s="509"/>
      <c r="O95" s="509"/>
      <c r="P95" s="509"/>
      <c r="Q95" s="509"/>
      <c r="R95" s="509"/>
      <c r="S95" s="509"/>
      <c r="T95" s="509"/>
    </row>
    <row r="96" spans="1:20" s="130" customFormat="1" ht="18.75" customHeight="1">
      <c r="A96" s="204"/>
      <c r="B96" s="205" t="s">
        <v>735</v>
      </c>
      <c r="C96" s="206" t="s">
        <v>823</v>
      </c>
      <c r="D96" s="916"/>
      <c r="E96" s="207">
        <f>112.9</f>
        <v>112.9</v>
      </c>
      <c r="F96" s="335"/>
      <c r="G96" s="335"/>
      <c r="H96" s="335"/>
      <c r="I96" s="336"/>
      <c r="J96" s="337"/>
      <c r="K96" s="508"/>
      <c r="L96" s="508"/>
      <c r="M96" s="508"/>
      <c r="N96" s="508"/>
      <c r="O96" s="508"/>
      <c r="P96" s="508"/>
      <c r="Q96" s="508"/>
      <c r="R96" s="508"/>
      <c r="S96" s="508"/>
      <c r="T96" s="508"/>
    </row>
    <row r="97" spans="1:20" s="22" customFormat="1" ht="16.5" customHeight="1" thickBot="1">
      <c r="A97" s="255"/>
      <c r="B97" s="256"/>
      <c r="C97" s="256"/>
      <c r="D97" s="968"/>
      <c r="E97" s="257"/>
      <c r="F97" s="368"/>
      <c r="G97" s="368"/>
      <c r="H97" s="368"/>
      <c r="I97" s="369"/>
      <c r="J97" s="370"/>
      <c r="K97" s="693"/>
      <c r="L97" s="693"/>
      <c r="M97" s="693"/>
      <c r="N97" s="693"/>
      <c r="O97" s="693"/>
      <c r="P97" s="693"/>
      <c r="Q97" s="694"/>
      <c r="R97" s="509"/>
      <c r="S97" s="509"/>
      <c r="T97" s="509"/>
    </row>
    <row r="98" spans="1:20" ht="16.5" customHeight="1" thickBot="1">
      <c r="A98" s="266" t="s">
        <v>2036</v>
      </c>
      <c r="B98" s="175" t="s">
        <v>2037</v>
      </c>
      <c r="C98" s="176" t="s">
        <v>2038</v>
      </c>
      <c r="D98" s="1008"/>
      <c r="E98" s="175"/>
      <c r="F98" s="341"/>
      <c r="G98" s="341"/>
      <c r="H98" s="342">
        <f>SUM(H99:H119)</f>
        <v>0</v>
      </c>
      <c r="I98" s="343"/>
      <c r="J98" s="344">
        <f>SUM(J99:J119)</f>
        <v>0.212679</v>
      </c>
      <c r="K98" s="670"/>
      <c r="L98" s="670"/>
      <c r="M98" s="670"/>
      <c r="N98" s="670"/>
      <c r="O98" s="670"/>
      <c r="P98" s="670"/>
      <c r="Q98" s="670"/>
      <c r="R98" s="670"/>
      <c r="S98" s="670"/>
      <c r="T98" s="670"/>
    </row>
    <row r="99" spans="1:20" s="22" customFormat="1" ht="20.25" customHeight="1">
      <c r="A99" s="190"/>
      <c r="B99" s="191"/>
      <c r="C99" s="191"/>
      <c r="D99" s="964"/>
      <c r="E99" s="192"/>
      <c r="F99" s="345"/>
      <c r="G99" s="345"/>
      <c r="H99" s="345"/>
      <c r="I99" s="346"/>
      <c r="J99" s="347"/>
      <c r="K99" s="693"/>
      <c r="L99" s="693"/>
      <c r="M99" s="693"/>
      <c r="N99" s="693"/>
      <c r="O99" s="693"/>
      <c r="P99" s="693"/>
      <c r="Q99" s="694"/>
      <c r="R99" s="509"/>
      <c r="S99" s="509"/>
      <c r="T99" s="509"/>
    </row>
    <row r="100" spans="1:20" s="22" customFormat="1" ht="20.25" customHeight="1">
      <c r="A100" s="196" t="s">
        <v>2039</v>
      </c>
      <c r="B100" s="197" t="s">
        <v>2043</v>
      </c>
      <c r="C100" s="197" t="s">
        <v>2044</v>
      </c>
      <c r="D100" s="917" t="s">
        <v>2761</v>
      </c>
      <c r="E100" s="198" t="s">
        <v>1831</v>
      </c>
      <c r="F100" s="332">
        <v>15</v>
      </c>
      <c r="G100" s="332"/>
      <c r="H100" s="332">
        <f>F100*G100</f>
        <v>0</v>
      </c>
      <c r="I100" s="333">
        <v>0.0012</v>
      </c>
      <c r="J100" s="334">
        <f>F100*I100</f>
        <v>0.018</v>
      </c>
      <c r="K100" s="693"/>
      <c r="L100" s="693"/>
      <c r="M100" s="693"/>
      <c r="N100" s="693"/>
      <c r="O100" s="693"/>
      <c r="P100" s="693"/>
      <c r="Q100" s="694"/>
      <c r="R100" s="509"/>
      <c r="S100" s="509"/>
      <c r="T100" s="509"/>
    </row>
    <row r="101" spans="1:20" s="22" customFormat="1" ht="62.25" customHeight="1">
      <c r="A101" s="196"/>
      <c r="B101" s="197"/>
      <c r="C101" s="199" t="s">
        <v>2048</v>
      </c>
      <c r="D101" s="917" t="s">
        <v>2761</v>
      </c>
      <c r="E101" s="198"/>
      <c r="F101" s="332"/>
      <c r="G101" s="332"/>
      <c r="H101" s="332"/>
      <c r="I101" s="333"/>
      <c r="J101" s="334"/>
      <c r="K101" s="672" t="s">
        <v>2049</v>
      </c>
      <c r="L101" s="672" t="s">
        <v>2050</v>
      </c>
      <c r="M101" s="672" t="s">
        <v>1748</v>
      </c>
      <c r="N101" s="672" t="s">
        <v>2051</v>
      </c>
      <c r="O101" s="672" t="s">
        <v>2052</v>
      </c>
      <c r="P101" s="672" t="s">
        <v>2053</v>
      </c>
      <c r="Q101" s="673"/>
      <c r="R101" s="509"/>
      <c r="S101" s="509"/>
      <c r="T101" s="509"/>
    </row>
    <row r="102" spans="1:20" s="22" customFormat="1" ht="29.25" customHeight="1">
      <c r="A102" s="196" t="s">
        <v>2042</v>
      </c>
      <c r="B102" s="197" t="s">
        <v>824</v>
      </c>
      <c r="C102" s="199" t="s">
        <v>825</v>
      </c>
      <c r="D102" s="917" t="s">
        <v>739</v>
      </c>
      <c r="E102" s="198" t="s">
        <v>1831</v>
      </c>
      <c r="F102" s="332">
        <v>15</v>
      </c>
      <c r="G102" s="332"/>
      <c r="H102" s="332">
        <f>F102*G102</f>
        <v>0</v>
      </c>
      <c r="I102" s="333">
        <v>0.00168</v>
      </c>
      <c r="J102" s="334">
        <f>F102*I102</f>
        <v>0.0252</v>
      </c>
      <c r="K102" s="693">
        <v>1.35</v>
      </c>
      <c r="L102" s="693">
        <v>1.8</v>
      </c>
      <c r="M102" s="693">
        <f>K102*L102</f>
        <v>2.43</v>
      </c>
      <c r="N102" s="693">
        <f>F102*M102</f>
        <v>36.45</v>
      </c>
      <c r="O102" s="693">
        <f>(K102+L102*2)*F102</f>
        <v>74.25</v>
      </c>
      <c r="P102" s="693">
        <f>F102*K102</f>
        <v>20.25</v>
      </c>
      <c r="Q102" s="694" t="s">
        <v>740</v>
      </c>
      <c r="R102" s="509"/>
      <c r="S102" s="509"/>
      <c r="T102" s="509"/>
    </row>
    <row r="103" spans="1:20" s="22" customFormat="1" ht="20.25" customHeight="1">
      <c r="A103" s="196"/>
      <c r="B103" s="197"/>
      <c r="C103" s="197"/>
      <c r="D103" s="917"/>
      <c r="E103" s="198"/>
      <c r="F103" s="332"/>
      <c r="G103" s="332"/>
      <c r="H103" s="332"/>
      <c r="I103" s="333"/>
      <c r="J103" s="334"/>
      <c r="K103" s="693"/>
      <c r="L103" s="693"/>
      <c r="M103" s="693"/>
      <c r="N103" s="693"/>
      <c r="O103" s="693"/>
      <c r="P103" s="693"/>
      <c r="Q103" s="694"/>
      <c r="R103" s="509"/>
      <c r="S103" s="509"/>
      <c r="T103" s="509"/>
    </row>
    <row r="104" spans="1:20" s="22" customFormat="1" ht="24">
      <c r="A104" s="196"/>
      <c r="B104" s="197"/>
      <c r="C104" s="199" t="s">
        <v>2258</v>
      </c>
      <c r="D104" s="917" t="s">
        <v>2759</v>
      </c>
      <c r="E104" s="198"/>
      <c r="F104" s="332"/>
      <c r="G104" s="332"/>
      <c r="H104" s="332"/>
      <c r="I104" s="333"/>
      <c r="J104" s="334"/>
      <c r="K104" s="693"/>
      <c r="L104" s="693"/>
      <c r="M104" s="693"/>
      <c r="N104" s="693"/>
      <c r="O104" s="693"/>
      <c r="P104" s="693"/>
      <c r="Q104" s="694"/>
      <c r="R104" s="509"/>
      <c r="S104" s="509"/>
      <c r="T104" s="509"/>
    </row>
    <row r="105" spans="1:20" s="22" customFormat="1" ht="20.25" customHeight="1">
      <c r="A105" s="196" t="s">
        <v>2045</v>
      </c>
      <c r="B105" s="197" t="s">
        <v>2250</v>
      </c>
      <c r="C105" s="197" t="s">
        <v>750</v>
      </c>
      <c r="D105" s="917" t="s">
        <v>2759</v>
      </c>
      <c r="E105" s="198" t="s">
        <v>1826</v>
      </c>
      <c r="F105" s="332">
        <f>E106</f>
        <v>20.25</v>
      </c>
      <c r="G105" s="332"/>
      <c r="H105" s="332">
        <f>F105*G105</f>
        <v>0</v>
      </c>
      <c r="I105" s="333">
        <v>0.00222</v>
      </c>
      <c r="J105" s="334">
        <f>F105*I105</f>
        <v>0.044955</v>
      </c>
      <c r="K105" s="693"/>
      <c r="L105" s="693"/>
      <c r="M105" s="693"/>
      <c r="N105" s="693"/>
      <c r="O105" s="693"/>
      <c r="P105" s="693"/>
      <c r="Q105" s="694"/>
      <c r="R105" s="509"/>
      <c r="S105" s="509"/>
      <c r="T105" s="509"/>
    </row>
    <row r="106" spans="1:20" s="130" customFormat="1" ht="20.25" customHeight="1">
      <c r="A106" s="204"/>
      <c r="B106" s="205"/>
      <c r="C106" s="205" t="s">
        <v>826</v>
      </c>
      <c r="D106" s="916"/>
      <c r="E106" s="207">
        <f>(1.35*15)</f>
        <v>20.25</v>
      </c>
      <c r="F106" s="335"/>
      <c r="G106" s="335"/>
      <c r="H106" s="335"/>
      <c r="I106" s="336"/>
      <c r="J106" s="337"/>
      <c r="K106" s="672"/>
      <c r="L106" s="672"/>
      <c r="M106" s="672"/>
      <c r="N106" s="672"/>
      <c r="O106" s="672"/>
      <c r="P106" s="672"/>
      <c r="Q106" s="673"/>
      <c r="R106" s="508"/>
      <c r="S106" s="508"/>
      <c r="T106" s="508"/>
    </row>
    <row r="107" spans="1:20" s="22" customFormat="1" ht="20.25" customHeight="1">
      <c r="A107" s="196" t="s">
        <v>2054</v>
      </c>
      <c r="B107" s="197" t="s">
        <v>2260</v>
      </c>
      <c r="C107" s="197" t="s">
        <v>2269</v>
      </c>
      <c r="D107" s="917" t="s">
        <v>2759</v>
      </c>
      <c r="E107" s="198" t="s">
        <v>1826</v>
      </c>
      <c r="F107" s="332">
        <f>E108</f>
        <v>22.275000000000002</v>
      </c>
      <c r="G107" s="332"/>
      <c r="H107" s="332">
        <f>F107*G107</f>
        <v>0</v>
      </c>
      <c r="I107" s="333">
        <v>0.0052</v>
      </c>
      <c r="J107" s="334">
        <f>F107*I107</f>
        <v>0.11583</v>
      </c>
      <c r="K107" s="693"/>
      <c r="L107" s="693"/>
      <c r="M107" s="693"/>
      <c r="N107" s="693"/>
      <c r="O107" s="693"/>
      <c r="P107" s="693"/>
      <c r="Q107" s="694"/>
      <c r="R107" s="509"/>
      <c r="S107" s="509"/>
      <c r="T107" s="509"/>
    </row>
    <row r="108" spans="1:20" s="130" customFormat="1" ht="20.25" customHeight="1">
      <c r="A108" s="204"/>
      <c r="B108" s="205"/>
      <c r="C108" s="205" t="s">
        <v>827</v>
      </c>
      <c r="D108" s="916"/>
      <c r="E108" s="207">
        <f>(1.35*15)*1.1</f>
        <v>22.275000000000002</v>
      </c>
      <c r="F108" s="335"/>
      <c r="G108" s="335"/>
      <c r="H108" s="335"/>
      <c r="I108" s="336"/>
      <c r="J108" s="337"/>
      <c r="K108" s="672"/>
      <c r="L108" s="672"/>
      <c r="M108" s="672"/>
      <c r="N108" s="672"/>
      <c r="O108" s="672"/>
      <c r="P108" s="672"/>
      <c r="Q108" s="673"/>
      <c r="R108" s="508"/>
      <c r="S108" s="508"/>
      <c r="T108" s="508"/>
    </row>
    <row r="109" spans="1:20" s="22" customFormat="1" ht="14.25" customHeight="1">
      <c r="A109" s="196"/>
      <c r="B109" s="197"/>
      <c r="C109" s="197"/>
      <c r="D109" s="917"/>
      <c r="E109" s="198"/>
      <c r="F109" s="332"/>
      <c r="G109" s="332"/>
      <c r="H109" s="332"/>
      <c r="I109" s="333"/>
      <c r="J109" s="334"/>
      <c r="K109" s="693"/>
      <c r="L109" s="693"/>
      <c r="M109" s="693"/>
      <c r="N109" s="693"/>
      <c r="O109" s="693"/>
      <c r="P109" s="693"/>
      <c r="Q109" s="694"/>
      <c r="R109" s="509"/>
      <c r="S109" s="509"/>
      <c r="T109" s="509"/>
    </row>
    <row r="110" spans="1:20" s="22" customFormat="1" ht="20.25" customHeight="1">
      <c r="A110" s="196" t="s">
        <v>2059</v>
      </c>
      <c r="B110" s="197" t="s">
        <v>2296</v>
      </c>
      <c r="C110" s="197" t="s">
        <v>2297</v>
      </c>
      <c r="D110" s="917" t="s">
        <v>2759</v>
      </c>
      <c r="E110" s="198" t="s">
        <v>1826</v>
      </c>
      <c r="F110" s="332">
        <f>E111</f>
        <v>7.18</v>
      </c>
      <c r="G110" s="332"/>
      <c r="H110" s="332">
        <f>F110*G110</f>
        <v>0</v>
      </c>
      <c r="I110" s="333">
        <v>8E-05</v>
      </c>
      <c r="J110" s="334">
        <f>F110*I110</f>
        <v>0.0005744</v>
      </c>
      <c r="K110" s="509"/>
      <c r="L110" s="509"/>
      <c r="M110" s="509"/>
      <c r="N110" s="509"/>
      <c r="O110" s="509"/>
      <c r="P110" s="509"/>
      <c r="Q110" s="704"/>
      <c r="R110" s="509"/>
      <c r="S110" s="509"/>
      <c r="T110" s="509"/>
    </row>
    <row r="111" spans="1:20" s="130" customFormat="1" ht="17.25" customHeight="1">
      <c r="A111" s="204"/>
      <c r="B111" s="205"/>
      <c r="C111" s="205" t="s">
        <v>828</v>
      </c>
      <c r="D111" s="916"/>
      <c r="E111" s="207">
        <f>(1.44+2.15)*2</f>
        <v>7.18</v>
      </c>
      <c r="F111" s="335"/>
      <c r="G111" s="335"/>
      <c r="H111" s="335"/>
      <c r="I111" s="336"/>
      <c r="J111" s="337"/>
      <c r="K111" s="672"/>
      <c r="L111" s="672"/>
      <c r="M111" s="672"/>
      <c r="N111" s="672"/>
      <c r="O111" s="672"/>
      <c r="P111" s="672"/>
      <c r="Q111" s="673"/>
      <c r="R111" s="508"/>
      <c r="S111" s="508"/>
      <c r="T111" s="508"/>
    </row>
    <row r="112" spans="1:20" s="22" customFormat="1" ht="62.25" customHeight="1">
      <c r="A112" s="196"/>
      <c r="B112" s="197"/>
      <c r="C112" s="199" t="s">
        <v>2299</v>
      </c>
      <c r="D112" s="917" t="s">
        <v>2759</v>
      </c>
      <c r="E112" s="198"/>
      <c r="F112" s="332"/>
      <c r="G112" s="332"/>
      <c r="H112" s="332"/>
      <c r="I112" s="333"/>
      <c r="J112" s="334"/>
      <c r="K112" s="693"/>
      <c r="L112" s="693"/>
      <c r="M112" s="693"/>
      <c r="N112" s="693"/>
      <c r="O112" s="693"/>
      <c r="P112" s="693"/>
      <c r="Q112" s="694"/>
      <c r="R112" s="509"/>
      <c r="S112" s="509"/>
      <c r="T112" s="509"/>
    </row>
    <row r="113" spans="1:20" s="22" customFormat="1" ht="20.25" customHeight="1">
      <c r="A113" s="196" t="s">
        <v>2065</v>
      </c>
      <c r="B113" s="197" t="s">
        <v>756</v>
      </c>
      <c r="C113" s="197" t="s">
        <v>2302</v>
      </c>
      <c r="D113" s="917" t="s">
        <v>757</v>
      </c>
      <c r="E113" s="198" t="s">
        <v>1831</v>
      </c>
      <c r="F113" s="332">
        <v>1</v>
      </c>
      <c r="G113" s="332"/>
      <c r="H113" s="332">
        <f>F113*G113</f>
        <v>0</v>
      </c>
      <c r="I113" s="333">
        <v>0.00168</v>
      </c>
      <c r="J113" s="334">
        <f>F113*I113</f>
        <v>0.00168</v>
      </c>
      <c r="K113" s="693">
        <v>1.44</v>
      </c>
      <c r="L113" s="693">
        <v>2.15</v>
      </c>
      <c r="M113" s="693">
        <f>K113*L113</f>
        <v>3.0959999999999996</v>
      </c>
      <c r="N113" s="693">
        <f>F113*M113</f>
        <v>3.0959999999999996</v>
      </c>
      <c r="O113" s="693">
        <f>(K113+L113*2)*F113</f>
        <v>5.74</v>
      </c>
      <c r="P113" s="693">
        <v>0</v>
      </c>
      <c r="Q113" s="694" t="s">
        <v>740</v>
      </c>
      <c r="R113" s="509"/>
      <c r="S113" s="509"/>
      <c r="T113" s="509"/>
    </row>
    <row r="114" spans="1:20" s="22" customFormat="1" ht="15.75" customHeight="1">
      <c r="A114" s="196"/>
      <c r="B114" s="197"/>
      <c r="C114" s="199"/>
      <c r="D114" s="917"/>
      <c r="E114" s="198"/>
      <c r="F114" s="332"/>
      <c r="G114" s="332"/>
      <c r="H114" s="332"/>
      <c r="I114" s="333"/>
      <c r="J114" s="334"/>
      <c r="K114" s="693"/>
      <c r="L114" s="693"/>
      <c r="M114" s="693"/>
      <c r="N114" s="693"/>
      <c r="O114" s="693"/>
      <c r="P114" s="693"/>
      <c r="Q114" s="694"/>
      <c r="R114" s="509"/>
      <c r="S114" s="509"/>
      <c r="T114" s="509"/>
    </row>
    <row r="115" spans="1:20" s="22" customFormat="1" ht="30" customHeight="1">
      <c r="A115" s="196" t="s">
        <v>2069</v>
      </c>
      <c r="B115" s="197" t="s">
        <v>2280</v>
      </c>
      <c r="C115" s="199" t="s">
        <v>2281</v>
      </c>
      <c r="D115" s="917" t="s">
        <v>2761</v>
      </c>
      <c r="E115" s="198" t="s">
        <v>1826</v>
      </c>
      <c r="F115" s="332">
        <f>E116</f>
        <v>79.99</v>
      </c>
      <c r="G115" s="332"/>
      <c r="H115" s="332">
        <f>F115*G115</f>
        <v>0</v>
      </c>
      <c r="I115" s="333">
        <v>4E-05</v>
      </c>
      <c r="J115" s="334">
        <f>F115*I115</f>
        <v>0.0031996</v>
      </c>
      <c r="K115" s="693"/>
      <c r="L115" s="693"/>
      <c r="M115" s="693"/>
      <c r="N115" s="693"/>
      <c r="O115" s="693"/>
      <c r="P115" s="693"/>
      <c r="Q115" s="694"/>
      <c r="R115" s="509"/>
      <c r="S115" s="509"/>
      <c r="T115" s="509"/>
    </row>
    <row r="116" spans="1:20" s="130" customFormat="1" ht="16.5" customHeight="1">
      <c r="A116" s="204"/>
      <c r="B116" s="205"/>
      <c r="C116" s="206" t="s">
        <v>829</v>
      </c>
      <c r="D116" s="916"/>
      <c r="E116" s="207">
        <f>74.25+5.74</f>
        <v>79.99</v>
      </c>
      <c r="F116" s="335"/>
      <c r="G116" s="335"/>
      <c r="H116" s="335"/>
      <c r="I116" s="336"/>
      <c r="J116" s="337"/>
      <c r="K116" s="672"/>
      <c r="L116" s="672"/>
      <c r="M116" s="672"/>
      <c r="N116" s="672"/>
      <c r="O116" s="672"/>
      <c r="P116" s="672"/>
      <c r="Q116" s="673"/>
      <c r="R116" s="508"/>
      <c r="S116" s="508"/>
      <c r="T116" s="508"/>
    </row>
    <row r="117" spans="1:20" s="22" customFormat="1" ht="30" customHeight="1">
      <c r="A117" s="196" t="s">
        <v>2074</v>
      </c>
      <c r="B117" s="197" t="s">
        <v>2284</v>
      </c>
      <c r="C117" s="199" t="s">
        <v>2285</v>
      </c>
      <c r="D117" s="917" t="s">
        <v>2761</v>
      </c>
      <c r="E117" s="198" t="s">
        <v>1826</v>
      </c>
      <c r="F117" s="332">
        <f>E118</f>
        <v>20.25</v>
      </c>
      <c r="G117" s="332"/>
      <c r="H117" s="332">
        <f>F117*G117</f>
        <v>0</v>
      </c>
      <c r="I117" s="333">
        <v>0.00016</v>
      </c>
      <c r="J117" s="334">
        <f>F117*I117</f>
        <v>0.0032400000000000003</v>
      </c>
      <c r="K117" s="693"/>
      <c r="L117" s="693"/>
      <c r="M117" s="693"/>
      <c r="N117" s="693"/>
      <c r="O117" s="693"/>
      <c r="P117" s="693"/>
      <c r="Q117" s="694"/>
      <c r="R117" s="509"/>
      <c r="S117" s="509"/>
      <c r="T117" s="509"/>
    </row>
    <row r="118" spans="1:20" s="130" customFormat="1" ht="15.75" customHeight="1">
      <c r="A118" s="204"/>
      <c r="B118" s="205"/>
      <c r="C118" s="206" t="s">
        <v>830</v>
      </c>
      <c r="D118" s="916"/>
      <c r="E118" s="207">
        <f>20.25</f>
        <v>20.25</v>
      </c>
      <c r="F118" s="335"/>
      <c r="G118" s="335"/>
      <c r="H118" s="335"/>
      <c r="I118" s="336"/>
      <c r="J118" s="337"/>
      <c r="K118" s="672"/>
      <c r="L118" s="672"/>
      <c r="M118" s="672"/>
      <c r="N118" s="672"/>
      <c r="O118" s="672"/>
      <c r="P118" s="672"/>
      <c r="Q118" s="673"/>
      <c r="R118" s="508"/>
      <c r="S118" s="508"/>
      <c r="T118" s="508"/>
    </row>
    <row r="119" spans="1:20" s="22" customFormat="1" ht="15" customHeight="1" thickBot="1">
      <c r="A119" s="255"/>
      <c r="B119" s="256"/>
      <c r="C119" s="256"/>
      <c r="D119" s="968"/>
      <c r="E119" s="257"/>
      <c r="F119" s="368"/>
      <c r="G119" s="368"/>
      <c r="H119" s="368"/>
      <c r="I119" s="369"/>
      <c r="J119" s="370"/>
      <c r="K119" s="693"/>
      <c r="L119" s="693"/>
      <c r="M119" s="693"/>
      <c r="N119" s="693"/>
      <c r="O119" s="693"/>
      <c r="P119" s="693"/>
      <c r="Q119" s="694"/>
      <c r="R119" s="509"/>
      <c r="S119" s="509"/>
      <c r="T119" s="509"/>
    </row>
    <row r="120" spans="1:20" ht="16.5" customHeight="1" thickBot="1">
      <c r="A120" s="266" t="s">
        <v>2322</v>
      </c>
      <c r="B120" s="175" t="s">
        <v>2323</v>
      </c>
      <c r="C120" s="176" t="s">
        <v>2324</v>
      </c>
      <c r="D120" s="1008"/>
      <c r="E120" s="175"/>
      <c r="F120" s="341"/>
      <c r="G120" s="341"/>
      <c r="H120" s="342">
        <f>SUM(H121:H123)</f>
        <v>0</v>
      </c>
      <c r="I120" s="343"/>
      <c r="J120" s="1012">
        <f>SUM(J121:J123)</f>
        <v>0.0764</v>
      </c>
      <c r="K120" s="670"/>
      <c r="L120" s="670"/>
      <c r="M120" s="670"/>
      <c r="N120" s="670"/>
      <c r="O120" s="670"/>
      <c r="P120" s="670"/>
      <c r="Q120" s="670"/>
      <c r="R120" s="670"/>
      <c r="S120" s="670"/>
      <c r="T120" s="670"/>
    </row>
    <row r="121" spans="1:20" s="22" customFormat="1" ht="18" customHeight="1">
      <c r="A121" s="196" t="s">
        <v>2325</v>
      </c>
      <c r="B121" s="197" t="s">
        <v>2329</v>
      </c>
      <c r="C121" s="199" t="s">
        <v>831</v>
      </c>
      <c r="D121" s="917" t="s">
        <v>2749</v>
      </c>
      <c r="E121" s="198" t="s">
        <v>2331</v>
      </c>
      <c r="F121" s="332">
        <v>1</v>
      </c>
      <c r="G121" s="332"/>
      <c r="H121" s="332">
        <f>F121*G121</f>
        <v>0</v>
      </c>
      <c r="I121" s="333"/>
      <c r="J121" s="334"/>
      <c r="K121" s="693"/>
      <c r="L121" s="693"/>
      <c r="M121" s="693"/>
      <c r="N121" s="693"/>
      <c r="O121" s="693"/>
      <c r="P121" s="693"/>
      <c r="Q121" s="694"/>
      <c r="R121" s="509"/>
      <c r="S121" s="509"/>
      <c r="T121" s="509"/>
    </row>
    <row r="122" spans="1:59" s="22" customFormat="1" ht="30" customHeight="1">
      <c r="A122" s="196" t="s">
        <v>2328</v>
      </c>
      <c r="B122" s="197" t="s">
        <v>2333</v>
      </c>
      <c r="C122" s="199" t="s">
        <v>2334</v>
      </c>
      <c r="D122" s="917" t="s">
        <v>2749</v>
      </c>
      <c r="E122" s="198" t="s">
        <v>1718</v>
      </c>
      <c r="F122" s="332">
        <v>1</v>
      </c>
      <c r="G122" s="332"/>
      <c r="H122" s="332">
        <f>F122*G122</f>
        <v>0</v>
      </c>
      <c r="I122" s="333">
        <v>0.0764</v>
      </c>
      <c r="J122" s="334">
        <f>F122*I122</f>
        <v>0.0764</v>
      </c>
      <c r="K122" s="693">
        <v>0</v>
      </c>
      <c r="L122" s="693">
        <f>F122*K122</f>
        <v>0</v>
      </c>
      <c r="M122" s="693"/>
      <c r="N122" s="693"/>
      <c r="O122" s="693"/>
      <c r="P122" s="693"/>
      <c r="Q122" s="694">
        <v>2</v>
      </c>
      <c r="R122" s="509"/>
      <c r="S122" s="509"/>
      <c r="T122" s="509"/>
      <c r="AA122" s="22">
        <v>12</v>
      </c>
      <c r="AB122" s="22">
        <v>0</v>
      </c>
      <c r="AC122" s="22">
        <v>30</v>
      </c>
      <c r="BB122" s="22">
        <v>1</v>
      </c>
      <c r="BC122" s="22">
        <f>IF(BB122=1,G122,0)</f>
        <v>0</v>
      </c>
      <c r="BD122" s="22">
        <f>IF(BB122=2,G122,0)</f>
        <v>0</v>
      </c>
      <c r="BE122" s="22">
        <f>IF(BB122=3,G122,0)</f>
        <v>0</v>
      </c>
      <c r="BF122" s="22">
        <f>IF(BB122=4,G122,0)</f>
        <v>0</v>
      </c>
      <c r="BG122" s="22">
        <f>IF(BB122=5,G122,0)</f>
        <v>0</v>
      </c>
    </row>
    <row r="123" spans="1:20" s="22" customFormat="1" ht="30" customHeight="1" thickBot="1">
      <c r="A123" s="196" t="s">
        <v>2332</v>
      </c>
      <c r="B123" s="197" t="s">
        <v>2336</v>
      </c>
      <c r="C123" s="199" t="s">
        <v>2337</v>
      </c>
      <c r="D123" s="917" t="s">
        <v>2749</v>
      </c>
      <c r="E123" s="198" t="s">
        <v>1826</v>
      </c>
      <c r="F123" s="332">
        <v>10</v>
      </c>
      <c r="G123" s="332"/>
      <c r="H123" s="332">
        <f>F123*G123</f>
        <v>0</v>
      </c>
      <c r="I123" s="333"/>
      <c r="J123" s="334"/>
      <c r="K123" s="693"/>
      <c r="L123" s="693"/>
      <c r="M123" s="693"/>
      <c r="N123" s="693"/>
      <c r="O123" s="693"/>
      <c r="P123" s="693"/>
      <c r="Q123" s="694"/>
      <c r="R123" s="509"/>
      <c r="S123" s="509"/>
      <c r="T123" s="509"/>
    </row>
    <row r="124" spans="1:20" ht="16.5" customHeight="1" thickBot="1">
      <c r="A124" s="266" t="s">
        <v>2338</v>
      </c>
      <c r="B124" s="175" t="s">
        <v>2339</v>
      </c>
      <c r="C124" s="176" t="s">
        <v>2340</v>
      </c>
      <c r="D124" s="1008"/>
      <c r="E124" s="175"/>
      <c r="F124" s="341"/>
      <c r="G124" s="341"/>
      <c r="H124" s="342">
        <f>SUM(H125:H133)</f>
        <v>0</v>
      </c>
      <c r="I124" s="343"/>
      <c r="J124" s="344">
        <f>SUM(J125:J132)</f>
        <v>3.923951400000001</v>
      </c>
      <c r="K124" s="670"/>
      <c r="L124" s="670"/>
      <c r="M124" s="670"/>
      <c r="N124" s="670"/>
      <c r="O124" s="670"/>
      <c r="P124" s="670"/>
      <c r="Q124" s="670"/>
      <c r="R124" s="670"/>
      <c r="S124" s="670"/>
      <c r="T124" s="670"/>
    </row>
    <row r="125" spans="1:20" s="22" customFormat="1" ht="23.25" customHeight="1">
      <c r="A125" s="190" t="s">
        <v>2341</v>
      </c>
      <c r="B125" s="191" t="s">
        <v>2342</v>
      </c>
      <c r="C125" s="265" t="s">
        <v>2343</v>
      </c>
      <c r="D125" s="964"/>
      <c r="E125" s="192" t="s">
        <v>1748</v>
      </c>
      <c r="F125" s="345">
        <f>(141+39.55)*1.08+0.01</f>
        <v>195.00400000000002</v>
      </c>
      <c r="G125" s="345"/>
      <c r="H125" s="345">
        <f aca="true" t="shared" si="4" ref="H125:H133">F125*G125</f>
        <v>0</v>
      </c>
      <c r="I125" s="346">
        <v>0.01838</v>
      </c>
      <c r="J125" s="347">
        <f aca="true" t="shared" si="5" ref="J125:J132">F125*I125</f>
        <v>3.5841735200000007</v>
      </c>
      <c r="K125" s="693"/>
      <c r="L125" s="693"/>
      <c r="M125" s="693"/>
      <c r="N125" s="693"/>
      <c r="O125" s="693"/>
      <c r="P125" s="693"/>
      <c r="Q125" s="694"/>
      <c r="R125" s="509"/>
      <c r="S125" s="509"/>
      <c r="T125" s="509"/>
    </row>
    <row r="126" spans="1:20" s="22" customFormat="1" ht="23.25" customHeight="1">
      <c r="A126" s="196" t="s">
        <v>2344</v>
      </c>
      <c r="B126" s="197" t="s">
        <v>2345</v>
      </c>
      <c r="C126" s="199" t="s">
        <v>2346</v>
      </c>
      <c r="D126" s="917"/>
      <c r="E126" s="198" t="s">
        <v>1748</v>
      </c>
      <c r="F126" s="332">
        <f>F125</f>
        <v>195.00400000000002</v>
      </c>
      <c r="G126" s="332"/>
      <c r="H126" s="332">
        <f t="shared" si="4"/>
        <v>0</v>
      </c>
      <c r="I126" s="333">
        <v>0.00097</v>
      </c>
      <c r="J126" s="334">
        <f t="shared" si="5"/>
        <v>0.18915388000000002</v>
      </c>
      <c r="K126" s="693"/>
      <c r="L126" s="693"/>
      <c r="M126" s="693"/>
      <c r="N126" s="693"/>
      <c r="O126" s="693"/>
      <c r="P126" s="693"/>
      <c r="Q126" s="694"/>
      <c r="R126" s="509"/>
      <c r="S126" s="509"/>
      <c r="T126" s="509"/>
    </row>
    <row r="127" spans="1:20" s="22" customFormat="1" ht="23.25" customHeight="1">
      <c r="A127" s="196" t="s">
        <v>2347</v>
      </c>
      <c r="B127" s="197" t="s">
        <v>2348</v>
      </c>
      <c r="C127" s="199" t="s">
        <v>2349</v>
      </c>
      <c r="D127" s="917"/>
      <c r="E127" s="198" t="s">
        <v>1748</v>
      </c>
      <c r="F127" s="332">
        <f>F126</f>
        <v>195.00400000000002</v>
      </c>
      <c r="G127" s="332"/>
      <c r="H127" s="332">
        <f t="shared" si="4"/>
        <v>0</v>
      </c>
      <c r="I127" s="333">
        <v>0</v>
      </c>
      <c r="J127" s="334">
        <f t="shared" si="5"/>
        <v>0</v>
      </c>
      <c r="K127" s="693"/>
      <c r="L127" s="693"/>
      <c r="M127" s="693"/>
      <c r="N127" s="693"/>
      <c r="O127" s="693"/>
      <c r="P127" s="693"/>
      <c r="Q127" s="694"/>
      <c r="R127" s="509"/>
      <c r="S127" s="509"/>
      <c r="T127" s="509"/>
    </row>
    <row r="128" spans="1:20" s="22" customFormat="1" ht="23.25" customHeight="1">
      <c r="A128" s="196" t="s">
        <v>2350</v>
      </c>
      <c r="B128" s="197" t="s">
        <v>2351</v>
      </c>
      <c r="C128" s="199" t="s">
        <v>2352</v>
      </c>
      <c r="D128" s="917"/>
      <c r="E128" s="198" t="s">
        <v>1748</v>
      </c>
      <c r="F128" s="332">
        <f>F125</f>
        <v>195.00400000000002</v>
      </c>
      <c r="G128" s="332"/>
      <c r="H128" s="332">
        <f t="shared" si="4"/>
        <v>0</v>
      </c>
      <c r="I128" s="333">
        <v>0</v>
      </c>
      <c r="J128" s="334">
        <f t="shared" si="5"/>
        <v>0</v>
      </c>
      <c r="K128" s="693"/>
      <c r="L128" s="693"/>
      <c r="M128" s="693"/>
      <c r="N128" s="693"/>
      <c r="O128" s="693"/>
      <c r="P128" s="693"/>
      <c r="Q128" s="694"/>
      <c r="R128" s="509"/>
      <c r="S128" s="509"/>
      <c r="T128" s="509"/>
    </row>
    <row r="129" spans="1:20" s="22" customFormat="1" ht="23.25" customHeight="1">
      <c r="A129" s="196" t="s">
        <v>2353</v>
      </c>
      <c r="B129" s="197" t="s">
        <v>2354</v>
      </c>
      <c r="C129" s="199" t="s">
        <v>2355</v>
      </c>
      <c r="D129" s="917"/>
      <c r="E129" s="198" t="s">
        <v>1748</v>
      </c>
      <c r="F129" s="332">
        <f>F128</f>
        <v>195.00400000000002</v>
      </c>
      <c r="G129" s="332"/>
      <c r="H129" s="332">
        <f t="shared" si="4"/>
        <v>0</v>
      </c>
      <c r="I129" s="333">
        <v>0</v>
      </c>
      <c r="J129" s="334">
        <f t="shared" si="5"/>
        <v>0</v>
      </c>
      <c r="K129" s="693"/>
      <c r="L129" s="693"/>
      <c r="M129" s="693"/>
      <c r="N129" s="693"/>
      <c r="O129" s="693"/>
      <c r="P129" s="693"/>
      <c r="Q129" s="694"/>
      <c r="R129" s="509"/>
      <c r="S129" s="509"/>
      <c r="T129" s="509"/>
    </row>
    <row r="130" spans="1:20" s="22" customFormat="1" ht="23.25" customHeight="1">
      <c r="A130" s="196" t="s">
        <v>2356</v>
      </c>
      <c r="B130" s="197" t="s">
        <v>2357</v>
      </c>
      <c r="C130" s="199" t="s">
        <v>2358</v>
      </c>
      <c r="D130" s="917"/>
      <c r="E130" s="198" t="s">
        <v>1748</v>
      </c>
      <c r="F130" s="332">
        <f>F128</f>
        <v>195.00400000000002</v>
      </c>
      <c r="G130" s="332"/>
      <c r="H130" s="332">
        <f t="shared" si="4"/>
        <v>0</v>
      </c>
      <c r="I130" s="333">
        <v>0</v>
      </c>
      <c r="J130" s="334">
        <f t="shared" si="5"/>
        <v>0</v>
      </c>
      <c r="K130" s="693"/>
      <c r="L130" s="693"/>
      <c r="M130" s="693"/>
      <c r="N130" s="693"/>
      <c r="O130" s="693"/>
      <c r="P130" s="693"/>
      <c r="Q130" s="694"/>
      <c r="R130" s="509"/>
      <c r="S130" s="509"/>
      <c r="T130" s="509"/>
    </row>
    <row r="131" spans="1:20" s="22" customFormat="1" ht="23.25" customHeight="1">
      <c r="A131" s="196" t="s">
        <v>2359</v>
      </c>
      <c r="B131" s="197" t="s">
        <v>2360</v>
      </c>
      <c r="C131" s="199" t="s">
        <v>2361</v>
      </c>
      <c r="D131" s="917"/>
      <c r="E131" s="198" t="s">
        <v>1748</v>
      </c>
      <c r="F131" s="332">
        <f>20.25*1.2</f>
        <v>24.3</v>
      </c>
      <c r="G131" s="332"/>
      <c r="H131" s="332">
        <f t="shared" si="4"/>
        <v>0</v>
      </c>
      <c r="I131" s="333">
        <v>0.00592</v>
      </c>
      <c r="J131" s="334">
        <f t="shared" si="5"/>
        <v>0.143856</v>
      </c>
      <c r="K131" s="693"/>
      <c r="L131" s="693"/>
      <c r="M131" s="693"/>
      <c r="N131" s="693"/>
      <c r="O131" s="693"/>
      <c r="P131" s="693"/>
      <c r="Q131" s="694"/>
      <c r="R131" s="509"/>
      <c r="S131" s="509"/>
      <c r="T131" s="509"/>
    </row>
    <row r="132" spans="1:20" s="22" customFormat="1" ht="23.25" customHeight="1">
      <c r="A132" s="196" t="s">
        <v>2362</v>
      </c>
      <c r="B132" s="197" t="s">
        <v>2363</v>
      </c>
      <c r="C132" s="199" t="s">
        <v>2364</v>
      </c>
      <c r="D132" s="917"/>
      <c r="E132" s="198" t="s">
        <v>1748</v>
      </c>
      <c r="F132" s="332">
        <f>141*1.2</f>
        <v>169.2</v>
      </c>
      <c r="G132" s="332"/>
      <c r="H132" s="332">
        <f t="shared" si="4"/>
        <v>0</v>
      </c>
      <c r="I132" s="333">
        <v>4E-05</v>
      </c>
      <c r="J132" s="334">
        <f t="shared" si="5"/>
        <v>0.006768</v>
      </c>
      <c r="K132" s="693"/>
      <c r="L132" s="693"/>
      <c r="M132" s="693"/>
      <c r="N132" s="693"/>
      <c r="O132" s="693"/>
      <c r="P132" s="693"/>
      <c r="Q132" s="694"/>
      <c r="R132" s="509"/>
      <c r="S132" s="509"/>
      <c r="T132" s="509"/>
    </row>
    <row r="133" spans="1:20" s="22" customFormat="1" ht="23.25" customHeight="1" thickBot="1">
      <c r="A133" s="255" t="s">
        <v>2365</v>
      </c>
      <c r="B133" s="256" t="s">
        <v>2366</v>
      </c>
      <c r="C133" s="264" t="s">
        <v>2367</v>
      </c>
      <c r="D133" s="968"/>
      <c r="E133" s="257" t="s">
        <v>1783</v>
      </c>
      <c r="F133" s="1120">
        <f>J124+J120+J98+J93+J63+J55+J39+J37+J35+J28+J18</f>
        <v>60.2448791943</v>
      </c>
      <c r="G133" s="368"/>
      <c r="H133" s="368">
        <f t="shared" si="4"/>
        <v>0</v>
      </c>
      <c r="I133" s="369">
        <v>0</v>
      </c>
      <c r="J133" s="370"/>
      <c r="K133" s="693"/>
      <c r="L133" s="693"/>
      <c r="M133" s="693"/>
      <c r="N133" s="693"/>
      <c r="O133" s="693"/>
      <c r="P133" s="693"/>
      <c r="Q133" s="694"/>
      <c r="R133" s="509"/>
      <c r="S133" s="509"/>
      <c r="T133" s="509"/>
    </row>
    <row r="134" spans="1:20" ht="16.5" customHeight="1" thickBot="1">
      <c r="A134" s="266" t="s">
        <v>2368</v>
      </c>
      <c r="B134" s="175" t="s">
        <v>2369</v>
      </c>
      <c r="C134" s="176" t="s">
        <v>2370</v>
      </c>
      <c r="D134" s="1008"/>
      <c r="E134" s="175"/>
      <c r="F134" s="341"/>
      <c r="G134" s="341"/>
      <c r="H134" s="1011">
        <f>SUM(H135:H177)</f>
        <v>0</v>
      </c>
      <c r="I134" s="343"/>
      <c r="J134" s="344">
        <f>SUM(J135:J166)</f>
        <v>27.878697200000005</v>
      </c>
      <c r="K134" s="670"/>
      <c r="L134" s="670"/>
      <c r="M134" s="670"/>
      <c r="N134" s="670"/>
      <c r="O134" s="670"/>
      <c r="P134" s="670"/>
      <c r="Q134" s="670"/>
      <c r="R134" s="670"/>
      <c r="S134" s="670"/>
      <c r="T134" s="670"/>
    </row>
    <row r="135" spans="1:20" s="22" customFormat="1" ht="16.5" customHeight="1">
      <c r="A135" s="190"/>
      <c r="B135" s="191"/>
      <c r="C135" s="265"/>
      <c r="D135" s="964"/>
      <c r="E135" s="192"/>
      <c r="F135" s="345"/>
      <c r="G135" s="345"/>
      <c r="H135" s="345"/>
      <c r="I135" s="346"/>
      <c r="J135" s="347"/>
      <c r="K135" s="693"/>
      <c r="L135" s="693"/>
      <c r="M135" s="693"/>
      <c r="N135" s="693"/>
      <c r="O135" s="693"/>
      <c r="P135" s="693"/>
      <c r="Q135" s="694"/>
      <c r="R135" s="509"/>
      <c r="S135" s="509"/>
      <c r="T135" s="509"/>
    </row>
    <row r="136" spans="1:60" s="259" customFormat="1" ht="19.5" customHeight="1">
      <c r="A136" s="692" t="s">
        <v>2371</v>
      </c>
      <c r="B136" s="687" t="s">
        <v>2375</v>
      </c>
      <c r="C136" s="688" t="s">
        <v>2376</v>
      </c>
      <c r="D136" s="974" t="s">
        <v>2761</v>
      </c>
      <c r="E136" s="287" t="s">
        <v>1748</v>
      </c>
      <c r="F136" s="387">
        <f>SUM(E137:E137)</f>
        <v>23.099999999999998</v>
      </c>
      <c r="G136" s="387"/>
      <c r="H136" s="387">
        <f>F136*G136</f>
        <v>0</v>
      </c>
      <c r="I136" s="689">
        <v>0.059</v>
      </c>
      <c r="J136" s="690">
        <f>F136*I136</f>
        <v>1.3628999999999998</v>
      </c>
      <c r="K136" s="258"/>
      <c r="L136" s="258"/>
      <c r="M136" s="214"/>
      <c r="N136" s="691"/>
      <c r="O136" s="691"/>
      <c r="P136" s="258"/>
      <c r="Q136" s="258"/>
      <c r="R136" s="258">
        <v>2</v>
      </c>
      <c r="S136" s="258"/>
      <c r="T136" s="258"/>
      <c r="U136" s="718"/>
      <c r="V136" s="718"/>
      <c r="W136" s="718"/>
      <c r="X136" s="718"/>
      <c r="Y136" s="718"/>
      <c r="Z136" s="718"/>
      <c r="AA136" s="718"/>
      <c r="AB136" s="718">
        <v>12</v>
      </c>
      <c r="AC136" s="718">
        <v>0</v>
      </c>
      <c r="AD136" s="718">
        <v>25</v>
      </c>
      <c r="AE136" s="718"/>
      <c r="AF136" s="718"/>
      <c r="AG136" s="718"/>
      <c r="AH136" s="718"/>
      <c r="AI136" s="718"/>
      <c r="AJ136" s="718"/>
      <c r="AK136" s="718"/>
      <c r="AL136" s="718"/>
      <c r="AM136" s="718"/>
      <c r="AN136" s="718"/>
      <c r="AO136" s="718"/>
      <c r="AP136" s="718"/>
      <c r="AQ136" s="718"/>
      <c r="AR136" s="718"/>
      <c r="AS136" s="718"/>
      <c r="AT136" s="718"/>
      <c r="AU136" s="718"/>
      <c r="AV136" s="718"/>
      <c r="AW136" s="718"/>
      <c r="AX136" s="718"/>
      <c r="AY136" s="718"/>
      <c r="AZ136" s="718"/>
      <c r="BA136" s="718"/>
      <c r="BB136" s="718"/>
      <c r="BC136" s="718">
        <v>1</v>
      </c>
      <c r="BD136" s="718">
        <f>IF(BC136=1,H136,0)</f>
        <v>0</v>
      </c>
      <c r="BE136" s="718">
        <f>IF(BC136=2,H136,0)</f>
        <v>0</v>
      </c>
      <c r="BF136" s="718">
        <f>IF(BC136=3,H136,0)</f>
        <v>0</v>
      </c>
      <c r="BG136" s="718">
        <f>IF(BC136=4,H136,0)</f>
        <v>0</v>
      </c>
      <c r="BH136" s="718">
        <f>IF(BC136=5,H136,0)</f>
        <v>0</v>
      </c>
    </row>
    <row r="137" spans="1:20" s="142" customFormat="1" ht="18" customHeight="1">
      <c r="A137" s="204"/>
      <c r="B137" s="222" t="s">
        <v>1920</v>
      </c>
      <c r="C137" s="224" t="s">
        <v>832</v>
      </c>
      <c r="D137" s="971"/>
      <c r="E137" s="213">
        <f>(17.2)*0.7*2-1.4*0.7</f>
        <v>23.099999999999998</v>
      </c>
      <c r="F137" s="141"/>
      <c r="G137" s="141"/>
      <c r="H137" s="141"/>
      <c r="I137" s="350"/>
      <c r="J137" s="351"/>
      <c r="K137" s="215"/>
      <c r="L137" s="215"/>
      <c r="M137" s="214"/>
      <c r="N137" s="215"/>
      <c r="O137" s="215"/>
      <c r="P137" s="215"/>
      <c r="Q137" s="215"/>
      <c r="R137" s="215"/>
      <c r="S137" s="215"/>
      <c r="T137" s="215"/>
    </row>
    <row r="138" spans="1:60" s="259" customFormat="1" ht="25.5" customHeight="1">
      <c r="A138" s="692" t="s">
        <v>2374</v>
      </c>
      <c r="B138" s="687" t="s">
        <v>2384</v>
      </c>
      <c r="C138" s="688" t="s">
        <v>2385</v>
      </c>
      <c r="D138" s="974" t="s">
        <v>2763</v>
      </c>
      <c r="E138" s="287" t="s">
        <v>1748</v>
      </c>
      <c r="F138" s="387">
        <f>SUM(E139:E139)</f>
        <v>40.82</v>
      </c>
      <c r="G138" s="387"/>
      <c r="H138" s="387">
        <f>F138*G138</f>
        <v>0</v>
      </c>
      <c r="I138" s="689">
        <v>0.014</v>
      </c>
      <c r="J138" s="690">
        <f>F138*I138</f>
        <v>0.57148</v>
      </c>
      <c r="K138" s="258"/>
      <c r="L138" s="258"/>
      <c r="M138" s="214"/>
      <c r="N138" s="691"/>
      <c r="O138" s="691"/>
      <c r="P138" s="258"/>
      <c r="Q138" s="258"/>
      <c r="R138" s="258">
        <v>2</v>
      </c>
      <c r="S138" s="258"/>
      <c r="T138" s="258"/>
      <c r="U138" s="258"/>
      <c r="V138" s="258"/>
      <c r="W138" s="258"/>
      <c r="X138" s="718"/>
      <c r="Y138" s="718"/>
      <c r="Z138" s="718"/>
      <c r="AA138" s="718"/>
      <c r="AB138" s="718">
        <v>12</v>
      </c>
      <c r="AC138" s="718">
        <v>0</v>
      </c>
      <c r="AD138" s="718">
        <v>9</v>
      </c>
      <c r="AE138" s="718"/>
      <c r="AF138" s="718"/>
      <c r="AG138" s="718"/>
      <c r="AH138" s="718"/>
      <c r="AI138" s="718"/>
      <c r="AJ138" s="718"/>
      <c r="AK138" s="718"/>
      <c r="AL138" s="718"/>
      <c r="AM138" s="718"/>
      <c r="AN138" s="718"/>
      <c r="AO138" s="718"/>
      <c r="AP138" s="718"/>
      <c r="AQ138" s="718"/>
      <c r="AR138" s="718"/>
      <c r="AS138" s="718"/>
      <c r="AT138" s="718"/>
      <c r="AU138" s="718"/>
      <c r="AV138" s="718"/>
      <c r="AW138" s="718"/>
      <c r="AX138" s="718"/>
      <c r="AY138" s="718"/>
      <c r="AZ138" s="718"/>
      <c r="BA138" s="718"/>
      <c r="BB138" s="718"/>
      <c r="BC138" s="718">
        <v>1</v>
      </c>
      <c r="BD138" s="718">
        <f>IF(BC138=1,H138,0)</f>
        <v>0</v>
      </c>
      <c r="BE138" s="718">
        <f>IF(BC138=2,H138,0)</f>
        <v>0</v>
      </c>
      <c r="BF138" s="718">
        <f>IF(BC138=3,H138,0)</f>
        <v>0</v>
      </c>
      <c r="BG138" s="718">
        <f>IF(BC138=4,H138,0)</f>
        <v>0</v>
      </c>
      <c r="BH138" s="718">
        <f>IF(BC138=5,H138,0)</f>
        <v>0</v>
      </c>
    </row>
    <row r="139" spans="1:24" s="211" customFormat="1" ht="20.25" customHeight="1">
      <c r="A139" s="223"/>
      <c r="B139" s="224" t="s">
        <v>833</v>
      </c>
      <c r="C139" s="224" t="s">
        <v>834</v>
      </c>
      <c r="D139" s="970"/>
      <c r="E139" s="220">
        <f>23.1+17.72</f>
        <v>40.82</v>
      </c>
      <c r="F139" s="225"/>
      <c r="G139" s="674"/>
      <c r="H139" s="225"/>
      <c r="I139" s="348"/>
      <c r="J139" s="349"/>
      <c r="K139" s="675"/>
      <c r="L139" s="675"/>
      <c r="M139" s="675"/>
      <c r="N139" s="675"/>
      <c r="O139" s="676"/>
      <c r="P139" s="676"/>
      <c r="Q139" s="676"/>
      <c r="R139" s="676"/>
      <c r="S139" s="515"/>
      <c r="T139" s="515"/>
      <c r="U139" s="210"/>
      <c r="V139" s="210"/>
      <c r="W139" s="210"/>
      <c r="X139" s="210"/>
    </row>
    <row r="140" spans="1:20" s="22" customFormat="1" ht="21.75" customHeight="1">
      <c r="A140" s="196" t="s">
        <v>2379</v>
      </c>
      <c r="B140" s="197" t="s">
        <v>2387</v>
      </c>
      <c r="C140" s="199" t="s">
        <v>2388</v>
      </c>
      <c r="D140" s="917" t="s">
        <v>2761</v>
      </c>
      <c r="E140" s="198" t="s">
        <v>1748</v>
      </c>
      <c r="F140" s="332">
        <f>141-23.1</f>
        <v>117.9</v>
      </c>
      <c r="G140" s="332"/>
      <c r="H140" s="332">
        <f aca="true" t="shared" si="6" ref="H140:H145">F140*G140</f>
        <v>0</v>
      </c>
      <c r="I140" s="333">
        <v>0.023</v>
      </c>
      <c r="J140" s="334">
        <f aca="true" t="shared" si="7" ref="J140:J145">F140*I140</f>
        <v>2.7117</v>
      </c>
      <c r="K140" s="693"/>
      <c r="L140" s="693"/>
      <c r="M140" s="693"/>
      <c r="N140" s="693"/>
      <c r="O140" s="693"/>
      <c r="P140" s="693"/>
      <c r="Q140" s="694"/>
      <c r="R140" s="509"/>
      <c r="S140" s="509"/>
      <c r="T140" s="509"/>
    </row>
    <row r="141" spans="1:20" s="22" customFormat="1" ht="21.75" customHeight="1">
      <c r="A141" s="196" t="s">
        <v>2383</v>
      </c>
      <c r="B141" s="197" t="s">
        <v>767</v>
      </c>
      <c r="C141" s="199" t="s">
        <v>768</v>
      </c>
      <c r="D141" s="917" t="s">
        <v>2759</v>
      </c>
      <c r="E141" s="198" t="s">
        <v>1748</v>
      </c>
      <c r="F141" s="387">
        <f>SUM(E142:E142)</f>
        <v>4.6</v>
      </c>
      <c r="G141" s="332"/>
      <c r="H141" s="332">
        <f t="shared" si="6"/>
        <v>0</v>
      </c>
      <c r="I141" s="333">
        <v>0.225</v>
      </c>
      <c r="J141" s="334">
        <f t="shared" si="7"/>
        <v>1.035</v>
      </c>
      <c r="K141" s="693"/>
      <c r="L141" s="693"/>
      <c r="M141" s="693"/>
      <c r="N141" s="693"/>
      <c r="O141" s="693"/>
      <c r="P141" s="693"/>
      <c r="Q141" s="694"/>
      <c r="R141" s="509"/>
      <c r="S141" s="509"/>
      <c r="T141" s="509"/>
    </row>
    <row r="142" spans="1:20" s="130" customFormat="1" ht="18.75" customHeight="1">
      <c r="A142" s="204"/>
      <c r="B142" s="205"/>
      <c r="C142" s="206" t="s">
        <v>835</v>
      </c>
      <c r="D142" s="916"/>
      <c r="E142" s="260">
        <v>4.6</v>
      </c>
      <c r="F142" s="335"/>
      <c r="G142" s="335"/>
      <c r="H142" s="335"/>
      <c r="I142" s="336"/>
      <c r="J142" s="337"/>
      <c r="K142" s="508"/>
      <c r="L142" s="508"/>
      <c r="M142" s="508"/>
      <c r="N142" s="508"/>
      <c r="O142" s="508"/>
      <c r="P142" s="508"/>
      <c r="Q142" s="508"/>
      <c r="R142" s="508"/>
      <c r="S142" s="508"/>
      <c r="T142" s="508"/>
    </row>
    <row r="143" spans="1:20" s="22" customFormat="1" ht="21.75" customHeight="1">
      <c r="A143" s="196" t="s">
        <v>2386</v>
      </c>
      <c r="B143" s="197" t="s">
        <v>770</v>
      </c>
      <c r="C143" s="199" t="s">
        <v>771</v>
      </c>
      <c r="D143" s="917" t="s">
        <v>2759</v>
      </c>
      <c r="E143" s="198" t="s">
        <v>1826</v>
      </c>
      <c r="F143" s="332">
        <f>E144</f>
        <v>10.899999999999999</v>
      </c>
      <c r="G143" s="332"/>
      <c r="H143" s="332">
        <f t="shared" si="6"/>
        <v>0</v>
      </c>
      <c r="I143" s="333">
        <v>0</v>
      </c>
      <c r="J143" s="334">
        <f t="shared" si="7"/>
        <v>0</v>
      </c>
      <c r="K143" s="693"/>
      <c r="L143" s="693"/>
      <c r="M143" s="693"/>
      <c r="N143" s="693"/>
      <c r="O143" s="693"/>
      <c r="P143" s="693"/>
      <c r="Q143" s="694"/>
      <c r="R143" s="509"/>
      <c r="S143" s="509"/>
      <c r="T143" s="509"/>
    </row>
    <row r="144" spans="1:20" s="130" customFormat="1" ht="18.75" customHeight="1">
      <c r="A144" s="204"/>
      <c r="B144" s="205"/>
      <c r="C144" s="250" t="s">
        <v>814</v>
      </c>
      <c r="D144" s="916"/>
      <c r="E144" s="260">
        <f>8.7+2.2</f>
        <v>10.899999999999999</v>
      </c>
      <c r="F144" s="335"/>
      <c r="G144" s="335"/>
      <c r="H144" s="335"/>
      <c r="I144" s="336"/>
      <c r="J144" s="337"/>
      <c r="K144" s="508"/>
      <c r="L144" s="508"/>
      <c r="M144" s="508"/>
      <c r="N144" s="508"/>
      <c r="O144" s="508"/>
      <c r="P144" s="508"/>
      <c r="Q144" s="508"/>
      <c r="R144" s="508"/>
      <c r="S144" s="508"/>
      <c r="T144" s="508"/>
    </row>
    <row r="145" spans="1:20" s="22" customFormat="1" ht="21.75" customHeight="1">
      <c r="A145" s="196" t="s">
        <v>2389</v>
      </c>
      <c r="B145" s="197" t="s">
        <v>2477</v>
      </c>
      <c r="C145" s="199" t="s">
        <v>773</v>
      </c>
      <c r="D145" s="917" t="s">
        <v>2759</v>
      </c>
      <c r="E145" s="198" t="s">
        <v>1748</v>
      </c>
      <c r="F145" s="332">
        <f>SUM(E146:E146)</f>
        <v>17.558</v>
      </c>
      <c r="G145" s="332"/>
      <c r="H145" s="332">
        <f t="shared" si="6"/>
        <v>0</v>
      </c>
      <c r="I145" s="333">
        <v>0.02</v>
      </c>
      <c r="J145" s="334">
        <f t="shared" si="7"/>
        <v>0.35116</v>
      </c>
      <c r="K145" s="693"/>
      <c r="L145" s="693"/>
      <c r="M145" s="693"/>
      <c r="N145" s="693"/>
      <c r="O145" s="693"/>
      <c r="P145" s="693"/>
      <c r="Q145" s="694"/>
      <c r="R145" s="509"/>
      <c r="S145" s="509"/>
      <c r="T145" s="509"/>
    </row>
    <row r="146" spans="1:20" s="130" customFormat="1" ht="18.75" customHeight="1">
      <c r="A146" s="204"/>
      <c r="B146" s="205" t="s">
        <v>774</v>
      </c>
      <c r="C146" s="206" t="s">
        <v>836</v>
      </c>
      <c r="D146" s="916"/>
      <c r="E146" s="260">
        <f>0.5*14.2+0.36*12.3+1.34*0.3*15</f>
        <v>17.558</v>
      </c>
      <c r="F146" s="335"/>
      <c r="G146" s="335"/>
      <c r="H146" s="335"/>
      <c r="I146" s="336"/>
      <c r="J146" s="337"/>
      <c r="K146" s="508"/>
      <c r="L146" s="508"/>
      <c r="M146" s="508"/>
      <c r="N146" s="508"/>
      <c r="O146" s="508"/>
      <c r="P146" s="508"/>
      <c r="Q146" s="508"/>
      <c r="R146" s="508"/>
      <c r="S146" s="508"/>
      <c r="T146" s="508"/>
    </row>
    <row r="147" spans="1:20" s="22" customFormat="1" ht="21.75" customHeight="1">
      <c r="A147" s="196"/>
      <c r="B147" s="197"/>
      <c r="C147" s="199"/>
      <c r="D147" s="917"/>
      <c r="E147" s="198"/>
      <c r="F147" s="332"/>
      <c r="G147" s="332"/>
      <c r="H147" s="332"/>
      <c r="I147" s="333"/>
      <c r="J147" s="334"/>
      <c r="K147" s="693"/>
      <c r="L147" s="693"/>
      <c r="M147" s="693"/>
      <c r="N147" s="693"/>
      <c r="O147" s="693"/>
      <c r="P147" s="693"/>
      <c r="Q147" s="694"/>
      <c r="R147" s="509"/>
      <c r="S147" s="509"/>
      <c r="T147" s="509"/>
    </row>
    <row r="148" spans="1:20" s="22" customFormat="1" ht="21.75" customHeight="1">
      <c r="A148" s="196" t="s">
        <v>2393</v>
      </c>
      <c r="B148" s="197" t="s">
        <v>2415</v>
      </c>
      <c r="C148" s="199" t="s">
        <v>2416</v>
      </c>
      <c r="D148" s="917" t="s">
        <v>2761</v>
      </c>
      <c r="E148" s="198" t="s">
        <v>1831</v>
      </c>
      <c r="F148" s="332">
        <v>30</v>
      </c>
      <c r="G148" s="332"/>
      <c r="H148" s="332">
        <f aca="true" t="shared" si="8" ref="H148:H176">F148*G148</f>
        <v>0</v>
      </c>
      <c r="I148" s="333">
        <v>0</v>
      </c>
      <c r="J148" s="334">
        <f aca="true" t="shared" si="9" ref="J148:J166">F148*I148</f>
        <v>0</v>
      </c>
      <c r="K148" s="693"/>
      <c r="L148" s="693"/>
      <c r="M148" s="693"/>
      <c r="N148" s="693"/>
      <c r="O148" s="693"/>
      <c r="P148" s="693"/>
      <c r="Q148" s="694"/>
      <c r="R148" s="509"/>
      <c r="S148" s="509"/>
      <c r="T148" s="509"/>
    </row>
    <row r="149" spans="1:20" s="22" customFormat="1" ht="21.75" customHeight="1">
      <c r="A149" s="196" t="s">
        <v>2397</v>
      </c>
      <c r="B149" s="197" t="s">
        <v>2423</v>
      </c>
      <c r="C149" s="199" t="s">
        <v>2424</v>
      </c>
      <c r="D149" s="917" t="s">
        <v>2761</v>
      </c>
      <c r="E149" s="198" t="s">
        <v>1748</v>
      </c>
      <c r="F149" s="332">
        <f>E150</f>
        <v>36.45</v>
      </c>
      <c r="G149" s="332"/>
      <c r="H149" s="332">
        <f t="shared" si="8"/>
        <v>0</v>
      </c>
      <c r="I149" s="333">
        <v>0.027</v>
      </c>
      <c r="J149" s="334">
        <f t="shared" si="9"/>
        <v>0.9841500000000001</v>
      </c>
      <c r="K149" s="693"/>
      <c r="L149" s="693"/>
      <c r="M149" s="693"/>
      <c r="N149" s="693"/>
      <c r="O149" s="693"/>
      <c r="P149" s="693"/>
      <c r="Q149" s="694"/>
      <c r="R149" s="509"/>
      <c r="S149" s="509"/>
      <c r="T149" s="509"/>
    </row>
    <row r="150" spans="1:20" s="130" customFormat="1" ht="20.25" customHeight="1">
      <c r="A150" s="204"/>
      <c r="B150" s="205"/>
      <c r="C150" s="205" t="s">
        <v>837</v>
      </c>
      <c r="D150" s="916"/>
      <c r="E150" s="207">
        <f>1.35*1.8*15</f>
        <v>36.45</v>
      </c>
      <c r="F150" s="335"/>
      <c r="G150" s="335"/>
      <c r="H150" s="335"/>
      <c r="I150" s="336"/>
      <c r="J150" s="337"/>
      <c r="K150" s="672"/>
      <c r="L150" s="672"/>
      <c r="M150" s="672"/>
      <c r="N150" s="672"/>
      <c r="O150" s="672"/>
      <c r="P150" s="672"/>
      <c r="Q150" s="673"/>
      <c r="R150" s="508"/>
      <c r="S150" s="508"/>
      <c r="T150" s="508"/>
    </row>
    <row r="151" spans="1:20" s="22" customFormat="1" ht="21.75" customHeight="1">
      <c r="A151" s="196" t="s">
        <v>2401</v>
      </c>
      <c r="B151" s="197" t="s">
        <v>2439</v>
      </c>
      <c r="C151" s="199" t="s">
        <v>2440</v>
      </c>
      <c r="D151" s="917" t="s">
        <v>2761</v>
      </c>
      <c r="E151" s="198" t="s">
        <v>1718</v>
      </c>
      <c r="F151" s="332">
        <v>2</v>
      </c>
      <c r="G151" s="332"/>
      <c r="H151" s="332">
        <f t="shared" si="8"/>
        <v>0</v>
      </c>
      <c r="I151" s="333">
        <v>0</v>
      </c>
      <c r="J151" s="334">
        <f>F151*I151</f>
        <v>0</v>
      </c>
      <c r="K151" s="693"/>
      <c r="L151" s="693"/>
      <c r="M151" s="693"/>
      <c r="N151" s="693"/>
      <c r="O151" s="693"/>
      <c r="P151" s="693"/>
      <c r="Q151" s="694"/>
      <c r="R151" s="509"/>
      <c r="S151" s="509"/>
      <c r="T151" s="509"/>
    </row>
    <row r="152" spans="1:20" s="22" customFormat="1" ht="21.75" customHeight="1">
      <c r="A152" s="196" t="s">
        <v>2405</v>
      </c>
      <c r="B152" s="197" t="s">
        <v>2445</v>
      </c>
      <c r="C152" s="199" t="s">
        <v>2446</v>
      </c>
      <c r="D152" s="917" t="s">
        <v>2761</v>
      </c>
      <c r="E152" s="198" t="s">
        <v>1748</v>
      </c>
      <c r="F152" s="332">
        <v>3.1</v>
      </c>
      <c r="G152" s="332"/>
      <c r="H152" s="332">
        <f t="shared" si="8"/>
        <v>0</v>
      </c>
      <c r="I152" s="333">
        <v>0.067</v>
      </c>
      <c r="J152" s="334">
        <f>F152*I152</f>
        <v>0.20770000000000002</v>
      </c>
      <c r="K152" s="693"/>
      <c r="L152" s="693"/>
      <c r="M152" s="693"/>
      <c r="N152" s="693"/>
      <c r="O152" s="693"/>
      <c r="P152" s="693"/>
      <c r="Q152" s="694"/>
      <c r="R152" s="509"/>
      <c r="S152" s="509"/>
      <c r="T152" s="509"/>
    </row>
    <row r="153" spans="1:20" s="22" customFormat="1" ht="21.75" customHeight="1">
      <c r="A153" s="196"/>
      <c r="B153" s="197"/>
      <c r="C153" s="199"/>
      <c r="D153" s="917"/>
      <c r="E153" s="198"/>
      <c r="F153" s="332"/>
      <c r="G153" s="332"/>
      <c r="H153" s="332"/>
      <c r="I153" s="333"/>
      <c r="J153" s="334"/>
      <c r="K153" s="693"/>
      <c r="L153" s="693"/>
      <c r="M153" s="693"/>
      <c r="N153" s="693"/>
      <c r="O153" s="693"/>
      <c r="P153" s="693"/>
      <c r="Q153" s="694"/>
      <c r="R153" s="509"/>
      <c r="S153" s="509"/>
      <c r="T153" s="509"/>
    </row>
    <row r="154" spans="1:20" s="22" customFormat="1" ht="21.75" customHeight="1">
      <c r="A154" s="196" t="s">
        <v>2409</v>
      </c>
      <c r="B154" s="197" t="s">
        <v>2456</v>
      </c>
      <c r="C154" s="199" t="s">
        <v>778</v>
      </c>
      <c r="D154" s="917" t="s">
        <v>2759</v>
      </c>
      <c r="E154" s="198" t="s">
        <v>1709</v>
      </c>
      <c r="F154" s="332">
        <f>E155</f>
        <v>11.290000000000001</v>
      </c>
      <c r="G154" s="332"/>
      <c r="H154" s="332">
        <f t="shared" si="8"/>
        <v>0</v>
      </c>
      <c r="I154" s="333">
        <v>1.6</v>
      </c>
      <c r="J154" s="334">
        <f t="shared" si="9"/>
        <v>18.064000000000004</v>
      </c>
      <c r="K154" s="693"/>
      <c r="L154" s="693"/>
      <c r="M154" s="693"/>
      <c r="N154" s="693"/>
      <c r="O154" s="693"/>
      <c r="P154" s="693"/>
      <c r="Q154" s="694"/>
      <c r="R154" s="509"/>
      <c r="S154" s="509"/>
      <c r="T154" s="509"/>
    </row>
    <row r="155" spans="1:20" s="130" customFormat="1" ht="18.75" customHeight="1">
      <c r="A155" s="204"/>
      <c r="B155" s="205"/>
      <c r="C155" s="206" t="s">
        <v>838</v>
      </c>
      <c r="D155" s="916"/>
      <c r="E155" s="260">
        <f>(112.9)*0.1</f>
        <v>11.290000000000001</v>
      </c>
      <c r="F155" s="335"/>
      <c r="G155" s="335"/>
      <c r="H155" s="335"/>
      <c r="I155" s="336"/>
      <c r="J155" s="337"/>
      <c r="K155" s="508"/>
      <c r="L155" s="508"/>
      <c r="M155" s="508"/>
      <c r="N155" s="508"/>
      <c r="O155" s="508"/>
      <c r="P155" s="508"/>
      <c r="Q155" s="508"/>
      <c r="R155" s="508"/>
      <c r="S155" s="508"/>
      <c r="T155" s="508"/>
    </row>
    <row r="156" spans="1:20" s="22" customFormat="1" ht="21.75" customHeight="1">
      <c r="A156" s="196" t="s">
        <v>2412</v>
      </c>
      <c r="B156" s="197" t="s">
        <v>2469</v>
      </c>
      <c r="C156" s="199" t="s">
        <v>2470</v>
      </c>
      <c r="D156" s="917" t="s">
        <v>2763</v>
      </c>
      <c r="E156" s="198" t="s">
        <v>1748</v>
      </c>
      <c r="F156" s="332">
        <f>E157</f>
        <v>130.13000000000002</v>
      </c>
      <c r="G156" s="332"/>
      <c r="H156" s="332">
        <f t="shared" si="8"/>
        <v>0</v>
      </c>
      <c r="I156" s="333">
        <v>0.014</v>
      </c>
      <c r="J156" s="334">
        <f t="shared" si="9"/>
        <v>1.8218200000000004</v>
      </c>
      <c r="K156" s="693"/>
      <c r="L156" s="693"/>
      <c r="M156" s="693"/>
      <c r="N156" s="693"/>
      <c r="O156" s="693"/>
      <c r="P156" s="693"/>
      <c r="Q156" s="694"/>
      <c r="R156" s="509"/>
      <c r="S156" s="509"/>
      <c r="T156" s="509"/>
    </row>
    <row r="157" spans="1:20" s="130" customFormat="1" ht="18.75" customHeight="1">
      <c r="A157" s="204"/>
      <c r="B157" s="205"/>
      <c r="C157" s="206" t="s">
        <v>839</v>
      </c>
      <c r="D157" s="916"/>
      <c r="E157" s="260">
        <f>(112.9+5.4)*1.1</f>
        <v>130.13000000000002</v>
      </c>
      <c r="F157" s="335"/>
      <c r="G157" s="335"/>
      <c r="H157" s="335"/>
      <c r="I157" s="336"/>
      <c r="J157" s="337"/>
      <c r="K157" s="508"/>
      <c r="L157" s="508"/>
      <c r="M157" s="508"/>
      <c r="N157" s="508"/>
      <c r="O157" s="508"/>
      <c r="P157" s="508"/>
      <c r="Q157" s="508"/>
      <c r="R157" s="508"/>
      <c r="S157" s="508"/>
      <c r="T157" s="508"/>
    </row>
    <row r="158" spans="1:20" s="22" customFormat="1" ht="21.75" customHeight="1">
      <c r="A158" s="196" t="s">
        <v>2414</v>
      </c>
      <c r="B158" s="197" t="s">
        <v>2483</v>
      </c>
      <c r="C158" s="199" t="s">
        <v>2484</v>
      </c>
      <c r="D158" s="917" t="s">
        <v>2759</v>
      </c>
      <c r="E158" s="198" t="s">
        <v>1831</v>
      </c>
      <c r="F158" s="332">
        <v>3</v>
      </c>
      <c r="G158" s="332"/>
      <c r="H158" s="332">
        <f t="shared" si="8"/>
        <v>0</v>
      </c>
      <c r="I158" s="333">
        <v>0.037</v>
      </c>
      <c r="J158" s="334">
        <f t="shared" si="9"/>
        <v>0.11099999999999999</v>
      </c>
      <c r="K158" s="693"/>
      <c r="L158" s="693"/>
      <c r="M158" s="693"/>
      <c r="N158" s="693"/>
      <c r="O158" s="693"/>
      <c r="P158" s="693"/>
      <c r="Q158" s="694"/>
      <c r="R158" s="509"/>
      <c r="S158" s="509"/>
      <c r="T158" s="509"/>
    </row>
    <row r="159" spans="1:20" s="22" customFormat="1" ht="21.75" customHeight="1">
      <c r="A159" s="196"/>
      <c r="B159" s="197"/>
      <c r="C159" s="199"/>
      <c r="D159" s="917"/>
      <c r="E159" s="198"/>
      <c r="F159" s="332"/>
      <c r="G159" s="332"/>
      <c r="H159" s="332"/>
      <c r="I159" s="333"/>
      <c r="J159" s="334"/>
      <c r="K159" s="693"/>
      <c r="L159" s="693"/>
      <c r="M159" s="693"/>
      <c r="N159" s="693"/>
      <c r="O159" s="693"/>
      <c r="P159" s="693"/>
      <c r="Q159" s="694"/>
      <c r="R159" s="509"/>
      <c r="S159" s="509"/>
      <c r="T159" s="509"/>
    </row>
    <row r="160" spans="1:20" s="22" customFormat="1" ht="21.75" customHeight="1">
      <c r="A160" s="196" t="s">
        <v>2418</v>
      </c>
      <c r="B160" s="197" t="s">
        <v>2490</v>
      </c>
      <c r="C160" s="199" t="s">
        <v>2491</v>
      </c>
      <c r="D160" s="917" t="s">
        <v>2761</v>
      </c>
      <c r="E160" s="198" t="s">
        <v>1826</v>
      </c>
      <c r="F160" s="332">
        <v>22.8</v>
      </c>
      <c r="G160" s="332"/>
      <c r="H160" s="332">
        <f t="shared" si="8"/>
        <v>0</v>
      </c>
      <c r="I160" s="333">
        <v>0.00135</v>
      </c>
      <c r="J160" s="334">
        <f t="shared" si="9"/>
        <v>0.030780000000000002</v>
      </c>
      <c r="K160" s="693"/>
      <c r="L160" s="693"/>
      <c r="M160" s="693"/>
      <c r="N160" s="693"/>
      <c r="O160" s="693"/>
      <c r="P160" s="693"/>
      <c r="Q160" s="694"/>
      <c r="R160" s="509"/>
      <c r="S160" s="509"/>
      <c r="T160" s="509"/>
    </row>
    <row r="161" spans="1:20" s="22" customFormat="1" ht="21.75" customHeight="1">
      <c r="A161" s="196" t="s">
        <v>2422</v>
      </c>
      <c r="B161" s="197" t="s">
        <v>2493</v>
      </c>
      <c r="C161" s="199" t="s">
        <v>2494</v>
      </c>
      <c r="D161" s="917" t="s">
        <v>2761</v>
      </c>
      <c r="E161" s="198" t="s">
        <v>1826</v>
      </c>
      <c r="F161" s="332">
        <f>40.2+17.6</f>
        <v>57.800000000000004</v>
      </c>
      <c r="G161" s="332"/>
      <c r="H161" s="332">
        <f t="shared" si="8"/>
        <v>0</v>
      </c>
      <c r="I161" s="333">
        <v>0.00175</v>
      </c>
      <c r="J161" s="334">
        <f t="shared" si="9"/>
        <v>0.10115</v>
      </c>
      <c r="K161" s="693"/>
      <c r="L161" s="693"/>
      <c r="M161" s="693"/>
      <c r="N161" s="693"/>
      <c r="O161" s="693"/>
      <c r="P161" s="693"/>
      <c r="Q161" s="694"/>
      <c r="R161" s="509"/>
      <c r="S161" s="509"/>
      <c r="T161" s="509"/>
    </row>
    <row r="162" spans="1:20" s="22" customFormat="1" ht="21.75" customHeight="1">
      <c r="A162" s="196" t="s">
        <v>2426</v>
      </c>
      <c r="B162" s="197" t="s">
        <v>2499</v>
      </c>
      <c r="C162" s="199" t="s">
        <v>2500</v>
      </c>
      <c r="D162" s="917" t="s">
        <v>2761</v>
      </c>
      <c r="E162" s="198" t="s">
        <v>1826</v>
      </c>
      <c r="F162" s="332">
        <f>45.3+65.3</f>
        <v>110.6</v>
      </c>
      <c r="G162" s="332"/>
      <c r="H162" s="332">
        <f t="shared" si="8"/>
        <v>0</v>
      </c>
      <c r="I162" s="333">
        <v>0.0023</v>
      </c>
      <c r="J162" s="334">
        <f t="shared" si="9"/>
        <v>0.25438</v>
      </c>
      <c r="K162" s="693"/>
      <c r="L162" s="693"/>
      <c r="M162" s="693"/>
      <c r="N162" s="693"/>
      <c r="O162" s="693"/>
      <c r="P162" s="693"/>
      <c r="Q162" s="694"/>
      <c r="R162" s="509"/>
      <c r="S162" s="509"/>
      <c r="T162" s="509"/>
    </row>
    <row r="163" spans="1:20" s="22" customFormat="1" ht="21.75" customHeight="1">
      <c r="A163" s="196" t="s">
        <v>2430</v>
      </c>
      <c r="B163" s="197" t="s">
        <v>782</v>
      </c>
      <c r="C163" s="199" t="s">
        <v>783</v>
      </c>
      <c r="D163" s="917" t="s">
        <v>2761</v>
      </c>
      <c r="E163" s="198" t="s">
        <v>1826</v>
      </c>
      <c r="F163" s="332">
        <v>43.2</v>
      </c>
      <c r="G163" s="332"/>
      <c r="H163" s="332">
        <f t="shared" si="8"/>
        <v>0</v>
      </c>
      <c r="I163" s="333">
        <v>0.00392</v>
      </c>
      <c r="J163" s="334">
        <f t="shared" si="9"/>
        <v>0.169344</v>
      </c>
      <c r="K163" s="693"/>
      <c r="L163" s="693"/>
      <c r="M163" s="693"/>
      <c r="N163" s="693"/>
      <c r="O163" s="693"/>
      <c r="P163" s="693"/>
      <c r="Q163" s="694"/>
      <c r="R163" s="509"/>
      <c r="S163" s="509"/>
      <c r="T163" s="509"/>
    </row>
    <row r="164" spans="1:20" s="22" customFormat="1" ht="21.75" customHeight="1">
      <c r="A164" s="196" t="s">
        <v>2434</v>
      </c>
      <c r="B164" s="197" t="s">
        <v>2511</v>
      </c>
      <c r="C164" s="199" t="s">
        <v>2512</v>
      </c>
      <c r="D164" s="917" t="s">
        <v>2761</v>
      </c>
      <c r="E164" s="198" t="s">
        <v>2513</v>
      </c>
      <c r="F164" s="332">
        <v>6.6</v>
      </c>
      <c r="G164" s="332"/>
      <c r="H164" s="332">
        <f t="shared" si="8"/>
        <v>0</v>
      </c>
      <c r="I164" s="333">
        <v>0.00285</v>
      </c>
      <c r="J164" s="334">
        <f t="shared" si="9"/>
        <v>0.01881</v>
      </c>
      <c r="K164" s="693"/>
      <c r="L164" s="693"/>
      <c r="M164" s="693"/>
      <c r="N164" s="693"/>
      <c r="O164" s="693"/>
      <c r="P164" s="693"/>
      <c r="Q164" s="694"/>
      <c r="R164" s="509"/>
      <c r="S164" s="509"/>
      <c r="T164" s="509"/>
    </row>
    <row r="165" spans="1:20" s="22" customFormat="1" ht="21.75" customHeight="1">
      <c r="A165" s="196" t="s">
        <v>2438</v>
      </c>
      <c r="B165" s="197" t="s">
        <v>2515</v>
      </c>
      <c r="C165" s="199" t="s">
        <v>2516</v>
      </c>
      <c r="D165" s="917" t="s">
        <v>2761</v>
      </c>
      <c r="E165" s="198" t="s">
        <v>1831</v>
      </c>
      <c r="F165" s="332">
        <v>2</v>
      </c>
      <c r="G165" s="332"/>
      <c r="H165" s="332">
        <f t="shared" si="8"/>
        <v>0</v>
      </c>
      <c r="I165" s="333">
        <v>0.03522</v>
      </c>
      <c r="J165" s="334">
        <f t="shared" si="9"/>
        <v>0.07044</v>
      </c>
      <c r="K165" s="693"/>
      <c r="L165" s="693"/>
      <c r="M165" s="693"/>
      <c r="N165" s="693"/>
      <c r="O165" s="693"/>
      <c r="P165" s="693"/>
      <c r="Q165" s="694"/>
      <c r="R165" s="509"/>
      <c r="S165" s="509"/>
      <c r="T165" s="509"/>
    </row>
    <row r="166" spans="1:20" s="22" customFormat="1" ht="21.75" customHeight="1">
      <c r="A166" s="196" t="s">
        <v>2441</v>
      </c>
      <c r="B166" s="197" t="s">
        <v>2518</v>
      </c>
      <c r="C166" s="199" t="s">
        <v>2519</v>
      </c>
      <c r="D166" s="917" t="s">
        <v>2761</v>
      </c>
      <c r="E166" s="198" t="s">
        <v>1748</v>
      </c>
      <c r="F166" s="332">
        <f>E167</f>
        <v>1.76</v>
      </c>
      <c r="G166" s="332"/>
      <c r="H166" s="332">
        <f t="shared" si="8"/>
        <v>0</v>
      </c>
      <c r="I166" s="333">
        <v>0.00732</v>
      </c>
      <c r="J166" s="334">
        <f t="shared" si="9"/>
        <v>0.012883200000000001</v>
      </c>
      <c r="K166" s="509"/>
      <c r="L166" s="509"/>
      <c r="M166" s="509"/>
      <c r="N166" s="509"/>
      <c r="O166" s="509"/>
      <c r="P166" s="509"/>
      <c r="Q166" s="509"/>
      <c r="R166" s="509"/>
      <c r="S166" s="509"/>
      <c r="T166" s="509"/>
    </row>
    <row r="167" spans="1:20" s="130" customFormat="1" ht="21.75" customHeight="1">
      <c r="A167" s="204"/>
      <c r="B167" s="205"/>
      <c r="C167" s="206" t="s">
        <v>840</v>
      </c>
      <c r="D167" s="916"/>
      <c r="E167" s="207">
        <v>1.76</v>
      </c>
      <c r="F167" s="335"/>
      <c r="G167" s="335"/>
      <c r="H167" s="335"/>
      <c r="I167" s="336"/>
      <c r="J167" s="337"/>
      <c r="K167" s="508"/>
      <c r="L167" s="508"/>
      <c r="M167" s="508"/>
      <c r="N167" s="508"/>
      <c r="O167" s="508"/>
      <c r="P167" s="508"/>
      <c r="Q167" s="508"/>
      <c r="R167" s="508"/>
      <c r="S167" s="508"/>
      <c r="T167" s="508"/>
    </row>
    <row r="168" spans="1:20" s="22" customFormat="1" ht="21.75" customHeight="1">
      <c r="A168" s="196" t="s">
        <v>2444</v>
      </c>
      <c r="B168" s="197" t="s">
        <v>2527</v>
      </c>
      <c r="C168" s="199" t="s">
        <v>2528</v>
      </c>
      <c r="D168" s="917"/>
      <c r="E168" s="198" t="s">
        <v>1783</v>
      </c>
      <c r="F168" s="332">
        <f>J134*0.6</f>
        <v>16.727218320000002</v>
      </c>
      <c r="G168" s="332"/>
      <c r="H168" s="332">
        <f t="shared" si="8"/>
        <v>0</v>
      </c>
      <c r="I168" s="333">
        <v>0</v>
      </c>
      <c r="J168" s="334"/>
      <c r="K168" s="693"/>
      <c r="L168" s="693"/>
      <c r="M168" s="693"/>
      <c r="N168" s="693"/>
      <c r="O168" s="693"/>
      <c r="P168" s="693"/>
      <c r="Q168" s="694"/>
      <c r="R168" s="509"/>
      <c r="S168" s="509"/>
      <c r="T168" s="509"/>
    </row>
    <row r="169" spans="1:20" s="22" customFormat="1" ht="21.75" customHeight="1">
      <c r="A169" s="196" t="s">
        <v>2448</v>
      </c>
      <c r="B169" s="197" t="s">
        <v>2530</v>
      </c>
      <c r="C169" s="199" t="s">
        <v>2531</v>
      </c>
      <c r="D169" s="917"/>
      <c r="E169" s="198" t="s">
        <v>1783</v>
      </c>
      <c r="F169" s="332">
        <f>J134</f>
        <v>27.878697200000005</v>
      </c>
      <c r="G169" s="332"/>
      <c r="H169" s="332">
        <f t="shared" si="8"/>
        <v>0</v>
      </c>
      <c r="I169" s="333">
        <v>0</v>
      </c>
      <c r="J169" s="334"/>
      <c r="K169" s="693"/>
      <c r="L169" s="693"/>
      <c r="M169" s="693"/>
      <c r="N169" s="693"/>
      <c r="O169" s="693"/>
      <c r="P169" s="693"/>
      <c r="Q169" s="694"/>
      <c r="R169" s="509"/>
      <c r="S169" s="509"/>
      <c r="T169" s="509"/>
    </row>
    <row r="170" spans="1:20" s="22" customFormat="1" ht="21.75" customHeight="1">
      <c r="A170" s="196" t="s">
        <v>2452</v>
      </c>
      <c r="B170" s="197" t="s">
        <v>2533</v>
      </c>
      <c r="C170" s="199" t="s">
        <v>2534</v>
      </c>
      <c r="D170" s="917"/>
      <c r="E170" s="198" t="s">
        <v>1783</v>
      </c>
      <c r="F170" s="332">
        <f>F169</f>
        <v>27.878697200000005</v>
      </c>
      <c r="G170" s="332"/>
      <c r="H170" s="332">
        <f t="shared" si="8"/>
        <v>0</v>
      </c>
      <c r="I170" s="333">
        <v>0</v>
      </c>
      <c r="J170" s="334"/>
      <c r="K170" s="693"/>
      <c r="L170" s="693"/>
      <c r="M170" s="693"/>
      <c r="N170" s="693"/>
      <c r="O170" s="693"/>
      <c r="P170" s="693"/>
      <c r="Q170" s="694"/>
      <c r="R170" s="509"/>
      <c r="S170" s="509"/>
      <c r="T170" s="509"/>
    </row>
    <row r="171" spans="1:20" s="22" customFormat="1" ht="21.75" customHeight="1">
      <c r="A171" s="196" t="s">
        <v>2455</v>
      </c>
      <c r="B171" s="197" t="s">
        <v>2536</v>
      </c>
      <c r="C171" s="199" t="s">
        <v>2537</v>
      </c>
      <c r="D171" s="917"/>
      <c r="E171" s="198" t="s">
        <v>1783</v>
      </c>
      <c r="F171" s="332">
        <f>F169</f>
        <v>27.878697200000005</v>
      </c>
      <c r="G171" s="332"/>
      <c r="H171" s="332">
        <f t="shared" si="8"/>
        <v>0</v>
      </c>
      <c r="I171" s="333">
        <v>0</v>
      </c>
      <c r="J171" s="334"/>
      <c r="K171" s="693"/>
      <c r="L171" s="693"/>
      <c r="M171" s="693"/>
      <c r="N171" s="693"/>
      <c r="O171" s="693"/>
      <c r="P171" s="693"/>
      <c r="Q171" s="694"/>
      <c r="R171" s="509"/>
      <c r="S171" s="509"/>
      <c r="T171" s="509"/>
    </row>
    <row r="172" spans="1:20" s="22" customFormat="1" ht="21.75" customHeight="1">
      <c r="A172" s="196" t="s">
        <v>2465</v>
      </c>
      <c r="B172" s="197" t="s">
        <v>2539</v>
      </c>
      <c r="C172" s="199" t="s">
        <v>2540</v>
      </c>
      <c r="D172" s="917"/>
      <c r="E172" s="198" t="s">
        <v>1783</v>
      </c>
      <c r="F172" s="332">
        <f>F169*14</f>
        <v>390.30176080000007</v>
      </c>
      <c r="G172" s="332"/>
      <c r="H172" s="332">
        <f t="shared" si="8"/>
        <v>0</v>
      </c>
      <c r="I172" s="333">
        <v>0</v>
      </c>
      <c r="J172" s="334"/>
      <c r="K172" s="693"/>
      <c r="L172" s="693"/>
      <c r="M172" s="693"/>
      <c r="N172" s="693"/>
      <c r="O172" s="693"/>
      <c r="P172" s="693"/>
      <c r="Q172" s="694"/>
      <c r="R172" s="509"/>
      <c r="S172" s="509"/>
      <c r="T172" s="509"/>
    </row>
    <row r="173" spans="1:20" s="22" customFormat="1" ht="21.75" customHeight="1">
      <c r="A173" s="196" t="s">
        <v>2468</v>
      </c>
      <c r="B173" s="197" t="s">
        <v>2542</v>
      </c>
      <c r="C173" s="199" t="s">
        <v>2543</v>
      </c>
      <c r="D173" s="917"/>
      <c r="E173" s="198" t="s">
        <v>1783</v>
      </c>
      <c r="F173" s="332">
        <f>F170-F174-F175+F176</f>
        <v>24.09624000000001</v>
      </c>
      <c r="G173" s="332"/>
      <c r="H173" s="332">
        <f t="shared" si="8"/>
        <v>0</v>
      </c>
      <c r="I173" s="333">
        <v>0</v>
      </c>
      <c r="J173" s="334"/>
      <c r="K173" s="693"/>
      <c r="L173" s="693"/>
      <c r="M173" s="693"/>
      <c r="N173" s="693"/>
      <c r="O173" s="693"/>
      <c r="P173" s="693"/>
      <c r="Q173" s="694"/>
      <c r="R173" s="509"/>
      <c r="S173" s="509"/>
      <c r="T173" s="509"/>
    </row>
    <row r="174" spans="1:20" s="22" customFormat="1" ht="21.75" customHeight="1">
      <c r="A174" s="854" t="s">
        <v>2473</v>
      </c>
      <c r="B174" s="855" t="s">
        <v>2545</v>
      </c>
      <c r="C174" s="856" t="s">
        <v>2546</v>
      </c>
      <c r="D174" s="975"/>
      <c r="E174" s="857" t="s">
        <v>1783</v>
      </c>
      <c r="F174" s="858">
        <f>J156</f>
        <v>1.8218200000000004</v>
      </c>
      <c r="G174" s="858"/>
      <c r="H174" s="858">
        <f t="shared" si="8"/>
        <v>0</v>
      </c>
      <c r="I174" s="859">
        <v>0</v>
      </c>
      <c r="J174" s="860"/>
      <c r="K174" s="693"/>
      <c r="L174" s="693"/>
      <c r="M174" s="693"/>
      <c r="N174" s="693"/>
      <c r="O174" s="693"/>
      <c r="P174" s="693"/>
      <c r="Q174" s="694"/>
      <c r="R174" s="509"/>
      <c r="S174" s="509"/>
      <c r="T174" s="509"/>
    </row>
    <row r="175" spans="1:10" s="847" customFormat="1" ht="21.75" customHeight="1">
      <c r="A175" s="861" t="s">
        <v>2476</v>
      </c>
      <c r="B175" s="862" t="s">
        <v>2743</v>
      </c>
      <c r="C175" s="863" t="s">
        <v>2744</v>
      </c>
      <c r="D175" s="976"/>
      <c r="E175" s="864" t="s">
        <v>1783</v>
      </c>
      <c r="F175" s="865">
        <f>J149+J152</f>
        <v>1.19185</v>
      </c>
      <c r="G175" s="865"/>
      <c r="H175" s="865">
        <f t="shared" si="8"/>
        <v>0</v>
      </c>
      <c r="I175" s="866"/>
      <c r="J175" s="867"/>
    </row>
    <row r="176" spans="1:10" s="847" customFormat="1" ht="21.75" customHeight="1">
      <c r="A176" s="861" t="s">
        <v>2482</v>
      </c>
      <c r="B176" s="848" t="s">
        <v>2745</v>
      </c>
      <c r="C176" s="849" t="s">
        <v>2746</v>
      </c>
      <c r="D176" s="977"/>
      <c r="E176" s="850" t="s">
        <v>1783</v>
      </c>
      <c r="F176" s="851">
        <f>(J158+J160+J161+J162+J163+J164+J165+J166)*-1</f>
        <v>-0.7687871999999999</v>
      </c>
      <c r="G176" s="851"/>
      <c r="H176" s="844">
        <f t="shared" si="8"/>
        <v>0</v>
      </c>
      <c r="I176" s="852"/>
      <c r="J176" s="853"/>
    </row>
    <row r="177" spans="1:20" s="22" customFormat="1" ht="14.25" customHeight="1" thickBot="1">
      <c r="A177" s="255"/>
      <c r="B177" s="256"/>
      <c r="C177" s="264"/>
      <c r="D177" s="968"/>
      <c r="E177" s="257"/>
      <c r="F177" s="368"/>
      <c r="G177" s="368"/>
      <c r="H177" s="368"/>
      <c r="I177" s="369"/>
      <c r="J177" s="370"/>
      <c r="K177" s="509"/>
      <c r="L177" s="509"/>
      <c r="M177" s="509"/>
      <c r="N177" s="509"/>
      <c r="O177" s="509"/>
      <c r="P177" s="509"/>
      <c r="Q177" s="509"/>
      <c r="R177" s="509"/>
      <c r="S177" s="509"/>
      <c r="T177" s="509"/>
    </row>
    <row r="178" spans="1:20" ht="16.5" customHeight="1" thickBot="1">
      <c r="A178" s="266" t="s">
        <v>2547</v>
      </c>
      <c r="B178" s="175" t="s">
        <v>2548</v>
      </c>
      <c r="C178" s="176" t="s">
        <v>2549</v>
      </c>
      <c r="D178" s="1008"/>
      <c r="E178" s="175"/>
      <c r="F178" s="341"/>
      <c r="G178" s="341"/>
      <c r="H178" s="342">
        <f>SUM(H179:H193)</f>
        <v>0</v>
      </c>
      <c r="I178" s="343"/>
      <c r="J178" s="344">
        <f>SUM(J179:J192)</f>
        <v>0.30039543999999996</v>
      </c>
      <c r="K178" s="670"/>
      <c r="L178" s="670"/>
      <c r="M178" s="670"/>
      <c r="N178" s="670"/>
      <c r="O178" s="670"/>
      <c r="P178" s="670"/>
      <c r="Q178" s="670"/>
      <c r="R178" s="670"/>
      <c r="S178" s="670"/>
      <c r="T178" s="670"/>
    </row>
    <row r="179" spans="1:20" s="22" customFormat="1" ht="16.5" customHeight="1">
      <c r="A179" s="190"/>
      <c r="B179" s="191"/>
      <c r="C179" s="265"/>
      <c r="D179" s="964"/>
      <c r="E179" s="192"/>
      <c r="F179" s="345"/>
      <c r="G179" s="345"/>
      <c r="H179" s="345"/>
      <c r="I179" s="346"/>
      <c r="J179" s="347"/>
      <c r="K179" s="693"/>
      <c r="L179" s="693"/>
      <c r="M179" s="693"/>
      <c r="N179" s="693"/>
      <c r="O179" s="693"/>
      <c r="P179" s="693"/>
      <c r="Q179" s="694"/>
      <c r="R179" s="509"/>
      <c r="S179" s="509"/>
      <c r="T179" s="509"/>
    </row>
    <row r="180" spans="1:20" s="22" customFormat="1" ht="29.25" customHeight="1">
      <c r="A180" s="196" t="s">
        <v>2550</v>
      </c>
      <c r="B180" s="197" t="s">
        <v>2551</v>
      </c>
      <c r="C180" s="199" t="s">
        <v>2552</v>
      </c>
      <c r="D180" s="917" t="s">
        <v>2759</v>
      </c>
      <c r="E180" s="198" t="s">
        <v>1748</v>
      </c>
      <c r="F180" s="332">
        <f>E181</f>
        <v>31.187199999999997</v>
      </c>
      <c r="G180" s="332"/>
      <c r="H180" s="332">
        <f>F180*G180</f>
        <v>0</v>
      </c>
      <c r="I180" s="333">
        <v>0.00052</v>
      </c>
      <c r="J180" s="334">
        <f>F180*I180</f>
        <v>0.016217343999999998</v>
      </c>
      <c r="K180" s="509"/>
      <c r="L180" s="509"/>
      <c r="M180" s="509"/>
      <c r="N180" s="509"/>
      <c r="O180" s="509"/>
      <c r="P180" s="509"/>
      <c r="Q180" s="509"/>
      <c r="R180" s="509"/>
      <c r="S180" s="509"/>
      <c r="T180" s="509"/>
    </row>
    <row r="181" spans="1:24" s="211" customFormat="1" ht="21.75" customHeight="1">
      <c r="A181" s="223"/>
      <c r="B181" s="224" t="s">
        <v>1749</v>
      </c>
      <c r="C181" s="224" t="s">
        <v>841</v>
      </c>
      <c r="D181" s="970"/>
      <c r="E181" s="220">
        <f>(17.72)*0.88*2</f>
        <v>31.187199999999997</v>
      </c>
      <c r="F181" s="225"/>
      <c r="G181" s="674"/>
      <c r="H181" s="225"/>
      <c r="I181" s="348"/>
      <c r="J181" s="349"/>
      <c r="K181" s="675"/>
      <c r="L181" s="675"/>
      <c r="M181" s="675"/>
      <c r="N181" s="675"/>
      <c r="O181" s="676"/>
      <c r="P181" s="676"/>
      <c r="Q181" s="676"/>
      <c r="R181" s="676"/>
      <c r="S181" s="515"/>
      <c r="T181" s="515"/>
      <c r="U181" s="210"/>
      <c r="V181" s="210"/>
      <c r="W181" s="210"/>
      <c r="X181" s="210"/>
    </row>
    <row r="182" spans="1:20" s="22" customFormat="1" ht="13.5" customHeight="1">
      <c r="A182" s="196"/>
      <c r="B182" s="197"/>
      <c r="C182" s="199"/>
      <c r="D182" s="917"/>
      <c r="E182" s="198"/>
      <c r="F182" s="332"/>
      <c r="G182" s="332"/>
      <c r="H182" s="332"/>
      <c r="I182" s="333"/>
      <c r="J182" s="334"/>
      <c r="K182" s="509"/>
      <c r="L182" s="509"/>
      <c r="M182" s="509"/>
      <c r="N182" s="509"/>
      <c r="O182" s="509"/>
      <c r="P182" s="509"/>
      <c r="Q182" s="509"/>
      <c r="R182" s="509"/>
      <c r="S182" s="509"/>
      <c r="T182" s="509"/>
    </row>
    <row r="183" spans="1:20" s="22" customFormat="1" ht="22.5" customHeight="1">
      <c r="A183" s="196" t="s">
        <v>2554</v>
      </c>
      <c r="B183" s="197" t="s">
        <v>2555</v>
      </c>
      <c r="C183" s="199" t="s">
        <v>2556</v>
      </c>
      <c r="D183" s="917" t="s">
        <v>2759</v>
      </c>
      <c r="E183" s="198" t="s">
        <v>1748</v>
      </c>
      <c r="F183" s="332">
        <f>E184</f>
        <v>31.187199999999997</v>
      </c>
      <c r="G183" s="332"/>
      <c r="H183" s="332">
        <f>F183*G183</f>
        <v>0</v>
      </c>
      <c r="I183" s="333">
        <v>0.00058</v>
      </c>
      <c r="J183" s="334">
        <f>F183*I183</f>
        <v>0.018088576</v>
      </c>
      <c r="K183" s="509"/>
      <c r="L183" s="509"/>
      <c r="M183" s="509"/>
      <c r="N183" s="509"/>
      <c r="O183" s="509"/>
      <c r="P183" s="509"/>
      <c r="Q183" s="509"/>
      <c r="R183" s="509"/>
      <c r="S183" s="509"/>
      <c r="T183" s="509"/>
    </row>
    <row r="184" spans="1:24" s="211" customFormat="1" ht="21.75" customHeight="1">
      <c r="A184" s="223"/>
      <c r="B184" s="224" t="s">
        <v>1749</v>
      </c>
      <c r="C184" s="224" t="s">
        <v>841</v>
      </c>
      <c r="D184" s="970"/>
      <c r="E184" s="220">
        <f>(17.72)*0.88*2</f>
        <v>31.187199999999997</v>
      </c>
      <c r="F184" s="225"/>
      <c r="G184" s="674"/>
      <c r="H184" s="225"/>
      <c r="I184" s="348"/>
      <c r="J184" s="349"/>
      <c r="K184" s="675"/>
      <c r="L184" s="675"/>
      <c r="M184" s="675"/>
      <c r="N184" s="675"/>
      <c r="O184" s="676"/>
      <c r="P184" s="676"/>
      <c r="Q184" s="676"/>
      <c r="R184" s="676"/>
      <c r="S184" s="515"/>
      <c r="T184" s="515"/>
      <c r="U184" s="210"/>
      <c r="V184" s="210"/>
      <c r="W184" s="210"/>
      <c r="X184" s="210"/>
    </row>
    <row r="185" spans="1:20" s="22" customFormat="1" ht="22.5" customHeight="1">
      <c r="A185" s="196" t="s">
        <v>2557</v>
      </c>
      <c r="B185" s="197" t="s">
        <v>2558</v>
      </c>
      <c r="C185" s="199" t="s">
        <v>2559</v>
      </c>
      <c r="D185" s="917" t="s">
        <v>2759</v>
      </c>
      <c r="E185" s="198" t="s">
        <v>1748</v>
      </c>
      <c r="F185" s="1028">
        <f>E186</f>
        <v>37.42464</v>
      </c>
      <c r="G185" s="332"/>
      <c r="H185" s="332">
        <f>F185*G185</f>
        <v>0</v>
      </c>
      <c r="I185" s="333">
        <v>0.0045</v>
      </c>
      <c r="J185" s="334">
        <f>F185*I185</f>
        <v>0.16841087999999999</v>
      </c>
      <c r="K185" s="509"/>
      <c r="L185" s="509"/>
      <c r="M185" s="509"/>
      <c r="N185" s="509"/>
      <c r="O185" s="509"/>
      <c r="P185" s="509"/>
      <c r="Q185" s="509"/>
      <c r="R185" s="509"/>
      <c r="S185" s="509"/>
      <c r="T185" s="509"/>
    </row>
    <row r="186" spans="1:24" s="211" customFormat="1" ht="21.75" customHeight="1">
      <c r="A186" s="223"/>
      <c r="B186" s="224" t="s">
        <v>1749</v>
      </c>
      <c r="C186" s="224" t="s">
        <v>2850</v>
      </c>
      <c r="D186" s="970"/>
      <c r="E186" s="1084">
        <f>(17.72)*0.88*2*1.2</f>
        <v>37.42464</v>
      </c>
      <c r="F186" s="225"/>
      <c r="G186" s="674"/>
      <c r="H186" s="225"/>
      <c r="I186" s="348"/>
      <c r="J186" s="349"/>
      <c r="K186" s="675"/>
      <c r="L186" s="675"/>
      <c r="M186" s="675"/>
      <c r="N186" s="675"/>
      <c r="O186" s="676"/>
      <c r="P186" s="676"/>
      <c r="Q186" s="676"/>
      <c r="R186" s="676"/>
      <c r="S186" s="515"/>
      <c r="T186" s="515"/>
      <c r="U186" s="210"/>
      <c r="V186" s="210"/>
      <c r="W186" s="210"/>
      <c r="X186" s="210"/>
    </row>
    <row r="187" spans="1:24" s="269" customFormat="1" ht="27.75" customHeight="1">
      <c r="A187" s="719" t="s">
        <v>2560</v>
      </c>
      <c r="B187" s="720" t="s">
        <v>2561</v>
      </c>
      <c r="C187" s="683" t="s">
        <v>2562</v>
      </c>
      <c r="D187" s="978" t="s">
        <v>2759</v>
      </c>
      <c r="E187" s="287" t="s">
        <v>1748</v>
      </c>
      <c r="F187" s="387">
        <f>E188</f>
        <v>46.071999999999996</v>
      </c>
      <c r="G187" s="387"/>
      <c r="H187" s="387">
        <f>F187*G187</f>
        <v>0</v>
      </c>
      <c r="I187" s="721">
        <v>0.00017</v>
      </c>
      <c r="J187" s="722">
        <f>F187*I187</f>
        <v>0.007832239999999999</v>
      </c>
      <c r="K187" s="723"/>
      <c r="L187" s="723"/>
      <c r="M187" s="724"/>
      <c r="N187" s="725"/>
      <c r="O187" s="268"/>
      <c r="P187" s="268"/>
      <c r="Q187" s="268"/>
      <c r="R187" s="268"/>
      <c r="S187" s="268"/>
      <c r="T187" s="268"/>
      <c r="U187" s="268"/>
      <c r="V187" s="268"/>
      <c r="W187" s="726"/>
      <c r="X187" s="726"/>
    </row>
    <row r="188" spans="1:24" s="211" customFormat="1" ht="20.25" customHeight="1">
      <c r="A188" s="223"/>
      <c r="B188" s="224" t="s">
        <v>1749</v>
      </c>
      <c r="C188" s="224" t="s">
        <v>842</v>
      </c>
      <c r="D188" s="970"/>
      <c r="E188" s="220">
        <f>(17.72)*2*1.3</f>
        <v>46.071999999999996</v>
      </c>
      <c r="F188" s="225"/>
      <c r="G188" s="674"/>
      <c r="H188" s="225"/>
      <c r="I188" s="727"/>
      <c r="J188" s="728"/>
      <c r="K188" s="675"/>
      <c r="L188" s="675"/>
      <c r="M188" s="675"/>
      <c r="N188" s="675"/>
      <c r="O188" s="676"/>
      <c r="P188" s="676"/>
      <c r="Q188" s="676"/>
      <c r="R188" s="676"/>
      <c r="S188" s="515"/>
      <c r="T188" s="515"/>
      <c r="U188" s="210"/>
      <c r="V188" s="210"/>
      <c r="W188" s="210"/>
      <c r="X188" s="210"/>
    </row>
    <row r="189" spans="1:24" s="269" customFormat="1" ht="27" customHeight="1">
      <c r="A189" s="719" t="s">
        <v>2563</v>
      </c>
      <c r="B189" s="720" t="s">
        <v>2564</v>
      </c>
      <c r="C189" s="683" t="s">
        <v>2565</v>
      </c>
      <c r="D189" s="1178" t="s">
        <v>2759</v>
      </c>
      <c r="E189" s="287" t="s">
        <v>1748</v>
      </c>
      <c r="F189" s="1070">
        <f>E190</f>
        <v>55.28639999999999</v>
      </c>
      <c r="G189" s="387"/>
      <c r="H189" s="387">
        <f>F189*G189</f>
        <v>0</v>
      </c>
      <c r="I189" s="721">
        <v>0.001</v>
      </c>
      <c r="J189" s="722">
        <f>F189*I189</f>
        <v>0.05528639999999999</v>
      </c>
      <c r="K189" s="723"/>
      <c r="L189" s="723"/>
      <c r="M189" s="724"/>
      <c r="N189" s="725"/>
      <c r="O189" s="268"/>
      <c r="P189" s="268"/>
      <c r="Q189" s="268"/>
      <c r="R189" s="268"/>
      <c r="S189" s="268"/>
      <c r="T189" s="268"/>
      <c r="U189" s="268"/>
      <c r="V189" s="268"/>
      <c r="W189" s="726"/>
      <c r="X189" s="726"/>
    </row>
    <row r="190" spans="1:24" s="211" customFormat="1" ht="20.25" customHeight="1">
      <c r="A190" s="223"/>
      <c r="B190" s="224" t="s">
        <v>1749</v>
      </c>
      <c r="C190" s="224" t="s">
        <v>2851</v>
      </c>
      <c r="D190" s="1179"/>
      <c r="E190" s="1084">
        <f>(17.72)*2*1.3*1.2</f>
        <v>55.28639999999999</v>
      </c>
      <c r="F190" s="225"/>
      <c r="G190" s="674"/>
      <c r="H190" s="225"/>
      <c r="I190" s="727"/>
      <c r="J190" s="728"/>
      <c r="K190" s="675"/>
      <c r="L190" s="675"/>
      <c r="M190" s="675"/>
      <c r="N190" s="675"/>
      <c r="O190" s="676"/>
      <c r="P190" s="676"/>
      <c r="Q190" s="676"/>
      <c r="R190" s="676"/>
      <c r="S190" s="515"/>
      <c r="T190" s="515"/>
      <c r="U190" s="210"/>
      <c r="V190" s="210"/>
      <c r="W190" s="210"/>
      <c r="X190" s="210"/>
    </row>
    <row r="191" spans="1:24" s="269" customFormat="1" ht="26.25" customHeight="1">
      <c r="A191" s="719" t="s">
        <v>2566</v>
      </c>
      <c r="B191" s="720" t="s">
        <v>2567</v>
      </c>
      <c r="C191" s="683" t="s">
        <v>2568</v>
      </c>
      <c r="D191" s="1178" t="s">
        <v>2759</v>
      </c>
      <c r="E191" s="287" t="s">
        <v>1826</v>
      </c>
      <c r="F191" s="1070">
        <v>36</v>
      </c>
      <c r="G191" s="387"/>
      <c r="H191" s="387">
        <f>F191*G191</f>
        <v>0</v>
      </c>
      <c r="I191" s="721">
        <v>0.00096</v>
      </c>
      <c r="J191" s="722">
        <f>F191*I191</f>
        <v>0.03456</v>
      </c>
      <c r="K191" s="723"/>
      <c r="L191" s="723"/>
      <c r="M191" s="724"/>
      <c r="N191" s="725"/>
      <c r="O191" s="268"/>
      <c r="P191" s="268"/>
      <c r="Q191" s="268"/>
      <c r="R191" s="268"/>
      <c r="S191" s="268"/>
      <c r="T191" s="268"/>
      <c r="U191" s="268"/>
      <c r="V191" s="268"/>
      <c r="W191" s="726"/>
      <c r="X191" s="726"/>
    </row>
    <row r="192" spans="1:24" s="211" customFormat="1" ht="20.25" customHeight="1">
      <c r="A192" s="223"/>
      <c r="B192" s="224"/>
      <c r="C192" s="224"/>
      <c r="D192" s="970"/>
      <c r="E192" s="220"/>
      <c r="F192" s="225"/>
      <c r="G192" s="674"/>
      <c r="H192" s="225"/>
      <c r="I192" s="727"/>
      <c r="J192" s="728"/>
      <c r="K192" s="675"/>
      <c r="L192" s="675"/>
      <c r="M192" s="675"/>
      <c r="N192" s="675"/>
      <c r="O192" s="676"/>
      <c r="P192" s="676"/>
      <c r="Q192" s="676"/>
      <c r="R192" s="676"/>
      <c r="S192" s="515"/>
      <c r="T192" s="515"/>
      <c r="U192" s="210"/>
      <c r="V192" s="210"/>
      <c r="W192" s="210"/>
      <c r="X192" s="210"/>
    </row>
    <row r="193" spans="1:20" s="22" customFormat="1" ht="22.5" customHeight="1" thickBot="1">
      <c r="A193" s="255" t="s">
        <v>2569</v>
      </c>
      <c r="B193" s="256" t="s">
        <v>2587</v>
      </c>
      <c r="C193" s="264" t="s">
        <v>2588</v>
      </c>
      <c r="D193" s="968"/>
      <c r="E193" s="257" t="s">
        <v>1783</v>
      </c>
      <c r="F193" s="1120">
        <f>J178</f>
        <v>0.30039543999999996</v>
      </c>
      <c r="G193" s="368"/>
      <c r="H193" s="368">
        <f>F193*G193</f>
        <v>0</v>
      </c>
      <c r="I193" s="369">
        <v>0</v>
      </c>
      <c r="J193" s="370"/>
      <c r="K193" s="693"/>
      <c r="L193" s="693"/>
      <c r="M193" s="693"/>
      <c r="N193" s="693"/>
      <c r="O193" s="693"/>
      <c r="P193" s="693"/>
      <c r="Q193" s="694"/>
      <c r="R193" s="509"/>
      <c r="S193" s="509"/>
      <c r="T193" s="509"/>
    </row>
    <row r="194" spans="1:20" ht="16.5" customHeight="1" thickBot="1">
      <c r="A194" s="266" t="s">
        <v>2589</v>
      </c>
      <c r="B194" s="175" t="s">
        <v>2590</v>
      </c>
      <c r="C194" s="176" t="s">
        <v>2591</v>
      </c>
      <c r="D194" s="1008"/>
      <c r="E194" s="175"/>
      <c r="F194" s="341"/>
      <c r="G194" s="341"/>
      <c r="H194" s="342">
        <f>SUM(H195:H210)</f>
        <v>0</v>
      </c>
      <c r="I194" s="343"/>
      <c r="J194" s="344">
        <f>SUM(J195:J209)</f>
        <v>1.947216</v>
      </c>
      <c r="K194" s="670"/>
      <c r="L194" s="670"/>
      <c r="M194" s="670"/>
      <c r="N194" s="670"/>
      <c r="O194" s="670"/>
      <c r="P194" s="670"/>
      <c r="Q194" s="670"/>
      <c r="R194" s="670"/>
      <c r="S194" s="670"/>
      <c r="T194" s="670"/>
    </row>
    <row r="195" spans="1:20" s="22" customFormat="1" ht="15.75" customHeight="1">
      <c r="A195" s="190"/>
      <c r="B195" s="191"/>
      <c r="C195" s="265"/>
      <c r="D195" s="964"/>
      <c r="E195" s="192"/>
      <c r="F195" s="345"/>
      <c r="G195" s="345"/>
      <c r="H195" s="345"/>
      <c r="I195" s="346"/>
      <c r="J195" s="347"/>
      <c r="K195" s="693"/>
      <c r="L195" s="693"/>
      <c r="M195" s="693"/>
      <c r="N195" s="693"/>
      <c r="O195" s="693"/>
      <c r="P195" s="693"/>
      <c r="Q195" s="694"/>
      <c r="R195" s="509"/>
      <c r="S195" s="509"/>
      <c r="T195" s="509"/>
    </row>
    <row r="196" spans="1:20" s="22" customFormat="1" ht="30.75" customHeight="1">
      <c r="A196" s="196" t="s">
        <v>2592</v>
      </c>
      <c r="B196" s="197" t="s">
        <v>2593</v>
      </c>
      <c r="C196" s="199" t="s">
        <v>2594</v>
      </c>
      <c r="D196" s="917" t="s">
        <v>2763</v>
      </c>
      <c r="E196" s="198" t="s">
        <v>1748</v>
      </c>
      <c r="F196" s="332">
        <f>E197</f>
        <v>118.30000000000001</v>
      </c>
      <c r="G196" s="332"/>
      <c r="H196" s="332">
        <f>F196*G196</f>
        <v>0</v>
      </c>
      <c r="I196" s="333">
        <v>0</v>
      </c>
      <c r="J196" s="334">
        <f>F196*I196</f>
        <v>0</v>
      </c>
      <c r="K196" s="509"/>
      <c r="L196" s="509"/>
      <c r="M196" s="509"/>
      <c r="N196" s="509"/>
      <c r="O196" s="509"/>
      <c r="P196" s="509"/>
      <c r="Q196" s="509"/>
      <c r="R196" s="509"/>
      <c r="S196" s="509"/>
      <c r="T196" s="509"/>
    </row>
    <row r="197" spans="1:20" s="130" customFormat="1" ht="15.75" customHeight="1">
      <c r="A197" s="204"/>
      <c r="B197" s="205" t="s">
        <v>735</v>
      </c>
      <c r="C197" s="206" t="s">
        <v>843</v>
      </c>
      <c r="D197" s="916"/>
      <c r="E197" s="207">
        <f>112.9+5.4</f>
        <v>118.30000000000001</v>
      </c>
      <c r="F197" s="335"/>
      <c r="G197" s="335"/>
      <c r="H197" s="335"/>
      <c r="I197" s="336"/>
      <c r="J197" s="337"/>
      <c r="K197" s="508"/>
      <c r="L197" s="508"/>
      <c r="M197" s="508"/>
      <c r="N197" s="508"/>
      <c r="O197" s="508"/>
      <c r="P197" s="508"/>
      <c r="Q197" s="508"/>
      <c r="R197" s="508"/>
      <c r="S197" s="508"/>
      <c r="T197" s="508"/>
    </row>
    <row r="198" spans="1:20" s="22" customFormat="1" ht="15" customHeight="1">
      <c r="A198" s="196"/>
      <c r="B198" s="197"/>
      <c r="C198" s="199"/>
      <c r="D198" s="917"/>
      <c r="E198" s="198"/>
      <c r="F198" s="332"/>
      <c r="G198" s="332"/>
      <c r="H198" s="332"/>
      <c r="I198" s="333"/>
      <c r="J198" s="334"/>
      <c r="K198" s="693"/>
      <c r="L198" s="693"/>
      <c r="M198" s="693"/>
      <c r="N198" s="693"/>
      <c r="O198" s="693"/>
      <c r="P198" s="693"/>
      <c r="Q198" s="694"/>
      <c r="R198" s="509"/>
      <c r="S198" s="509"/>
      <c r="T198" s="509"/>
    </row>
    <row r="199" spans="1:20" s="22" customFormat="1" ht="24" customHeight="1">
      <c r="A199" s="196" t="s">
        <v>2598</v>
      </c>
      <c r="B199" s="197" t="s">
        <v>2599</v>
      </c>
      <c r="C199" s="199" t="s">
        <v>2600</v>
      </c>
      <c r="D199" s="917" t="s">
        <v>2763</v>
      </c>
      <c r="E199" s="198" t="s">
        <v>1748</v>
      </c>
      <c r="F199" s="332">
        <f>E200</f>
        <v>118.30000000000001</v>
      </c>
      <c r="G199" s="332"/>
      <c r="H199" s="332">
        <f aca="true" t="shared" si="10" ref="H199:H207">F199*G199</f>
        <v>0</v>
      </c>
      <c r="I199" s="333">
        <v>0</v>
      </c>
      <c r="J199" s="334">
        <f aca="true" t="shared" si="11" ref="J199:J207">F199*I199</f>
        <v>0</v>
      </c>
      <c r="K199" s="693"/>
      <c r="L199" s="693"/>
      <c r="M199" s="693"/>
      <c r="N199" s="693"/>
      <c r="O199" s="693"/>
      <c r="P199" s="693"/>
      <c r="Q199" s="694"/>
      <c r="R199" s="509"/>
      <c r="S199" s="509"/>
      <c r="T199" s="509"/>
    </row>
    <row r="200" spans="1:20" s="130" customFormat="1" ht="15.75" customHeight="1">
      <c r="A200" s="204"/>
      <c r="B200" s="205" t="s">
        <v>735</v>
      </c>
      <c r="C200" s="206" t="s">
        <v>843</v>
      </c>
      <c r="D200" s="916"/>
      <c r="E200" s="207">
        <f>112.9+5.4</f>
        <v>118.30000000000001</v>
      </c>
      <c r="F200" s="335"/>
      <c r="G200" s="335"/>
      <c r="H200" s="335"/>
      <c r="I200" s="336"/>
      <c r="J200" s="337"/>
      <c r="K200" s="508"/>
      <c r="L200" s="508"/>
      <c r="M200" s="508"/>
      <c r="N200" s="508"/>
      <c r="O200" s="508"/>
      <c r="P200" s="508"/>
      <c r="Q200" s="508"/>
      <c r="R200" s="508"/>
      <c r="S200" s="508"/>
      <c r="T200" s="508"/>
    </row>
    <row r="201" spans="1:20" s="22" customFormat="1" ht="18.75" customHeight="1">
      <c r="A201" s="196" t="s">
        <v>2601</v>
      </c>
      <c r="B201" s="197" t="s">
        <v>2602</v>
      </c>
      <c r="C201" s="199" t="s">
        <v>2603</v>
      </c>
      <c r="D201" s="917" t="s">
        <v>2763</v>
      </c>
      <c r="E201" s="198" t="s">
        <v>1748</v>
      </c>
      <c r="F201" s="1028">
        <f>F199*1.2</f>
        <v>141.96</v>
      </c>
      <c r="G201" s="332"/>
      <c r="H201" s="332">
        <f t="shared" si="10"/>
        <v>0</v>
      </c>
      <c r="I201" s="333">
        <v>0.0047</v>
      </c>
      <c r="J201" s="334">
        <f t="shared" si="11"/>
        <v>0.667212</v>
      </c>
      <c r="K201" s="693"/>
      <c r="L201" s="693"/>
      <c r="M201" s="693"/>
      <c r="N201" s="693"/>
      <c r="O201" s="693"/>
      <c r="P201" s="693"/>
      <c r="Q201" s="694"/>
      <c r="R201" s="509"/>
      <c r="S201" s="509"/>
      <c r="T201" s="509"/>
    </row>
    <row r="202" spans="1:20" s="22" customFormat="1" ht="24" customHeight="1">
      <c r="A202" s="196" t="s">
        <v>2607</v>
      </c>
      <c r="B202" s="197" t="s">
        <v>2608</v>
      </c>
      <c r="C202" s="199" t="s">
        <v>2609</v>
      </c>
      <c r="D202" s="917" t="s">
        <v>2763</v>
      </c>
      <c r="E202" s="198" t="s">
        <v>1831</v>
      </c>
      <c r="F202" s="332">
        <f>F199*4-0.2</f>
        <v>473.00000000000006</v>
      </c>
      <c r="G202" s="332"/>
      <c r="H202" s="332">
        <f t="shared" si="10"/>
        <v>0</v>
      </c>
      <c r="I202" s="333">
        <v>1E-05</v>
      </c>
      <c r="J202" s="334">
        <f t="shared" si="11"/>
        <v>0.004730000000000001</v>
      </c>
      <c r="K202" s="693"/>
      <c r="L202" s="693"/>
      <c r="M202" s="693"/>
      <c r="N202" s="693"/>
      <c r="O202" s="693"/>
      <c r="P202" s="693"/>
      <c r="Q202" s="694"/>
      <c r="R202" s="509"/>
      <c r="S202" s="509"/>
      <c r="T202" s="509"/>
    </row>
    <row r="203" spans="1:20" s="22" customFormat="1" ht="24" customHeight="1">
      <c r="A203" s="196" t="s">
        <v>2610</v>
      </c>
      <c r="B203" s="197" t="s">
        <v>2611</v>
      </c>
      <c r="C203" s="199" t="s">
        <v>2612</v>
      </c>
      <c r="D203" s="917" t="s">
        <v>2763</v>
      </c>
      <c r="E203" s="198" t="s">
        <v>1748</v>
      </c>
      <c r="F203" s="332">
        <f>E204</f>
        <v>118.30000000000001</v>
      </c>
      <c r="G203" s="332"/>
      <c r="H203" s="332">
        <f t="shared" si="10"/>
        <v>0</v>
      </c>
      <c r="I203" s="333">
        <v>0.00035</v>
      </c>
      <c r="J203" s="334">
        <f t="shared" si="11"/>
        <v>0.041405000000000004</v>
      </c>
      <c r="K203" s="693"/>
      <c r="L203" s="693"/>
      <c r="M203" s="693"/>
      <c r="N203" s="693"/>
      <c r="O203" s="693"/>
      <c r="P203" s="693"/>
      <c r="Q203" s="694"/>
      <c r="R203" s="509"/>
      <c r="S203" s="509"/>
      <c r="T203" s="509"/>
    </row>
    <row r="204" spans="1:20" s="130" customFormat="1" ht="15.75" customHeight="1">
      <c r="A204" s="204"/>
      <c r="B204" s="205" t="s">
        <v>735</v>
      </c>
      <c r="C204" s="206" t="s">
        <v>843</v>
      </c>
      <c r="D204" s="916"/>
      <c r="E204" s="207">
        <f>112.9+5.4</f>
        <v>118.30000000000001</v>
      </c>
      <c r="F204" s="335"/>
      <c r="G204" s="335"/>
      <c r="H204" s="335"/>
      <c r="I204" s="336"/>
      <c r="J204" s="337"/>
      <c r="K204" s="508"/>
      <c r="L204" s="508"/>
      <c r="M204" s="508"/>
      <c r="N204" s="508"/>
      <c r="O204" s="508"/>
      <c r="P204" s="508"/>
      <c r="Q204" s="508"/>
      <c r="R204" s="508"/>
      <c r="S204" s="508"/>
      <c r="T204" s="508"/>
    </row>
    <row r="205" spans="1:20" s="22" customFormat="1" ht="19.5" customHeight="1">
      <c r="A205" s="196" t="s">
        <v>2613</v>
      </c>
      <c r="B205" s="197" t="s">
        <v>2614</v>
      </c>
      <c r="C205" s="199" t="s">
        <v>2615</v>
      </c>
      <c r="D205" s="917" t="s">
        <v>2763</v>
      </c>
      <c r="E205" s="198" t="s">
        <v>1748</v>
      </c>
      <c r="F205" s="1028">
        <f>F203*1.2</f>
        <v>141.96</v>
      </c>
      <c r="G205" s="332"/>
      <c r="H205" s="332">
        <f t="shared" si="10"/>
        <v>0</v>
      </c>
      <c r="I205" s="333">
        <v>0.0044</v>
      </c>
      <c r="J205" s="334">
        <f t="shared" si="11"/>
        <v>0.6246240000000001</v>
      </c>
      <c r="K205" s="693"/>
      <c r="L205" s="693"/>
      <c r="M205" s="693"/>
      <c r="N205" s="693"/>
      <c r="O205" s="693"/>
      <c r="P205" s="693"/>
      <c r="Q205" s="694"/>
      <c r="R205" s="509"/>
      <c r="S205" s="509"/>
      <c r="T205" s="509"/>
    </row>
    <row r="206" spans="1:20" s="22" customFormat="1" ht="13.5" customHeight="1">
      <c r="A206" s="196"/>
      <c r="B206" s="197"/>
      <c r="C206" s="199"/>
      <c r="D206" s="917"/>
      <c r="E206" s="198"/>
      <c r="F206" s="332"/>
      <c r="G206" s="332"/>
      <c r="H206" s="332"/>
      <c r="I206" s="333"/>
      <c r="J206" s="334"/>
      <c r="K206" s="693"/>
      <c r="L206" s="693"/>
      <c r="M206" s="693"/>
      <c r="N206" s="693"/>
      <c r="O206" s="693"/>
      <c r="P206" s="693"/>
      <c r="Q206" s="694"/>
      <c r="R206" s="509"/>
      <c r="S206" s="509"/>
      <c r="T206" s="509"/>
    </row>
    <row r="207" spans="1:20" s="22" customFormat="1" ht="24" customHeight="1">
      <c r="A207" s="196" t="s">
        <v>2616</v>
      </c>
      <c r="B207" s="197" t="s">
        <v>2611</v>
      </c>
      <c r="C207" s="199" t="s">
        <v>2617</v>
      </c>
      <c r="D207" s="917" t="s">
        <v>2763</v>
      </c>
      <c r="E207" s="198" t="s">
        <v>1748</v>
      </c>
      <c r="F207" s="332">
        <f>SUM(E208:E208)</f>
        <v>118.30000000000001</v>
      </c>
      <c r="G207" s="332"/>
      <c r="H207" s="332">
        <f t="shared" si="10"/>
        <v>0</v>
      </c>
      <c r="I207" s="333">
        <v>0.00035</v>
      </c>
      <c r="J207" s="334">
        <f t="shared" si="11"/>
        <v>0.041405000000000004</v>
      </c>
      <c r="K207" s="693"/>
      <c r="L207" s="693"/>
      <c r="M207" s="693"/>
      <c r="N207" s="693"/>
      <c r="O207" s="693"/>
      <c r="P207" s="693"/>
      <c r="Q207" s="694"/>
      <c r="R207" s="509"/>
      <c r="S207" s="509"/>
      <c r="T207" s="509"/>
    </row>
    <row r="208" spans="1:20" s="130" customFormat="1" ht="15.75" customHeight="1">
      <c r="A208" s="204"/>
      <c r="B208" s="205" t="s">
        <v>735</v>
      </c>
      <c r="C208" s="206" t="s">
        <v>843</v>
      </c>
      <c r="D208" s="916"/>
      <c r="E208" s="207">
        <f>112.9+5.4</f>
        <v>118.30000000000001</v>
      </c>
      <c r="F208" s="335"/>
      <c r="G208" s="335"/>
      <c r="H208" s="335"/>
      <c r="I208" s="336"/>
      <c r="J208" s="337"/>
      <c r="K208" s="508"/>
      <c r="L208" s="508"/>
      <c r="M208" s="508"/>
      <c r="N208" s="508"/>
      <c r="O208" s="508"/>
      <c r="P208" s="508"/>
      <c r="Q208" s="508"/>
      <c r="R208" s="508"/>
      <c r="S208" s="508"/>
      <c r="T208" s="508"/>
    </row>
    <row r="209" spans="1:20" s="22" customFormat="1" ht="18.75" customHeight="1">
      <c r="A209" s="196" t="s">
        <v>2618</v>
      </c>
      <c r="B209" s="197" t="s">
        <v>2619</v>
      </c>
      <c r="C209" s="199" t="s">
        <v>2620</v>
      </c>
      <c r="D209" s="917" t="s">
        <v>2763</v>
      </c>
      <c r="E209" s="198" t="s">
        <v>1748</v>
      </c>
      <c r="F209" s="1028">
        <f>F207*1.2</f>
        <v>141.96</v>
      </c>
      <c r="G209" s="332"/>
      <c r="H209" s="332">
        <f>F209*G209</f>
        <v>0</v>
      </c>
      <c r="I209" s="333">
        <v>0.004</v>
      </c>
      <c r="J209" s="334">
        <f>F209*I209</f>
        <v>0.56784</v>
      </c>
      <c r="K209" s="693"/>
      <c r="L209" s="693"/>
      <c r="M209" s="693"/>
      <c r="N209" s="693"/>
      <c r="O209" s="693"/>
      <c r="P209" s="693"/>
      <c r="Q209" s="694"/>
      <c r="R209" s="509"/>
      <c r="S209" s="509"/>
      <c r="T209" s="509"/>
    </row>
    <row r="210" spans="1:20" s="22" customFormat="1" ht="24" customHeight="1" thickBot="1">
      <c r="A210" s="255" t="s">
        <v>2624</v>
      </c>
      <c r="B210" s="256" t="s">
        <v>2625</v>
      </c>
      <c r="C210" s="264" t="s">
        <v>2626</v>
      </c>
      <c r="D210" s="968"/>
      <c r="E210" s="257" t="s">
        <v>1783</v>
      </c>
      <c r="F210" s="1120">
        <f>J194</f>
        <v>1.947216</v>
      </c>
      <c r="G210" s="368"/>
      <c r="H210" s="368">
        <f>F210*G210</f>
        <v>0</v>
      </c>
      <c r="I210" s="369">
        <v>0</v>
      </c>
      <c r="J210" s="370">
        <f>F210*I210</f>
        <v>0</v>
      </c>
      <c r="K210" s="693"/>
      <c r="L210" s="693"/>
      <c r="M210" s="693"/>
      <c r="N210" s="693"/>
      <c r="O210" s="693"/>
      <c r="P210" s="693"/>
      <c r="Q210" s="694"/>
      <c r="R210" s="509"/>
      <c r="S210" s="509"/>
      <c r="T210" s="509"/>
    </row>
    <row r="211" spans="1:20" ht="16.5" customHeight="1" thickBot="1">
      <c r="A211" s="266" t="s">
        <v>2627</v>
      </c>
      <c r="B211" s="175" t="s">
        <v>2628</v>
      </c>
      <c r="C211" s="176" t="s">
        <v>2629</v>
      </c>
      <c r="D211" s="1008"/>
      <c r="E211" s="175"/>
      <c r="F211" s="341"/>
      <c r="G211" s="341"/>
      <c r="H211" s="342">
        <f>SUM(H212:H219)</f>
        <v>0</v>
      </c>
      <c r="I211" s="343"/>
      <c r="J211" s="344">
        <f>SUM(J212:J216)</f>
        <v>1.1167520000000002</v>
      </c>
      <c r="K211" s="670"/>
      <c r="L211" s="670"/>
      <c r="M211" s="670"/>
      <c r="N211" s="670"/>
      <c r="O211" s="670"/>
      <c r="P211" s="670"/>
      <c r="Q211" s="670"/>
      <c r="R211" s="670"/>
      <c r="S211" s="670"/>
      <c r="T211" s="670"/>
    </row>
    <row r="212" spans="1:17" s="1119" customFormat="1" ht="18.75" customHeight="1">
      <c r="A212" s="1167" t="s">
        <v>2630</v>
      </c>
      <c r="B212" s="1168" t="s">
        <v>2631</v>
      </c>
      <c r="C212" s="1169" t="s">
        <v>2632</v>
      </c>
      <c r="D212" s="1170" t="s">
        <v>2839</v>
      </c>
      <c r="E212" s="1171" t="s">
        <v>1748</v>
      </c>
      <c r="F212" s="1172">
        <v>2172</v>
      </c>
      <c r="G212" s="1172"/>
      <c r="H212" s="1172">
        <f>F212*G212</f>
        <v>0</v>
      </c>
      <c r="I212" s="1173">
        <v>0</v>
      </c>
      <c r="J212" s="1174">
        <f>F212*I212</f>
        <v>0</v>
      </c>
      <c r="K212" s="1117"/>
      <c r="L212" s="1117"/>
      <c r="M212" s="1117"/>
      <c r="N212" s="1117"/>
      <c r="O212" s="1117"/>
      <c r="P212" s="1117"/>
      <c r="Q212" s="1118"/>
    </row>
    <row r="213" spans="1:20" s="22" customFormat="1" ht="18.75" customHeight="1">
      <c r="A213" s="278" t="s">
        <v>2633</v>
      </c>
      <c r="B213" s="1024" t="s">
        <v>2631</v>
      </c>
      <c r="C213" s="1025" t="s">
        <v>2632</v>
      </c>
      <c r="D213" s="1049" t="s">
        <v>2763</v>
      </c>
      <c r="E213" s="198" t="s">
        <v>1748</v>
      </c>
      <c r="F213" s="332">
        <f>E214</f>
        <v>118.30000000000001</v>
      </c>
      <c r="G213" s="332"/>
      <c r="H213" s="332">
        <f>F213*G213</f>
        <v>0</v>
      </c>
      <c r="I213" s="333">
        <v>0.00229</v>
      </c>
      <c r="J213" s="334">
        <f>F213*I213</f>
        <v>0.270907</v>
      </c>
      <c r="K213" s="693"/>
      <c r="L213" s="693"/>
      <c r="M213" s="693"/>
      <c r="N213" s="693"/>
      <c r="O213" s="693"/>
      <c r="P213" s="693"/>
      <c r="Q213" s="694"/>
      <c r="R213" s="509"/>
      <c r="S213" s="509"/>
      <c r="T213" s="509"/>
    </row>
    <row r="214" spans="1:20" s="130" customFormat="1" ht="18.75" customHeight="1">
      <c r="A214" s="204"/>
      <c r="B214" s="205" t="s">
        <v>735</v>
      </c>
      <c r="C214" s="206" t="s">
        <v>843</v>
      </c>
      <c r="D214" s="916"/>
      <c r="E214" s="207">
        <f>112.9+5.4</f>
        <v>118.30000000000001</v>
      </c>
      <c r="F214" s="335"/>
      <c r="G214" s="335"/>
      <c r="H214" s="335"/>
      <c r="I214" s="336"/>
      <c r="J214" s="337"/>
      <c r="K214" s="508"/>
      <c r="L214" s="508"/>
      <c r="M214" s="508"/>
      <c r="N214" s="508"/>
      <c r="O214" s="508"/>
      <c r="P214" s="508"/>
      <c r="Q214" s="508"/>
      <c r="R214" s="508"/>
      <c r="S214" s="508"/>
      <c r="T214" s="508"/>
    </row>
    <row r="215" spans="1:20" s="22" customFormat="1" ht="27" customHeight="1">
      <c r="A215" s="196" t="s">
        <v>2637</v>
      </c>
      <c r="B215" s="197" t="s">
        <v>2649</v>
      </c>
      <c r="C215" s="199" t="s">
        <v>2650</v>
      </c>
      <c r="D215" s="1022" t="s">
        <v>2763</v>
      </c>
      <c r="E215" s="198" t="s">
        <v>1709</v>
      </c>
      <c r="F215" s="1028">
        <f>E216</f>
        <v>33.833800000000004</v>
      </c>
      <c r="G215" s="332"/>
      <c r="H215" s="332">
        <f>F215*G215</f>
        <v>0</v>
      </c>
      <c r="I215" s="333">
        <v>0.025</v>
      </c>
      <c r="J215" s="334">
        <f>F215*I215</f>
        <v>0.8458450000000002</v>
      </c>
      <c r="K215" s="509"/>
      <c r="L215" s="509"/>
      <c r="M215" s="509"/>
      <c r="N215" s="509"/>
      <c r="O215" s="509"/>
      <c r="P215" s="509"/>
      <c r="Q215" s="509"/>
      <c r="R215" s="509"/>
      <c r="S215" s="509"/>
      <c r="T215" s="509"/>
    </row>
    <row r="216" spans="1:20" s="130" customFormat="1" ht="16.5" customHeight="1">
      <c r="A216" s="204"/>
      <c r="B216" s="205" t="s">
        <v>735</v>
      </c>
      <c r="C216" s="206" t="s">
        <v>2940</v>
      </c>
      <c r="D216" s="1166" t="s">
        <v>2652</v>
      </c>
      <c r="E216" s="1051">
        <f>(112.9+5.4)*0.26*1.1</f>
        <v>33.833800000000004</v>
      </c>
      <c r="F216" s="335"/>
      <c r="G216" s="335"/>
      <c r="H216" s="335"/>
      <c r="I216" s="336"/>
      <c r="J216" s="337"/>
      <c r="K216" s="508"/>
      <c r="L216" s="508"/>
      <c r="M216" s="508"/>
      <c r="N216" s="508"/>
      <c r="O216" s="508"/>
      <c r="P216" s="508"/>
      <c r="Q216" s="508"/>
      <c r="R216" s="508"/>
      <c r="S216" s="508"/>
      <c r="T216" s="508"/>
    </row>
    <row r="217" spans="1:20" s="1034" customFormat="1" ht="19.5" customHeight="1">
      <c r="A217" s="1023" t="s">
        <v>2658</v>
      </c>
      <c r="B217" s="1024" t="s">
        <v>2608</v>
      </c>
      <c r="C217" s="1025" t="s">
        <v>2609</v>
      </c>
      <c r="D217" s="1026" t="s">
        <v>2756</v>
      </c>
      <c r="E217" s="1027" t="s">
        <v>1831</v>
      </c>
      <c r="F217" s="1028">
        <f>SUM(E218:E222)</f>
        <v>473.00000000000006</v>
      </c>
      <c r="G217" s="1028"/>
      <c r="H217" s="1028">
        <f>F217*G217</f>
        <v>0</v>
      </c>
      <c r="I217" s="1029">
        <v>1E-05</v>
      </c>
      <c r="J217" s="1030">
        <f>F217*I217</f>
        <v>0.004730000000000001</v>
      </c>
      <c r="K217" s="1033"/>
      <c r="L217" s="1033"/>
      <c r="M217" s="1033"/>
      <c r="N217" s="1033"/>
      <c r="O217" s="1033"/>
      <c r="P217" s="1033"/>
      <c r="Q217" s="1033"/>
      <c r="R217" s="1033"/>
      <c r="S217" s="1033"/>
      <c r="T217" s="1033"/>
    </row>
    <row r="218" spans="1:20" s="1059" customFormat="1" ht="17.25" customHeight="1">
      <c r="A218" s="1054"/>
      <c r="B218" s="1055" t="s">
        <v>735</v>
      </c>
      <c r="C218" s="1056" t="s">
        <v>2865</v>
      </c>
      <c r="D218" s="1081" t="s">
        <v>2652</v>
      </c>
      <c r="E218" s="1051">
        <f>(112.9+5.4)*4-0.2</f>
        <v>473.00000000000006</v>
      </c>
      <c r="F218" s="335"/>
      <c r="G218" s="335"/>
      <c r="H218" s="335"/>
      <c r="I218" s="336"/>
      <c r="J218" s="337"/>
      <c r="K218" s="1058"/>
      <c r="L218" s="1058"/>
      <c r="M218" s="1058"/>
      <c r="N218" s="1058"/>
      <c r="O218" s="1058"/>
      <c r="P218" s="1058"/>
      <c r="Q218" s="1058"/>
      <c r="R218" s="1058"/>
      <c r="S218" s="1058"/>
      <c r="T218" s="1058"/>
    </row>
    <row r="219" spans="1:20" s="22" customFormat="1" ht="18.75" customHeight="1" thickBot="1">
      <c r="A219" s="255" t="s">
        <v>2641</v>
      </c>
      <c r="B219" s="256" t="s">
        <v>2681</v>
      </c>
      <c r="C219" s="264" t="s">
        <v>2682</v>
      </c>
      <c r="D219" s="968"/>
      <c r="E219" s="257" t="s">
        <v>1783</v>
      </c>
      <c r="F219" s="1120">
        <f>J211</f>
        <v>1.1167520000000002</v>
      </c>
      <c r="G219" s="368"/>
      <c r="H219" s="368">
        <f>F219*G219</f>
        <v>0</v>
      </c>
      <c r="I219" s="369">
        <v>0</v>
      </c>
      <c r="J219" s="370">
        <f>F219*I219</f>
        <v>0</v>
      </c>
      <c r="K219" s="693"/>
      <c r="L219" s="693"/>
      <c r="M219" s="693"/>
      <c r="N219" s="693"/>
      <c r="O219" s="693"/>
      <c r="P219" s="693"/>
      <c r="Q219" s="694"/>
      <c r="R219" s="509"/>
      <c r="S219" s="509"/>
      <c r="T219" s="509"/>
    </row>
    <row r="220" spans="1:20" ht="16.5" customHeight="1" thickBot="1">
      <c r="A220" s="266" t="s">
        <v>2683</v>
      </c>
      <c r="B220" s="175" t="s">
        <v>2684</v>
      </c>
      <c r="C220" s="176" t="s">
        <v>2685</v>
      </c>
      <c r="D220" s="175"/>
      <c r="E220" s="175"/>
      <c r="F220" s="341"/>
      <c r="G220" s="341"/>
      <c r="H220" s="342">
        <f>SUM(H221)</f>
        <v>0</v>
      </c>
      <c r="I220" s="343"/>
      <c r="J220" s="344">
        <f>SUM(J221)</f>
        <v>0</v>
      </c>
      <c r="K220" s="670"/>
      <c r="L220" s="670"/>
      <c r="M220" s="670"/>
      <c r="N220" s="670"/>
      <c r="O220" s="670"/>
      <c r="P220" s="670"/>
      <c r="Q220" s="670"/>
      <c r="R220" s="670"/>
      <c r="S220" s="670"/>
      <c r="T220" s="670"/>
    </row>
    <row r="221" spans="1:20" s="22" customFormat="1" ht="21" customHeight="1" thickBot="1">
      <c r="A221" s="196"/>
      <c r="B221" s="197"/>
      <c r="C221" s="199"/>
      <c r="D221" s="917"/>
      <c r="E221" s="198"/>
      <c r="F221" s="332"/>
      <c r="G221" s="332"/>
      <c r="H221" s="332"/>
      <c r="I221" s="333"/>
      <c r="J221" s="334"/>
      <c r="K221" s="509"/>
      <c r="L221" s="509"/>
      <c r="M221" s="509"/>
      <c r="N221" s="509"/>
      <c r="O221" s="509"/>
      <c r="P221" s="509"/>
      <c r="Q221" s="509"/>
      <c r="R221" s="509"/>
      <c r="S221" s="509"/>
      <c r="T221" s="509"/>
    </row>
    <row r="222" spans="1:20" ht="16.5" customHeight="1" thickBot="1">
      <c r="A222" s="266" t="s">
        <v>2686</v>
      </c>
      <c r="B222" s="175" t="s">
        <v>2687</v>
      </c>
      <c r="C222" s="176" t="s">
        <v>2688</v>
      </c>
      <c r="D222" s="175"/>
      <c r="E222" s="175"/>
      <c r="F222" s="341"/>
      <c r="G222" s="341"/>
      <c r="H222" s="342">
        <f>SUM(H223:H226)</f>
        <v>0</v>
      </c>
      <c r="I222" s="343"/>
      <c r="J222" s="344">
        <f>SUM(J223:J226)</f>
        <v>0</v>
      </c>
      <c r="K222" s="670"/>
      <c r="L222" s="670"/>
      <c r="M222" s="670"/>
      <c r="N222" s="670"/>
      <c r="O222" s="670"/>
      <c r="P222" s="670"/>
      <c r="Q222" s="670"/>
      <c r="R222" s="670"/>
      <c r="S222" s="670"/>
      <c r="T222" s="670"/>
    </row>
    <row r="223" spans="1:21" s="586" customFormat="1" ht="60.75" customHeight="1">
      <c r="A223" s="770"/>
      <c r="B223" s="771" t="s">
        <v>1676</v>
      </c>
      <c r="C223" s="772" t="s">
        <v>2689</v>
      </c>
      <c r="D223" s="979"/>
      <c r="E223" s="773"/>
      <c r="F223" s="774"/>
      <c r="G223" s="774"/>
      <c r="H223" s="774"/>
      <c r="I223" s="775"/>
      <c r="J223" s="776"/>
      <c r="K223" s="597"/>
      <c r="L223" s="597"/>
      <c r="M223" s="597"/>
      <c r="N223" s="597"/>
      <c r="O223" s="597"/>
      <c r="P223" s="597"/>
      <c r="Q223" s="597"/>
      <c r="R223" s="597"/>
      <c r="S223" s="597"/>
      <c r="T223" s="597"/>
      <c r="U223" s="597"/>
    </row>
    <row r="224" spans="1:20" s="22" customFormat="1" ht="21.75" customHeight="1">
      <c r="A224" s="196" t="s">
        <v>2690</v>
      </c>
      <c r="B224" s="197" t="s">
        <v>2691</v>
      </c>
      <c r="C224" s="453" t="s">
        <v>2692</v>
      </c>
      <c r="D224" s="917"/>
      <c r="E224" s="198" t="s">
        <v>1831</v>
      </c>
      <c r="F224" s="332">
        <v>7</v>
      </c>
      <c r="G224" s="332"/>
      <c r="H224" s="332">
        <f>F224*G224</f>
        <v>0</v>
      </c>
      <c r="I224" s="333">
        <v>0</v>
      </c>
      <c r="J224" s="334">
        <f>F224*I224</f>
        <v>0</v>
      </c>
      <c r="K224" s="509"/>
      <c r="L224" s="509"/>
      <c r="M224" s="509"/>
      <c r="N224" s="509"/>
      <c r="O224" s="509"/>
      <c r="P224" s="509"/>
      <c r="Q224" s="509"/>
      <c r="R224" s="509"/>
      <c r="S224" s="509"/>
      <c r="T224" s="509"/>
    </row>
    <row r="225" spans="1:20" s="22" customFormat="1" ht="45.75" customHeight="1">
      <c r="A225" s="196" t="s">
        <v>2693</v>
      </c>
      <c r="B225" s="197" t="s">
        <v>2691</v>
      </c>
      <c r="C225" s="705" t="s">
        <v>2694</v>
      </c>
      <c r="D225" s="917"/>
      <c r="E225" s="198" t="s">
        <v>2695</v>
      </c>
      <c r="F225" s="332">
        <v>1</v>
      </c>
      <c r="G225" s="828"/>
      <c r="H225" s="332">
        <f>F225*G225</f>
        <v>0</v>
      </c>
      <c r="I225" s="333">
        <v>0</v>
      </c>
      <c r="J225" s="334">
        <f>F225*I225</f>
        <v>0</v>
      </c>
      <c r="K225" s="509"/>
      <c r="L225" s="509"/>
      <c r="M225" s="509"/>
      <c r="N225" s="509"/>
      <c r="O225" s="509"/>
      <c r="P225" s="509"/>
      <c r="Q225" s="509"/>
      <c r="R225" s="509"/>
      <c r="S225" s="509"/>
      <c r="T225" s="509"/>
    </row>
    <row r="226" spans="1:20" s="461" customFormat="1" ht="18.75" customHeight="1" thickBot="1">
      <c r="A226" s="454"/>
      <c r="B226" s="455"/>
      <c r="C226" s="456" t="s">
        <v>844</v>
      </c>
      <c r="D226" s="916"/>
      <c r="E226" s="457">
        <f>7*500</f>
        <v>3500</v>
      </c>
      <c r="F226" s="458"/>
      <c r="G226" s="458"/>
      <c r="H226" s="458"/>
      <c r="I226" s="459"/>
      <c r="J226" s="460"/>
      <c r="K226" s="729"/>
      <c r="L226" s="729"/>
      <c r="M226" s="729"/>
      <c r="N226" s="729"/>
      <c r="O226" s="729"/>
      <c r="P226" s="729"/>
      <c r="Q226" s="729"/>
      <c r="R226" s="729"/>
      <c r="S226" s="729"/>
      <c r="T226" s="729"/>
    </row>
    <row r="227" spans="1:20" ht="16.5" customHeight="1" thickBot="1">
      <c r="A227" s="266" t="s">
        <v>2697</v>
      </c>
      <c r="B227" s="175" t="s">
        <v>2698</v>
      </c>
      <c r="C227" s="176" t="s">
        <v>2699</v>
      </c>
      <c r="D227" s="175"/>
      <c r="E227" s="175"/>
      <c r="F227" s="341"/>
      <c r="G227" s="341"/>
      <c r="H227" s="342">
        <f>SUM(H228:H228)</f>
        <v>0</v>
      </c>
      <c r="I227" s="343"/>
      <c r="J227" s="344">
        <f>SUM(J228:J228)</f>
        <v>0</v>
      </c>
      <c r="K227" s="670"/>
      <c r="L227" s="670"/>
      <c r="M227" s="670"/>
      <c r="N227" s="670"/>
      <c r="O227" s="670"/>
      <c r="P227" s="670"/>
      <c r="Q227" s="670"/>
      <c r="R227" s="670"/>
      <c r="S227" s="670"/>
      <c r="T227" s="670"/>
    </row>
    <row r="228" spans="1:20" s="22" customFormat="1" ht="18.75" customHeight="1" thickBot="1">
      <c r="A228" s="29"/>
      <c r="B228" s="21"/>
      <c r="C228" s="20"/>
      <c r="D228" s="980"/>
      <c r="E228" s="31"/>
      <c r="F228" s="406"/>
      <c r="G228" s="406"/>
      <c r="H228" s="406"/>
      <c r="I228" s="407"/>
      <c r="J228" s="408"/>
      <c r="K228" s="693"/>
      <c r="L228" s="693"/>
      <c r="M228" s="693"/>
      <c r="N228" s="693"/>
      <c r="O228" s="693"/>
      <c r="P228" s="693"/>
      <c r="Q228" s="694"/>
      <c r="R228" s="509"/>
      <c r="S228" s="509"/>
      <c r="T228" s="509"/>
    </row>
    <row r="229" spans="1:20" ht="16.5" customHeight="1" thickBot="1">
      <c r="A229" s="266" t="s">
        <v>2735</v>
      </c>
      <c r="B229" s="175" t="s">
        <v>2736</v>
      </c>
      <c r="C229" s="176" t="s">
        <v>2737</v>
      </c>
      <c r="D229" s="175"/>
      <c r="E229" s="175"/>
      <c r="F229" s="341"/>
      <c r="G229" s="341"/>
      <c r="H229" s="342">
        <f>SUM(H231:H242)</f>
        <v>0</v>
      </c>
      <c r="I229" s="343"/>
      <c r="J229" s="344">
        <f>SUM(J231:J241)</f>
        <v>0.7941579999999999</v>
      </c>
      <c r="K229" s="670"/>
      <c r="L229" s="670"/>
      <c r="M229" s="670"/>
      <c r="N229" s="670"/>
      <c r="O229" s="670"/>
      <c r="P229" s="670"/>
      <c r="Q229" s="670"/>
      <c r="R229" s="670"/>
      <c r="S229" s="670"/>
      <c r="T229" s="670"/>
    </row>
    <row r="230" spans="1:20" s="22" customFormat="1" ht="18.75" customHeight="1">
      <c r="A230" s="190"/>
      <c r="B230" s="191"/>
      <c r="C230" s="265"/>
      <c r="D230" s="964"/>
      <c r="E230" s="192"/>
      <c r="F230" s="345"/>
      <c r="G230" s="345"/>
      <c r="H230" s="345"/>
      <c r="I230" s="346"/>
      <c r="J230" s="347"/>
      <c r="K230" s="693"/>
      <c r="L230" s="693"/>
      <c r="M230" s="693"/>
      <c r="N230" s="693"/>
      <c r="O230" s="693"/>
      <c r="P230" s="693"/>
      <c r="Q230" s="694"/>
      <c r="R230" s="509"/>
      <c r="S230" s="509"/>
      <c r="T230" s="509"/>
    </row>
    <row r="231" spans="1:20" s="22" customFormat="1" ht="43.5" customHeight="1">
      <c r="A231" s="196"/>
      <c r="B231" s="197"/>
      <c r="C231" s="277" t="s">
        <v>2738</v>
      </c>
      <c r="D231" s="917"/>
      <c r="E231" s="198"/>
      <c r="F231" s="332"/>
      <c r="G231" s="332"/>
      <c r="H231" s="332"/>
      <c r="I231" s="333"/>
      <c r="J231" s="334"/>
      <c r="K231" s="693"/>
      <c r="L231" s="693"/>
      <c r="M231" s="693"/>
      <c r="N231" s="693"/>
      <c r="O231" s="693"/>
      <c r="P231" s="693"/>
      <c r="Q231" s="694"/>
      <c r="R231" s="509"/>
      <c r="S231" s="509"/>
      <c r="T231" s="509"/>
    </row>
    <row r="232" spans="1:20" s="22" customFormat="1" ht="18.75" customHeight="1">
      <c r="A232" s="196" t="s">
        <v>2739</v>
      </c>
      <c r="B232" s="197" t="s">
        <v>2740</v>
      </c>
      <c r="C232" s="199" t="s">
        <v>446</v>
      </c>
      <c r="D232" s="917" t="s">
        <v>447</v>
      </c>
      <c r="E232" s="198" t="s">
        <v>1826</v>
      </c>
      <c r="F232" s="332">
        <v>22.8</v>
      </c>
      <c r="G232" s="332"/>
      <c r="H232" s="332">
        <f aca="true" t="shared" si="12" ref="H232:H240">F232*G232</f>
        <v>0</v>
      </c>
      <c r="I232" s="333">
        <v>0.00301</v>
      </c>
      <c r="J232" s="334">
        <f aca="true" t="shared" si="13" ref="J232:J240">F232*I232</f>
        <v>0.06862800000000001</v>
      </c>
      <c r="K232" s="693"/>
      <c r="L232" s="693"/>
      <c r="M232" s="693"/>
      <c r="N232" s="693"/>
      <c r="O232" s="693"/>
      <c r="P232" s="693"/>
      <c r="Q232" s="694"/>
      <c r="R232" s="509"/>
      <c r="S232" s="509"/>
      <c r="T232" s="509"/>
    </row>
    <row r="233" spans="1:21" s="22" customFormat="1" ht="18.75" customHeight="1">
      <c r="A233" s="196" t="s">
        <v>448</v>
      </c>
      <c r="B233" s="197" t="s">
        <v>449</v>
      </c>
      <c r="C233" s="199" t="s">
        <v>790</v>
      </c>
      <c r="D233" s="917" t="s">
        <v>451</v>
      </c>
      <c r="E233" s="198" t="s">
        <v>1826</v>
      </c>
      <c r="F233" s="332">
        <v>40.2</v>
      </c>
      <c r="G233" s="332"/>
      <c r="H233" s="332">
        <f t="shared" si="12"/>
        <v>0</v>
      </c>
      <c r="I233" s="333">
        <v>0.00295</v>
      </c>
      <c r="J233" s="334">
        <f t="shared" si="13"/>
        <v>0.11859</v>
      </c>
      <c r="K233" s="509"/>
      <c r="L233" s="585"/>
      <c r="M233" s="585"/>
      <c r="N233" s="585"/>
      <c r="O233" s="585"/>
      <c r="P233" s="585"/>
      <c r="Q233" s="585"/>
      <c r="R233" s="585"/>
      <c r="S233" s="585"/>
      <c r="T233" s="585"/>
      <c r="U233" s="777"/>
    </row>
    <row r="234" spans="1:20" s="22" customFormat="1" ht="18.75" customHeight="1">
      <c r="A234" s="196" t="s">
        <v>452</v>
      </c>
      <c r="B234" s="197" t="s">
        <v>792</v>
      </c>
      <c r="C234" s="246" t="s">
        <v>793</v>
      </c>
      <c r="D234" s="917" t="s">
        <v>794</v>
      </c>
      <c r="E234" s="198" t="s">
        <v>1826</v>
      </c>
      <c r="F234" s="332">
        <v>43.2</v>
      </c>
      <c r="G234" s="332"/>
      <c r="H234" s="332">
        <f t="shared" si="12"/>
        <v>0</v>
      </c>
      <c r="I234" s="333">
        <v>0.00363</v>
      </c>
      <c r="J234" s="334">
        <f t="shared" si="13"/>
        <v>0.156816</v>
      </c>
      <c r="K234" s="509"/>
      <c r="L234" s="509"/>
      <c r="M234" s="509"/>
      <c r="N234" s="509"/>
      <c r="O234" s="509"/>
      <c r="P234" s="509"/>
      <c r="Q234" s="509"/>
      <c r="R234" s="509"/>
      <c r="S234" s="509"/>
      <c r="T234" s="509"/>
    </row>
    <row r="235" spans="1:20" s="22" customFormat="1" ht="18.75" customHeight="1">
      <c r="A235" s="196" t="s">
        <v>456</v>
      </c>
      <c r="B235" s="197" t="s">
        <v>453</v>
      </c>
      <c r="C235" s="246" t="s">
        <v>454</v>
      </c>
      <c r="D235" s="917" t="s">
        <v>455</v>
      </c>
      <c r="E235" s="198" t="s">
        <v>1826</v>
      </c>
      <c r="F235" s="332">
        <v>6.6</v>
      </c>
      <c r="G235" s="332"/>
      <c r="H235" s="332">
        <f t="shared" si="12"/>
        <v>0</v>
      </c>
      <c r="I235" s="333">
        <v>0.00315</v>
      </c>
      <c r="J235" s="334">
        <f t="shared" si="13"/>
        <v>0.02079</v>
      </c>
      <c r="K235" s="509"/>
      <c r="L235" s="509"/>
      <c r="M235" s="509"/>
      <c r="N235" s="509"/>
      <c r="O235" s="509"/>
      <c r="P235" s="509"/>
      <c r="Q235" s="509"/>
      <c r="R235" s="509"/>
      <c r="S235" s="509"/>
      <c r="T235" s="509"/>
    </row>
    <row r="236" spans="1:20" s="22" customFormat="1" ht="18.75" customHeight="1">
      <c r="A236" s="196" t="s">
        <v>460</v>
      </c>
      <c r="B236" s="197" t="s">
        <v>845</v>
      </c>
      <c r="C236" s="246" t="s">
        <v>846</v>
      </c>
      <c r="D236" s="917" t="s">
        <v>847</v>
      </c>
      <c r="E236" s="198" t="s">
        <v>1826</v>
      </c>
      <c r="F236" s="332">
        <v>17.6</v>
      </c>
      <c r="G236" s="332"/>
      <c r="H236" s="332">
        <f t="shared" si="12"/>
        <v>0</v>
      </c>
      <c r="I236" s="333">
        <v>0.00193</v>
      </c>
      <c r="J236" s="334">
        <f t="shared" si="13"/>
        <v>0.033968000000000005</v>
      </c>
      <c r="K236" s="693"/>
      <c r="L236" s="693"/>
      <c r="M236" s="693"/>
      <c r="N236" s="693"/>
      <c r="O236" s="693"/>
      <c r="P236" s="693"/>
      <c r="Q236" s="694"/>
      <c r="R236" s="509"/>
      <c r="S236" s="509"/>
      <c r="T236" s="509"/>
    </row>
    <row r="237" spans="1:20" s="22" customFormat="1" ht="18.75" customHeight="1">
      <c r="A237" s="196" t="s">
        <v>464</v>
      </c>
      <c r="B237" s="197" t="s">
        <v>457</v>
      </c>
      <c r="C237" s="246" t="s">
        <v>458</v>
      </c>
      <c r="D237" s="917" t="s">
        <v>459</v>
      </c>
      <c r="E237" s="198" t="s">
        <v>1826</v>
      </c>
      <c r="F237" s="332">
        <v>45.3</v>
      </c>
      <c r="G237" s="332"/>
      <c r="H237" s="332">
        <f t="shared" si="12"/>
        <v>0</v>
      </c>
      <c r="I237" s="333">
        <v>0.00376</v>
      </c>
      <c r="J237" s="334">
        <f t="shared" si="13"/>
        <v>0.17032799999999998</v>
      </c>
      <c r="K237" s="693"/>
      <c r="L237" s="693"/>
      <c r="M237" s="693"/>
      <c r="N237" s="693"/>
      <c r="O237" s="693"/>
      <c r="P237" s="693"/>
      <c r="Q237" s="694"/>
      <c r="R237" s="509"/>
      <c r="S237" s="509"/>
      <c r="T237" s="509"/>
    </row>
    <row r="238" spans="1:20" s="22" customFormat="1" ht="18.75" customHeight="1">
      <c r="A238" s="196" t="s">
        <v>468</v>
      </c>
      <c r="B238" s="197" t="s">
        <v>461</v>
      </c>
      <c r="C238" s="246" t="s">
        <v>795</v>
      </c>
      <c r="D238" s="917" t="s">
        <v>463</v>
      </c>
      <c r="E238" s="198" t="s">
        <v>1826</v>
      </c>
      <c r="F238" s="332">
        <v>65.3</v>
      </c>
      <c r="G238" s="332"/>
      <c r="H238" s="332">
        <f t="shared" si="12"/>
        <v>0</v>
      </c>
      <c r="I238" s="333">
        <v>0.00285</v>
      </c>
      <c r="J238" s="334">
        <f t="shared" si="13"/>
        <v>0.186105</v>
      </c>
      <c r="K238" s="509"/>
      <c r="L238" s="585"/>
      <c r="M238" s="585"/>
      <c r="N238" s="585"/>
      <c r="O238" s="585"/>
      <c r="P238" s="585"/>
      <c r="Q238" s="585"/>
      <c r="R238" s="509"/>
      <c r="S238" s="509"/>
      <c r="T238" s="509"/>
    </row>
    <row r="239" spans="1:20" s="22" customFormat="1" ht="18.75" customHeight="1">
      <c r="A239" s="196" t="s">
        <v>471</v>
      </c>
      <c r="B239" s="197" t="s">
        <v>469</v>
      </c>
      <c r="C239" s="199" t="s">
        <v>470</v>
      </c>
      <c r="D239" s="917"/>
      <c r="E239" s="198" t="s">
        <v>1748</v>
      </c>
      <c r="F239" s="332">
        <v>1.76</v>
      </c>
      <c r="G239" s="332"/>
      <c r="H239" s="332">
        <f t="shared" si="12"/>
        <v>0</v>
      </c>
      <c r="I239" s="333">
        <v>0</v>
      </c>
      <c r="J239" s="334">
        <f t="shared" si="13"/>
        <v>0</v>
      </c>
      <c r="K239" s="509"/>
      <c r="L239" s="509"/>
      <c r="M239" s="509"/>
      <c r="N239" s="509"/>
      <c r="O239" s="509"/>
      <c r="P239" s="509"/>
      <c r="Q239" s="509"/>
      <c r="R239" s="509"/>
      <c r="S239" s="509"/>
      <c r="T239" s="509"/>
    </row>
    <row r="240" spans="1:20" s="22" customFormat="1" ht="18.75" customHeight="1">
      <c r="A240" s="196" t="s">
        <v>474</v>
      </c>
      <c r="B240" s="197" t="s">
        <v>472</v>
      </c>
      <c r="C240" s="199" t="s">
        <v>473</v>
      </c>
      <c r="D240" s="917" t="s">
        <v>2636</v>
      </c>
      <c r="E240" s="198" t="s">
        <v>1748</v>
      </c>
      <c r="F240" s="332">
        <v>1.76</v>
      </c>
      <c r="G240" s="332"/>
      <c r="H240" s="332">
        <f t="shared" si="12"/>
        <v>0</v>
      </c>
      <c r="I240" s="333">
        <v>0.0048</v>
      </c>
      <c r="J240" s="334">
        <f t="shared" si="13"/>
        <v>0.008447999999999999</v>
      </c>
      <c r="K240" s="509"/>
      <c r="L240" s="509"/>
      <c r="M240" s="509"/>
      <c r="N240" s="509"/>
      <c r="O240" s="509"/>
      <c r="P240" s="509"/>
      <c r="Q240" s="509"/>
      <c r="R240" s="509"/>
      <c r="S240" s="509"/>
      <c r="T240" s="509"/>
    </row>
    <row r="241" spans="1:20" s="22" customFormat="1" ht="18.75" customHeight="1">
      <c r="A241" s="196" t="s">
        <v>478</v>
      </c>
      <c r="B241" s="197" t="s">
        <v>796</v>
      </c>
      <c r="C241" s="199" t="s">
        <v>797</v>
      </c>
      <c r="D241" s="917" t="s">
        <v>798</v>
      </c>
      <c r="E241" s="198" t="s">
        <v>1826</v>
      </c>
      <c r="F241" s="332">
        <v>6.5</v>
      </c>
      <c r="G241" s="332"/>
      <c r="H241" s="332">
        <f>F241*G241</f>
        <v>0</v>
      </c>
      <c r="I241" s="333">
        <v>0.00469</v>
      </c>
      <c r="J241" s="334">
        <f>F241*I241</f>
        <v>0.030484999999999998</v>
      </c>
      <c r="K241" s="509"/>
      <c r="L241" s="509"/>
      <c r="M241" s="509"/>
      <c r="N241" s="509"/>
      <c r="O241" s="509"/>
      <c r="P241" s="509"/>
      <c r="Q241" s="509"/>
      <c r="R241" s="509"/>
      <c r="S241" s="509"/>
      <c r="T241" s="509"/>
    </row>
    <row r="242" spans="1:20" s="22" customFormat="1" ht="18.75" customHeight="1" thickBot="1">
      <c r="A242" s="196" t="s">
        <v>482</v>
      </c>
      <c r="B242" s="256" t="s">
        <v>533</v>
      </c>
      <c r="C242" s="264" t="s">
        <v>534</v>
      </c>
      <c r="D242" s="968"/>
      <c r="E242" s="257" t="s">
        <v>1783</v>
      </c>
      <c r="F242" s="368">
        <f>J229</f>
        <v>0.7941579999999999</v>
      </c>
      <c r="G242" s="368"/>
      <c r="H242" s="368">
        <f>F242*G242</f>
        <v>0</v>
      </c>
      <c r="I242" s="369">
        <v>0</v>
      </c>
      <c r="J242" s="370">
        <f>F242*I242</f>
        <v>0</v>
      </c>
      <c r="K242" s="509"/>
      <c r="L242" s="509"/>
      <c r="M242" s="509"/>
      <c r="N242" s="509"/>
      <c r="O242" s="509"/>
      <c r="P242" s="509"/>
      <c r="Q242" s="509"/>
      <c r="R242" s="509"/>
      <c r="S242" s="509"/>
      <c r="T242" s="509"/>
    </row>
    <row r="243" spans="1:20" ht="16.5" customHeight="1" thickBot="1">
      <c r="A243" s="266" t="s">
        <v>535</v>
      </c>
      <c r="B243" s="175" t="s">
        <v>536</v>
      </c>
      <c r="C243" s="176" t="s">
        <v>537</v>
      </c>
      <c r="D243" s="175"/>
      <c r="E243" s="175"/>
      <c r="F243" s="341"/>
      <c r="G243" s="341"/>
      <c r="H243" s="342">
        <f>SUM(H244:H251)</f>
        <v>0</v>
      </c>
      <c r="I243" s="343"/>
      <c r="J243" s="344">
        <f>SUM(J244:J249)</f>
        <v>0.17263</v>
      </c>
      <c r="K243" s="670"/>
      <c r="L243" s="670"/>
      <c r="M243" s="670"/>
      <c r="N243" s="670"/>
      <c r="O243" s="670"/>
      <c r="P243" s="670"/>
      <c r="Q243" s="670"/>
      <c r="R243" s="670"/>
      <c r="S243" s="670"/>
      <c r="T243" s="670"/>
    </row>
    <row r="244" spans="1:20" s="22" customFormat="1" ht="18.75" customHeight="1">
      <c r="A244" s="190" t="s">
        <v>538</v>
      </c>
      <c r="B244" s="191" t="s">
        <v>539</v>
      </c>
      <c r="C244" s="265" t="s">
        <v>546</v>
      </c>
      <c r="D244" s="964" t="s">
        <v>541</v>
      </c>
      <c r="E244" s="192" t="s">
        <v>2488</v>
      </c>
      <c r="F244" s="345">
        <v>115</v>
      </c>
      <c r="G244" s="345"/>
      <c r="H244" s="345">
        <f aca="true" t="shared" si="14" ref="H244:H249">F244*G244</f>
        <v>0</v>
      </c>
      <c r="I244" s="346">
        <v>5E-05</v>
      </c>
      <c r="J244" s="347">
        <f aca="true" t="shared" si="15" ref="J244:J249">F244*I244</f>
        <v>0.00575</v>
      </c>
      <c r="K244" s="509"/>
      <c r="L244" s="509"/>
      <c r="M244" s="509"/>
      <c r="N244" s="509"/>
      <c r="O244" s="509"/>
      <c r="P244" s="509"/>
      <c r="Q244" s="509"/>
      <c r="R244" s="509"/>
      <c r="S244" s="509"/>
      <c r="T244" s="509"/>
    </row>
    <row r="245" spans="1:20" s="22" customFormat="1" ht="27.75" customHeight="1">
      <c r="A245" s="196" t="s">
        <v>542</v>
      </c>
      <c r="B245" s="197" t="s">
        <v>548</v>
      </c>
      <c r="C245" s="199" t="s">
        <v>549</v>
      </c>
      <c r="D245" s="917" t="s">
        <v>541</v>
      </c>
      <c r="E245" s="198" t="s">
        <v>2695</v>
      </c>
      <c r="F245" s="332">
        <v>1</v>
      </c>
      <c r="G245" s="332"/>
      <c r="H245" s="332">
        <f t="shared" si="14"/>
        <v>0</v>
      </c>
      <c r="I245" s="333">
        <v>6E-05</v>
      </c>
      <c r="J245" s="334">
        <f t="shared" si="15"/>
        <v>6E-05</v>
      </c>
      <c r="K245" s="509"/>
      <c r="L245" s="509"/>
      <c r="M245" s="509"/>
      <c r="N245" s="509"/>
      <c r="O245" s="509"/>
      <c r="P245" s="509"/>
      <c r="Q245" s="509"/>
      <c r="R245" s="509"/>
      <c r="S245" s="509"/>
      <c r="T245" s="509"/>
    </row>
    <row r="246" spans="1:20" s="22" customFormat="1" ht="18.75" customHeight="1">
      <c r="A246" s="196" t="s">
        <v>545</v>
      </c>
      <c r="B246" s="197" t="s">
        <v>554</v>
      </c>
      <c r="C246" s="199" t="s">
        <v>555</v>
      </c>
      <c r="D246" s="917" t="s">
        <v>556</v>
      </c>
      <c r="E246" s="198" t="s">
        <v>1718</v>
      </c>
      <c r="F246" s="332">
        <v>2</v>
      </c>
      <c r="G246" s="332"/>
      <c r="H246" s="332">
        <f t="shared" si="14"/>
        <v>0</v>
      </c>
      <c r="I246" s="333">
        <v>0.0004</v>
      </c>
      <c r="J246" s="334">
        <f t="shared" si="15"/>
        <v>0.0008</v>
      </c>
      <c r="K246" s="730"/>
      <c r="L246" s="509"/>
      <c r="M246" s="509"/>
      <c r="N246" s="509"/>
      <c r="O246" s="509"/>
      <c r="P246" s="509"/>
      <c r="Q246" s="509"/>
      <c r="R246" s="509"/>
      <c r="S246" s="509"/>
      <c r="T246" s="509"/>
    </row>
    <row r="247" spans="1:20" s="22" customFormat="1" ht="18.75" customHeight="1">
      <c r="A247" s="196" t="s">
        <v>547</v>
      </c>
      <c r="B247" s="197" t="s">
        <v>558</v>
      </c>
      <c r="C247" s="199" t="s">
        <v>559</v>
      </c>
      <c r="D247" s="917" t="s">
        <v>556</v>
      </c>
      <c r="E247" s="198" t="s">
        <v>1718</v>
      </c>
      <c r="F247" s="332">
        <v>2</v>
      </c>
      <c r="G247" s="332"/>
      <c r="H247" s="332">
        <f t="shared" si="14"/>
        <v>0</v>
      </c>
      <c r="I247" s="333">
        <v>0.01</v>
      </c>
      <c r="J247" s="334">
        <f t="shared" si="15"/>
        <v>0.02</v>
      </c>
      <c r="K247" s="730"/>
      <c r="L247" s="509"/>
      <c r="M247" s="509"/>
      <c r="N247" s="509"/>
      <c r="O247" s="509"/>
      <c r="P247" s="509"/>
      <c r="Q247" s="509"/>
      <c r="R247" s="509"/>
      <c r="S247" s="509"/>
      <c r="T247" s="509"/>
    </row>
    <row r="248" spans="1:20" s="22" customFormat="1" ht="18.75" customHeight="1">
      <c r="A248" s="196" t="s">
        <v>550</v>
      </c>
      <c r="B248" s="197" t="s">
        <v>564</v>
      </c>
      <c r="C248" s="199" t="s">
        <v>565</v>
      </c>
      <c r="D248" s="917" t="s">
        <v>566</v>
      </c>
      <c r="E248" s="198" t="s">
        <v>1718</v>
      </c>
      <c r="F248" s="332">
        <v>1</v>
      </c>
      <c r="G248" s="332"/>
      <c r="H248" s="332">
        <f t="shared" si="14"/>
        <v>0</v>
      </c>
      <c r="I248" s="333">
        <v>0.07301</v>
      </c>
      <c r="J248" s="334">
        <f t="shared" si="15"/>
        <v>0.07301</v>
      </c>
      <c r="K248" s="730"/>
      <c r="L248" s="509"/>
      <c r="M248" s="509"/>
      <c r="N248" s="509"/>
      <c r="O248" s="509"/>
      <c r="P248" s="509"/>
      <c r="Q248" s="509"/>
      <c r="R248" s="509"/>
      <c r="S248" s="509"/>
      <c r="T248" s="509"/>
    </row>
    <row r="249" spans="1:20" s="22" customFormat="1" ht="18.75" customHeight="1">
      <c r="A249" s="196" t="s">
        <v>553</v>
      </c>
      <c r="B249" s="197" t="s">
        <v>568</v>
      </c>
      <c r="C249" s="199" t="s">
        <v>569</v>
      </c>
      <c r="D249" s="917" t="s">
        <v>566</v>
      </c>
      <c r="E249" s="198" t="s">
        <v>1718</v>
      </c>
      <c r="F249" s="332">
        <v>1</v>
      </c>
      <c r="G249" s="332"/>
      <c r="H249" s="332">
        <f t="shared" si="14"/>
        <v>0</v>
      </c>
      <c r="I249" s="333">
        <v>0.07301</v>
      </c>
      <c r="J249" s="334">
        <f t="shared" si="15"/>
        <v>0.07301</v>
      </c>
      <c r="K249" s="730"/>
      <c r="L249" s="509"/>
      <c r="M249" s="509"/>
      <c r="N249" s="509"/>
      <c r="O249" s="509"/>
      <c r="P249" s="509"/>
      <c r="Q249" s="509"/>
      <c r="R249" s="509"/>
      <c r="S249" s="509"/>
      <c r="T249" s="509"/>
    </row>
    <row r="250" spans="1:20" s="22" customFormat="1" ht="18.75" customHeight="1">
      <c r="A250" s="196"/>
      <c r="B250" s="197"/>
      <c r="C250" s="199"/>
      <c r="D250" s="917"/>
      <c r="E250" s="198"/>
      <c r="F250" s="332"/>
      <c r="G250" s="332"/>
      <c r="H250" s="332"/>
      <c r="I250" s="333"/>
      <c r="J250" s="334"/>
      <c r="K250" s="693"/>
      <c r="L250" s="693"/>
      <c r="M250" s="693"/>
      <c r="N250" s="693"/>
      <c r="O250" s="693"/>
      <c r="P250" s="693"/>
      <c r="Q250" s="694"/>
      <c r="R250" s="509"/>
      <c r="S250" s="509"/>
      <c r="T250" s="509"/>
    </row>
    <row r="251" spans="1:20" s="22" customFormat="1" ht="18.75" customHeight="1" thickBot="1">
      <c r="A251" s="255" t="s">
        <v>557</v>
      </c>
      <c r="B251" s="256" t="s">
        <v>592</v>
      </c>
      <c r="C251" s="264" t="s">
        <v>593</v>
      </c>
      <c r="D251" s="968"/>
      <c r="E251" s="257" t="s">
        <v>1783</v>
      </c>
      <c r="F251" s="368">
        <f>J243</f>
        <v>0.17263</v>
      </c>
      <c r="G251" s="368"/>
      <c r="H251" s="368">
        <f>F251*G251</f>
        <v>0</v>
      </c>
      <c r="I251" s="369">
        <v>0</v>
      </c>
      <c r="J251" s="370">
        <f>F251*I251</f>
        <v>0</v>
      </c>
      <c r="K251" s="693"/>
      <c r="L251" s="693"/>
      <c r="M251" s="693"/>
      <c r="N251" s="693"/>
      <c r="O251" s="693"/>
      <c r="P251" s="693"/>
      <c r="Q251" s="694"/>
      <c r="R251" s="509"/>
      <c r="S251" s="509"/>
      <c r="T251" s="509"/>
    </row>
    <row r="252" spans="1:20" ht="16.5" customHeight="1" thickBot="1">
      <c r="A252" s="266" t="s">
        <v>848</v>
      </c>
      <c r="B252" s="175" t="s">
        <v>594</v>
      </c>
      <c r="C252" s="176" t="s">
        <v>595</v>
      </c>
      <c r="D252" s="175"/>
      <c r="E252" s="175"/>
      <c r="F252" s="341"/>
      <c r="G252" s="341"/>
      <c r="H252" s="342">
        <f>SUM(H253:H267)</f>
        <v>0</v>
      </c>
      <c r="I252" s="343"/>
      <c r="J252" s="344">
        <f>SUM(J253:J258)</f>
        <v>0.2826838</v>
      </c>
      <c r="K252" s="670"/>
      <c r="L252" s="670"/>
      <c r="M252" s="670"/>
      <c r="N252" s="670"/>
      <c r="O252" s="670"/>
      <c r="P252" s="670"/>
      <c r="Q252" s="670"/>
      <c r="R252" s="670"/>
      <c r="S252" s="670"/>
      <c r="T252" s="670"/>
    </row>
    <row r="253" spans="1:22" s="152" customFormat="1" ht="12.75">
      <c r="A253" s="146"/>
      <c r="B253" s="732"/>
      <c r="C253" s="147"/>
      <c r="D253" s="981"/>
      <c r="E253" s="148"/>
      <c r="F253" s="282"/>
      <c r="G253" s="282"/>
      <c r="H253" s="385"/>
      <c r="I253" s="304"/>
      <c r="J253" s="386"/>
      <c r="K253" s="149"/>
      <c r="L253" s="149"/>
      <c r="M253" s="150"/>
      <c r="N253" s="733"/>
      <c r="O253" s="151"/>
      <c r="P253" s="151"/>
      <c r="Q253" s="151"/>
      <c r="R253" s="151"/>
      <c r="S253" s="151"/>
      <c r="T253" s="151"/>
      <c r="U253" s="151"/>
      <c r="V253" s="151"/>
    </row>
    <row r="254" spans="1:20" s="288" customFormat="1" ht="24">
      <c r="A254" s="196" t="s">
        <v>596</v>
      </c>
      <c r="B254" s="285" t="s">
        <v>597</v>
      </c>
      <c r="C254" s="286" t="s">
        <v>598</v>
      </c>
      <c r="D254" s="982" t="s">
        <v>2759</v>
      </c>
      <c r="E254" s="287" t="s">
        <v>1748</v>
      </c>
      <c r="F254" s="734">
        <f>E255</f>
        <v>17.558</v>
      </c>
      <c r="G254" s="387"/>
      <c r="H254" s="332">
        <f>F254*G254</f>
        <v>0</v>
      </c>
      <c r="I254" s="388">
        <v>0.0161</v>
      </c>
      <c r="J254" s="334">
        <f>F254*I254</f>
        <v>0.2826838</v>
      </c>
      <c r="K254" s="143"/>
      <c r="L254" s="143"/>
      <c r="M254" s="143"/>
      <c r="N254" s="735"/>
      <c r="O254" s="693"/>
      <c r="P254" s="144"/>
      <c r="Q254" s="144"/>
      <c r="R254" s="144"/>
      <c r="S254" s="144"/>
      <c r="T254" s="144"/>
    </row>
    <row r="255" spans="1:20" s="130" customFormat="1" ht="18.75" customHeight="1">
      <c r="A255" s="204"/>
      <c r="B255" s="205" t="s">
        <v>774</v>
      </c>
      <c r="C255" s="206" t="s">
        <v>836</v>
      </c>
      <c r="D255" s="916"/>
      <c r="E255" s="260">
        <f>0.5*14.2+0.36*12.3+1.34*0.3*15</f>
        <v>17.558</v>
      </c>
      <c r="F255" s="335"/>
      <c r="G255" s="335"/>
      <c r="H255" s="335"/>
      <c r="I255" s="336"/>
      <c r="J255" s="337"/>
      <c r="K255" s="508"/>
      <c r="L255" s="508"/>
      <c r="M255" s="508"/>
      <c r="N255" s="508"/>
      <c r="O255" s="508"/>
      <c r="P255" s="508"/>
      <c r="Q255" s="508"/>
      <c r="R255" s="508"/>
      <c r="S255" s="508"/>
      <c r="T255" s="508"/>
    </row>
    <row r="256" spans="1:22" s="294" customFormat="1" ht="12.75">
      <c r="A256" s="289"/>
      <c r="B256" s="285"/>
      <c r="C256" s="290"/>
      <c r="D256" s="983"/>
      <c r="E256" s="283"/>
      <c r="F256" s="291"/>
      <c r="G256" s="291"/>
      <c r="H256" s="292"/>
      <c r="I256" s="292"/>
      <c r="J256" s="389"/>
      <c r="K256" s="143"/>
      <c r="L256" s="143"/>
      <c r="M256" s="735"/>
      <c r="N256" s="693"/>
      <c r="O256" s="293"/>
      <c r="P256" s="293"/>
      <c r="Q256" s="293"/>
      <c r="R256" s="293"/>
      <c r="S256" s="293"/>
      <c r="T256" s="293"/>
      <c r="U256" s="293"/>
      <c r="V256" s="293"/>
    </row>
    <row r="257" spans="1:60" s="288" customFormat="1" ht="24">
      <c r="A257" s="196" t="s">
        <v>599</v>
      </c>
      <c r="B257" s="285" t="s">
        <v>603</v>
      </c>
      <c r="C257" s="286" t="s">
        <v>604</v>
      </c>
      <c r="D257" s="982" t="s">
        <v>2759</v>
      </c>
      <c r="E257" s="287" t="s">
        <v>1748</v>
      </c>
      <c r="F257" s="734">
        <f>E258</f>
        <v>17.558</v>
      </c>
      <c r="G257" s="387"/>
      <c r="H257" s="332">
        <f aca="true" t="shared" si="16" ref="H257:H263">F257*G257</f>
        <v>0</v>
      </c>
      <c r="I257" s="388">
        <v>0</v>
      </c>
      <c r="J257" s="334">
        <f>F257*I257</f>
        <v>0</v>
      </c>
      <c r="K257" s="143"/>
      <c r="L257" s="143"/>
      <c r="M257" s="143"/>
      <c r="N257" s="735"/>
      <c r="O257" s="693"/>
      <c r="P257" s="144"/>
      <c r="Q257" s="144"/>
      <c r="R257" s="144">
        <v>2</v>
      </c>
      <c r="S257" s="144"/>
      <c r="T257" s="144"/>
      <c r="AB257" s="288">
        <v>12</v>
      </c>
      <c r="AC257" s="288">
        <v>0</v>
      </c>
      <c r="AD257" s="288">
        <v>71</v>
      </c>
      <c r="BC257" s="288">
        <v>2</v>
      </c>
      <c r="BD257" s="288">
        <f>IF(BC257=1,H257,0)</f>
        <v>0</v>
      </c>
      <c r="BE257" s="288">
        <f>IF(BC257=2,H257,0)</f>
        <v>0</v>
      </c>
      <c r="BF257" s="288">
        <f>IF(BC257=3,H257,0)</f>
        <v>0</v>
      </c>
      <c r="BG257" s="288">
        <f>IF(BC257=4,H257,0)</f>
        <v>0</v>
      </c>
      <c r="BH257" s="288">
        <f>IF(BC257=5,H257,0)</f>
        <v>0</v>
      </c>
    </row>
    <row r="258" spans="1:20" s="130" customFormat="1" ht="18.75" customHeight="1">
      <c r="A258" s="204"/>
      <c r="B258" s="205" t="s">
        <v>774</v>
      </c>
      <c r="C258" s="206" t="s">
        <v>836</v>
      </c>
      <c r="D258" s="916"/>
      <c r="E258" s="260">
        <f>0.5*14.2+0.36*12.3+1.34*0.3*15</f>
        <v>17.558</v>
      </c>
      <c r="F258" s="335"/>
      <c r="G258" s="335"/>
      <c r="H258" s="335"/>
      <c r="I258" s="336"/>
      <c r="J258" s="337"/>
      <c r="K258" s="508"/>
      <c r="L258" s="508"/>
      <c r="M258" s="508"/>
      <c r="N258" s="508"/>
      <c r="O258" s="508"/>
      <c r="P258" s="508"/>
      <c r="Q258" s="508"/>
      <c r="R258" s="508"/>
      <c r="S258" s="508"/>
      <c r="T258" s="508"/>
    </row>
    <row r="259" spans="1:20" s="299" customFormat="1" ht="16.5" customHeight="1">
      <c r="A259" s="295"/>
      <c r="B259" s="296"/>
      <c r="C259" s="297"/>
      <c r="D259" s="984"/>
      <c r="E259" s="298"/>
      <c r="F259" s="141"/>
      <c r="G259" s="141"/>
      <c r="H259" s="141"/>
      <c r="I259" s="390"/>
      <c r="J259" s="391"/>
      <c r="K259" s="736"/>
      <c r="L259" s="736"/>
      <c r="M259" s="736"/>
      <c r="N259" s="737"/>
      <c r="O259" s="580"/>
      <c r="P259" s="580"/>
      <c r="Q259" s="580"/>
      <c r="R259" s="580"/>
      <c r="S259" s="580"/>
      <c r="T259" s="580"/>
    </row>
    <row r="260" spans="1:60" s="300" customFormat="1" ht="20.25" customHeight="1">
      <c r="A260" s="738" t="s">
        <v>602</v>
      </c>
      <c r="B260" s="739" t="s">
        <v>606</v>
      </c>
      <c r="C260" s="740" t="s">
        <v>607</v>
      </c>
      <c r="D260" s="985" t="s">
        <v>2759</v>
      </c>
      <c r="E260" s="741" t="s">
        <v>1748</v>
      </c>
      <c r="F260" s="734">
        <f>E261</f>
        <v>17.558</v>
      </c>
      <c r="G260" s="742"/>
      <c r="H260" s="742">
        <f t="shared" si="16"/>
        <v>0</v>
      </c>
      <c r="I260" s="392"/>
      <c r="J260" s="393"/>
      <c r="K260" s="743"/>
      <c r="L260" s="743"/>
      <c r="M260" s="744"/>
      <c r="N260" s="744"/>
      <c r="O260" s="744"/>
      <c r="P260" s="744"/>
      <c r="Q260" s="744"/>
      <c r="R260" s="744"/>
      <c r="S260" s="745"/>
      <c r="T260" s="745"/>
      <c r="U260" s="746"/>
      <c r="V260" s="746"/>
      <c r="W260" s="746"/>
      <c r="X260" s="746">
        <v>12</v>
      </c>
      <c r="Y260" s="746">
        <v>0</v>
      </c>
      <c r="Z260" s="746">
        <v>200</v>
      </c>
      <c r="AA260" s="746"/>
      <c r="AB260" s="746"/>
      <c r="AC260" s="746"/>
      <c r="AD260" s="746"/>
      <c r="AE260" s="746"/>
      <c r="AF260" s="746"/>
      <c r="AG260" s="746"/>
      <c r="AH260" s="746"/>
      <c r="AI260" s="746"/>
      <c r="AJ260" s="746"/>
      <c r="AK260" s="746"/>
      <c r="AL260" s="746"/>
      <c r="AM260" s="746"/>
      <c r="AN260" s="746"/>
      <c r="AO260" s="746"/>
      <c r="AP260" s="746"/>
      <c r="AQ260" s="746"/>
      <c r="AR260" s="746"/>
      <c r="AS260" s="746"/>
      <c r="AT260" s="746"/>
      <c r="AU260" s="746"/>
      <c r="AV260" s="746"/>
      <c r="AW260" s="746"/>
      <c r="AX260" s="746"/>
      <c r="AY260" s="746">
        <v>2</v>
      </c>
      <c r="AZ260" s="746">
        <f>IF(AY260=1,H260,0)</f>
        <v>0</v>
      </c>
      <c r="BA260" s="746">
        <f>IF(AY260=2,H260,0)</f>
        <v>0</v>
      </c>
      <c r="BB260" s="746">
        <f>IF(AY260=3,H260,0)</f>
        <v>0</v>
      </c>
      <c r="BC260" s="746">
        <f>IF(AY260=4,H260,0)</f>
        <v>0</v>
      </c>
      <c r="BD260" s="746">
        <f>IF(AY260=5,H260,0)</f>
        <v>0</v>
      </c>
      <c r="BE260" s="746"/>
      <c r="BF260" s="746"/>
      <c r="BG260" s="746"/>
      <c r="BH260" s="746"/>
    </row>
    <row r="261" spans="1:20" s="130" customFormat="1" ht="18.75" customHeight="1">
      <c r="A261" s="204"/>
      <c r="B261" s="205" t="s">
        <v>774</v>
      </c>
      <c r="C261" s="206" t="s">
        <v>836</v>
      </c>
      <c r="D261" s="916"/>
      <c r="E261" s="260">
        <f>0.5*14.2+0.36*12.3+1.34*0.3*15</f>
        <v>17.558</v>
      </c>
      <c r="F261" s="335"/>
      <c r="G261" s="335"/>
      <c r="H261" s="335"/>
      <c r="I261" s="336"/>
      <c r="J261" s="337"/>
      <c r="K261" s="508"/>
      <c r="L261" s="508"/>
      <c r="M261" s="508"/>
      <c r="N261" s="508"/>
      <c r="O261" s="508"/>
      <c r="P261" s="508"/>
      <c r="Q261" s="508"/>
      <c r="R261" s="508"/>
      <c r="S261" s="508"/>
      <c r="T261" s="508"/>
    </row>
    <row r="262" spans="1:20" s="299" customFormat="1" ht="15" customHeight="1">
      <c r="A262" s="295"/>
      <c r="B262" s="296"/>
      <c r="C262" s="297"/>
      <c r="D262" s="984"/>
      <c r="E262" s="298"/>
      <c r="F262" s="141"/>
      <c r="G262" s="141"/>
      <c r="H262" s="141"/>
      <c r="I262" s="390"/>
      <c r="J262" s="391"/>
      <c r="K262" s="736"/>
      <c r="L262" s="736"/>
      <c r="M262" s="736"/>
      <c r="N262" s="737"/>
      <c r="O262" s="580"/>
      <c r="P262" s="580"/>
      <c r="Q262" s="580"/>
      <c r="R262" s="580"/>
      <c r="S262" s="580"/>
      <c r="T262" s="580"/>
    </row>
    <row r="263" spans="1:60" s="300" customFormat="1" ht="26.25" customHeight="1">
      <c r="A263" s="738" t="s">
        <v>605</v>
      </c>
      <c r="B263" s="739" t="s">
        <v>609</v>
      </c>
      <c r="C263" s="740" t="s">
        <v>610</v>
      </c>
      <c r="D263" s="985" t="s">
        <v>2759</v>
      </c>
      <c r="E263" s="741" t="s">
        <v>1748</v>
      </c>
      <c r="F263" s="742">
        <f>E264</f>
        <v>17.90916</v>
      </c>
      <c r="G263" s="742"/>
      <c r="H263" s="742">
        <f t="shared" si="16"/>
        <v>0</v>
      </c>
      <c r="I263" s="747"/>
      <c r="J263" s="748"/>
      <c r="K263" s="743"/>
      <c r="L263" s="743"/>
      <c r="M263" s="744"/>
      <c r="N263" s="744"/>
      <c r="O263" s="744"/>
      <c r="P263" s="744"/>
      <c r="Q263" s="744"/>
      <c r="R263" s="744"/>
      <c r="S263" s="745"/>
      <c r="T263" s="745"/>
      <c r="U263" s="746"/>
      <c r="V263" s="746"/>
      <c r="W263" s="746"/>
      <c r="X263" s="746">
        <v>12</v>
      </c>
      <c r="Y263" s="746">
        <v>1</v>
      </c>
      <c r="Z263" s="746">
        <v>201</v>
      </c>
      <c r="AA263" s="746"/>
      <c r="AB263" s="746"/>
      <c r="AC263" s="746"/>
      <c r="AD263" s="746"/>
      <c r="AE263" s="746"/>
      <c r="AF263" s="746"/>
      <c r="AG263" s="746"/>
      <c r="AH263" s="746"/>
      <c r="AI263" s="746"/>
      <c r="AJ263" s="746"/>
      <c r="AK263" s="746"/>
      <c r="AL263" s="746"/>
      <c r="AM263" s="746"/>
      <c r="AN263" s="746"/>
      <c r="AO263" s="746"/>
      <c r="AP263" s="746"/>
      <c r="AQ263" s="746"/>
      <c r="AR263" s="746"/>
      <c r="AS263" s="746"/>
      <c r="AT263" s="746"/>
      <c r="AU263" s="746"/>
      <c r="AV263" s="746"/>
      <c r="AW263" s="746"/>
      <c r="AX263" s="746"/>
      <c r="AY263" s="746">
        <v>2</v>
      </c>
      <c r="AZ263" s="746">
        <f>IF(AY263=1,H263,0)</f>
        <v>0</v>
      </c>
      <c r="BA263" s="746">
        <f>IF(AY263=2,H263,0)</f>
        <v>0</v>
      </c>
      <c r="BB263" s="746">
        <f>IF(AY263=3,H263,0)</f>
        <v>0</v>
      </c>
      <c r="BC263" s="746">
        <f>IF(AY263=4,H263,0)</f>
        <v>0</v>
      </c>
      <c r="BD263" s="746">
        <f>IF(AY263=5,H263,0)</f>
        <v>0</v>
      </c>
      <c r="BE263" s="746"/>
      <c r="BF263" s="746"/>
      <c r="BG263" s="746"/>
      <c r="BH263" s="746"/>
    </row>
    <row r="264" spans="1:20" s="130" customFormat="1" ht="18.75" customHeight="1">
      <c r="A264" s="204"/>
      <c r="B264" s="205" t="s">
        <v>774</v>
      </c>
      <c r="C264" s="206" t="s">
        <v>849</v>
      </c>
      <c r="D264" s="916"/>
      <c r="E264" s="260">
        <f>(0.5*14.2+0.36*12.3+1.34*0.3*15)*1.02</f>
        <v>17.90916</v>
      </c>
      <c r="F264" s="335"/>
      <c r="G264" s="335"/>
      <c r="H264" s="335"/>
      <c r="I264" s="336"/>
      <c r="J264" s="337"/>
      <c r="K264" s="508"/>
      <c r="L264" s="508"/>
      <c r="M264" s="508"/>
      <c r="N264" s="508"/>
      <c r="O264" s="508"/>
      <c r="P264" s="508"/>
      <c r="Q264" s="508"/>
      <c r="R264" s="508"/>
      <c r="S264" s="508"/>
      <c r="T264" s="508"/>
    </row>
    <row r="265" spans="1:20" s="142" customFormat="1" ht="16.5" customHeight="1">
      <c r="A265" s="153"/>
      <c r="B265" s="154"/>
      <c r="C265" s="155"/>
      <c r="D265" s="988"/>
      <c r="E265" s="155"/>
      <c r="F265" s="141"/>
      <c r="G265" s="141"/>
      <c r="H265" s="141"/>
      <c r="I265" s="394"/>
      <c r="J265" s="395"/>
      <c r="K265" s="749"/>
      <c r="L265" s="749"/>
      <c r="M265" s="749"/>
      <c r="N265" s="749"/>
      <c r="O265" s="750"/>
      <c r="P265" s="750"/>
      <c r="Q265" s="750"/>
      <c r="R265" s="750"/>
      <c r="S265" s="215"/>
      <c r="T265" s="215"/>
    </row>
    <row r="266" spans="1:60" s="145" customFormat="1" ht="17.25" customHeight="1">
      <c r="A266" s="196" t="s">
        <v>608</v>
      </c>
      <c r="B266" s="285" t="s">
        <v>626</v>
      </c>
      <c r="C266" s="286" t="s">
        <v>627</v>
      </c>
      <c r="D266" s="982"/>
      <c r="E266" s="287" t="s">
        <v>1665</v>
      </c>
      <c r="F266" s="387">
        <f>SUM(H253:H265)*0.01</f>
        <v>0</v>
      </c>
      <c r="G266" s="387"/>
      <c r="H266" s="387">
        <f>F266*G266</f>
        <v>0</v>
      </c>
      <c r="I266" s="292">
        <v>0</v>
      </c>
      <c r="J266" s="389">
        <f>F266*I266</f>
        <v>0</v>
      </c>
      <c r="K266" s="143"/>
      <c r="L266" s="143"/>
      <c r="M266" s="143"/>
      <c r="N266" s="144"/>
      <c r="O266" s="144"/>
      <c r="P266" s="144"/>
      <c r="Q266" s="144"/>
      <c r="R266" s="144">
        <v>2</v>
      </c>
      <c r="S266" s="144"/>
      <c r="T266" s="144"/>
      <c r="U266" s="288"/>
      <c r="V266" s="288"/>
      <c r="W266" s="288"/>
      <c r="X266" s="288"/>
      <c r="Y266" s="288"/>
      <c r="Z266" s="288"/>
      <c r="AA266" s="288"/>
      <c r="AB266" s="288">
        <v>12</v>
      </c>
      <c r="AC266" s="288">
        <v>0</v>
      </c>
      <c r="AD266" s="288">
        <v>70</v>
      </c>
      <c r="AE266" s="288"/>
      <c r="AF266" s="288"/>
      <c r="AG266" s="288"/>
      <c r="AH266" s="288"/>
      <c r="AI266" s="288"/>
      <c r="AJ266" s="288"/>
      <c r="AK266" s="288"/>
      <c r="AL266" s="288"/>
      <c r="AM266" s="288"/>
      <c r="AN266" s="288"/>
      <c r="AO266" s="288"/>
      <c r="AP266" s="288"/>
      <c r="AQ266" s="288"/>
      <c r="AR266" s="288"/>
      <c r="AS266" s="288"/>
      <c r="AT266" s="288"/>
      <c r="AU266" s="288"/>
      <c r="AV266" s="288"/>
      <c r="AW266" s="288"/>
      <c r="AX266" s="288"/>
      <c r="AY266" s="288"/>
      <c r="AZ266" s="288"/>
      <c r="BA266" s="288"/>
      <c r="BB266" s="288"/>
      <c r="BC266" s="288">
        <v>2</v>
      </c>
      <c r="BD266" s="288">
        <f>IF(BC266=1,H266,0)</f>
        <v>0</v>
      </c>
      <c r="BE266" s="288">
        <f>IF(BC266=2,H266,0)</f>
        <v>0</v>
      </c>
      <c r="BF266" s="288">
        <f>IF(BC266=3,H266,0)</f>
        <v>0</v>
      </c>
      <c r="BG266" s="288">
        <f>IF(BC266=4,H266,0)</f>
        <v>0</v>
      </c>
      <c r="BH266" s="288">
        <f>IF(BC266=5,H266,0)</f>
        <v>0</v>
      </c>
    </row>
    <row r="267" spans="1:23" s="152" customFormat="1" ht="13.5" thickBot="1">
      <c r="A267" s="156"/>
      <c r="B267" s="751"/>
      <c r="C267" s="157"/>
      <c r="D267" s="986"/>
      <c r="E267" s="158"/>
      <c r="F267" s="396"/>
      <c r="G267" s="284"/>
      <c r="H267" s="284"/>
      <c r="I267" s="397"/>
      <c r="J267" s="398"/>
      <c r="K267" s="149"/>
      <c r="L267" s="149"/>
      <c r="M267" s="149"/>
      <c r="N267" s="150"/>
      <c r="O267" s="733"/>
      <c r="P267" s="151"/>
      <c r="Q267" s="151"/>
      <c r="R267" s="151"/>
      <c r="S267" s="151"/>
      <c r="T267" s="151"/>
      <c r="U267" s="151"/>
      <c r="V267" s="151"/>
      <c r="W267" s="151"/>
    </row>
    <row r="268" spans="1:20" ht="16.5" customHeight="1" thickBot="1">
      <c r="A268" s="266" t="s">
        <v>628</v>
      </c>
      <c r="B268" s="175" t="s">
        <v>629</v>
      </c>
      <c r="C268" s="176" t="s">
        <v>630</v>
      </c>
      <c r="D268" s="175"/>
      <c r="E268" s="175"/>
      <c r="F268" s="341"/>
      <c r="G268" s="341"/>
      <c r="H268" s="342">
        <f>SUM(H269:H269)</f>
        <v>0</v>
      </c>
      <c r="I268" s="343"/>
      <c r="J268" s="344">
        <f>SUM(J269:J269)</f>
        <v>0</v>
      </c>
      <c r="K268" s="670"/>
      <c r="L268" s="670"/>
      <c r="M268" s="670"/>
      <c r="N268" s="670"/>
      <c r="O268" s="670"/>
      <c r="P268" s="670"/>
      <c r="Q268" s="670"/>
      <c r="R268" s="670"/>
      <c r="S268" s="670"/>
      <c r="T268" s="670"/>
    </row>
    <row r="269" spans="1:60" s="145" customFormat="1" ht="17.25" customHeight="1" thickBot="1">
      <c r="A269" s="196"/>
      <c r="B269" s="285"/>
      <c r="C269" s="286"/>
      <c r="D269" s="982"/>
      <c r="E269" s="287"/>
      <c r="F269" s="387"/>
      <c r="G269" s="387"/>
      <c r="H269" s="387"/>
      <c r="I269" s="292"/>
      <c r="J269" s="389"/>
      <c r="K269" s="143"/>
      <c r="L269" s="143"/>
      <c r="M269" s="143"/>
      <c r="N269" s="144"/>
      <c r="O269" s="144"/>
      <c r="P269" s="144"/>
      <c r="Q269" s="144"/>
      <c r="R269" s="144"/>
      <c r="S269" s="144"/>
      <c r="T269" s="144"/>
      <c r="U269" s="288"/>
      <c r="V269" s="288"/>
      <c r="W269" s="288"/>
      <c r="X269" s="288"/>
      <c r="Y269" s="288"/>
      <c r="Z269" s="288"/>
      <c r="AA269" s="288"/>
      <c r="AB269" s="288"/>
      <c r="AC269" s="288"/>
      <c r="AD269" s="288"/>
      <c r="AE269" s="288"/>
      <c r="AF269" s="288"/>
      <c r="AG269" s="288"/>
      <c r="AH269" s="288"/>
      <c r="AI269" s="288"/>
      <c r="AJ269" s="288"/>
      <c r="AK269" s="288"/>
      <c r="AL269" s="288"/>
      <c r="AM269" s="288"/>
      <c r="AN269" s="288"/>
      <c r="AO269" s="288"/>
      <c r="AP269" s="288"/>
      <c r="AQ269" s="288"/>
      <c r="AR269" s="288"/>
      <c r="AS269" s="288"/>
      <c r="AT269" s="288"/>
      <c r="AU269" s="288"/>
      <c r="AV269" s="288"/>
      <c r="AW269" s="288"/>
      <c r="AX269" s="288"/>
      <c r="AY269" s="288"/>
      <c r="AZ269" s="288"/>
      <c r="BA269" s="288"/>
      <c r="BB269" s="288"/>
      <c r="BC269" s="288"/>
      <c r="BD269" s="288"/>
      <c r="BE269" s="288"/>
      <c r="BF269" s="288"/>
      <c r="BG269" s="288"/>
      <c r="BH269" s="288"/>
    </row>
    <row r="270" spans="1:20" ht="16.5" customHeight="1" thickBot="1">
      <c r="A270" s="266" t="s">
        <v>679</v>
      </c>
      <c r="B270" s="175" t="s">
        <v>680</v>
      </c>
      <c r="C270" s="176" t="s">
        <v>681</v>
      </c>
      <c r="D270" s="175"/>
      <c r="E270" s="175"/>
      <c r="F270" s="341"/>
      <c r="G270" s="341"/>
      <c r="H270" s="342">
        <f>SUM(H271:H271)</f>
        <v>0</v>
      </c>
      <c r="I270" s="343"/>
      <c r="J270" s="344">
        <f>SUM(J271:J271)</f>
        <v>0</v>
      </c>
      <c r="K270" s="670"/>
      <c r="L270" s="670"/>
      <c r="M270" s="670"/>
      <c r="N270" s="670"/>
      <c r="O270" s="670"/>
      <c r="P270" s="670"/>
      <c r="Q270" s="670"/>
      <c r="R270" s="670"/>
      <c r="S270" s="670"/>
      <c r="T270" s="670"/>
    </row>
    <row r="271" spans="1:20" s="145" customFormat="1" ht="17.25" customHeight="1" thickBot="1">
      <c r="A271" s="196"/>
      <c r="B271" s="285"/>
      <c r="C271" s="286"/>
      <c r="D271" s="982"/>
      <c r="E271" s="287"/>
      <c r="F271" s="387"/>
      <c r="G271" s="387"/>
      <c r="H271" s="387"/>
      <c r="I271" s="292"/>
      <c r="J271" s="389"/>
      <c r="K271" s="143"/>
      <c r="L271" s="143"/>
      <c r="M271" s="143"/>
      <c r="N271" s="144"/>
      <c r="O271" s="144"/>
      <c r="P271" s="144"/>
      <c r="Q271" s="144"/>
      <c r="R271" s="144"/>
      <c r="S271" s="144"/>
      <c r="T271" s="144"/>
    </row>
    <row r="272" spans="1:20" ht="16.5" customHeight="1" thickBot="1">
      <c r="A272" s="266" t="s">
        <v>695</v>
      </c>
      <c r="B272" s="175" t="s">
        <v>696</v>
      </c>
      <c r="C272" s="176" t="s">
        <v>697</v>
      </c>
      <c r="D272" s="175"/>
      <c r="E272" s="175"/>
      <c r="F272" s="341"/>
      <c r="G272" s="341"/>
      <c r="H272" s="342">
        <f>SUM(H273:H275)</f>
        <v>0</v>
      </c>
      <c r="I272" s="343"/>
      <c r="J272" s="344">
        <f>SUM(J273:J275)</f>
        <v>0.025453999999999997</v>
      </c>
      <c r="K272" s="670"/>
      <c r="L272" s="670"/>
      <c r="M272" s="670"/>
      <c r="N272" s="670"/>
      <c r="O272" s="670"/>
      <c r="P272" s="670"/>
      <c r="Q272" s="670"/>
      <c r="R272" s="670"/>
      <c r="S272" s="670"/>
      <c r="T272" s="670"/>
    </row>
    <row r="273" spans="1:20" s="300" customFormat="1" ht="19.5" customHeight="1">
      <c r="A273" s="738" t="s">
        <v>698</v>
      </c>
      <c r="B273" s="739" t="s">
        <v>699</v>
      </c>
      <c r="C273" s="740" t="s">
        <v>700</v>
      </c>
      <c r="D273" s="985" t="s">
        <v>2759</v>
      </c>
      <c r="E273" s="741" t="s">
        <v>1748</v>
      </c>
      <c r="F273" s="742">
        <f>115.7*0.85</f>
        <v>98.345</v>
      </c>
      <c r="G273" s="742"/>
      <c r="H273" s="742">
        <f>F273*G273</f>
        <v>0</v>
      </c>
      <c r="I273" s="747">
        <v>0</v>
      </c>
      <c r="J273" s="748">
        <f>F273*I273</f>
        <v>0</v>
      </c>
      <c r="K273" s="743"/>
      <c r="L273" s="743"/>
      <c r="M273" s="744"/>
      <c r="N273" s="744"/>
      <c r="O273" s="744"/>
      <c r="P273" s="744"/>
      <c r="Q273" s="744"/>
      <c r="R273" s="744"/>
      <c r="S273" s="745"/>
      <c r="T273" s="745"/>
    </row>
    <row r="274" spans="1:20" s="300" customFormat="1" ht="19.5" customHeight="1">
      <c r="A274" s="738" t="s">
        <v>701</v>
      </c>
      <c r="B274" s="739" t="s">
        <v>702</v>
      </c>
      <c r="C274" s="740" t="s">
        <v>703</v>
      </c>
      <c r="D274" s="985" t="s">
        <v>2759</v>
      </c>
      <c r="E274" s="741" t="s">
        <v>1748</v>
      </c>
      <c r="F274" s="742">
        <f>115.7</f>
        <v>115.7</v>
      </c>
      <c r="G274" s="742"/>
      <c r="H274" s="742">
        <f>F274*G274</f>
        <v>0</v>
      </c>
      <c r="I274" s="747">
        <v>7E-05</v>
      </c>
      <c r="J274" s="748">
        <f>F274*I274</f>
        <v>0.008099</v>
      </c>
      <c r="K274" s="743"/>
      <c r="L274" s="743"/>
      <c r="M274" s="744"/>
      <c r="N274" s="744"/>
      <c r="O274" s="744"/>
      <c r="P274" s="744"/>
      <c r="Q274" s="744"/>
      <c r="R274" s="744"/>
      <c r="S274" s="745"/>
      <c r="T274" s="745"/>
    </row>
    <row r="275" spans="1:20" s="300" customFormat="1" ht="26.25" customHeight="1" thickBot="1">
      <c r="A275" s="738" t="s">
        <v>704</v>
      </c>
      <c r="B275" s="739" t="s">
        <v>705</v>
      </c>
      <c r="C275" s="740" t="s">
        <v>706</v>
      </c>
      <c r="D275" s="985" t="s">
        <v>2759</v>
      </c>
      <c r="E275" s="741" t="s">
        <v>1748</v>
      </c>
      <c r="F275" s="742">
        <f>F274</f>
        <v>115.7</v>
      </c>
      <c r="G275" s="742"/>
      <c r="H275" s="742">
        <f>F275*G275</f>
        <v>0</v>
      </c>
      <c r="I275" s="747">
        <v>0.00015</v>
      </c>
      <c r="J275" s="748">
        <f>F275*I275</f>
        <v>0.017355</v>
      </c>
      <c r="K275" s="743"/>
      <c r="L275" s="743"/>
      <c r="M275" s="744"/>
      <c r="N275" s="744"/>
      <c r="O275" s="744"/>
      <c r="P275" s="744"/>
      <c r="Q275" s="744"/>
      <c r="R275" s="744"/>
      <c r="S275" s="745"/>
      <c r="T275" s="745"/>
    </row>
    <row r="276" spans="1:20" ht="16.5" customHeight="1" thickBot="1">
      <c r="A276" s="266" t="s">
        <v>805</v>
      </c>
      <c r="B276" s="175" t="s">
        <v>708</v>
      </c>
      <c r="C276" s="176" t="s">
        <v>709</v>
      </c>
      <c r="D276" s="175"/>
      <c r="E276" s="175"/>
      <c r="F276" s="341"/>
      <c r="G276" s="341"/>
      <c r="H276" s="342">
        <f>SUM(H277:H279)</f>
        <v>0</v>
      </c>
      <c r="I276" s="343"/>
      <c r="J276" s="344">
        <f>SUM(J277:J279)</f>
        <v>0</v>
      </c>
      <c r="K276" s="670"/>
      <c r="L276" s="670"/>
      <c r="M276" s="670"/>
      <c r="N276" s="670"/>
      <c r="O276" s="670"/>
      <c r="P276" s="670"/>
      <c r="Q276" s="670"/>
      <c r="R276" s="670"/>
      <c r="S276" s="670"/>
      <c r="T276" s="670"/>
    </row>
    <row r="277" spans="1:20" s="300" customFormat="1" ht="15.75" customHeight="1">
      <c r="A277" s="738"/>
      <c r="B277" s="739"/>
      <c r="C277" s="740"/>
      <c r="D277" s="985"/>
      <c r="E277" s="741"/>
      <c r="F277" s="742"/>
      <c r="G277" s="742"/>
      <c r="H277" s="742"/>
      <c r="I277" s="747"/>
      <c r="J277" s="748"/>
      <c r="K277" s="743"/>
      <c r="L277" s="743"/>
      <c r="M277" s="744"/>
      <c r="N277" s="744"/>
      <c r="O277" s="744"/>
      <c r="P277" s="744"/>
      <c r="Q277" s="744"/>
      <c r="R277" s="744"/>
      <c r="S277" s="745"/>
      <c r="T277" s="745"/>
    </row>
    <row r="278" spans="1:20" s="300" customFormat="1" ht="26.25" customHeight="1">
      <c r="A278" s="738" t="s">
        <v>710</v>
      </c>
      <c r="B278" s="739" t="s">
        <v>711</v>
      </c>
      <c r="C278" s="740" t="s">
        <v>712</v>
      </c>
      <c r="D278" s="985" t="s">
        <v>2761</v>
      </c>
      <c r="E278" s="741" t="s">
        <v>2695</v>
      </c>
      <c r="F278" s="742">
        <v>1</v>
      </c>
      <c r="G278" s="742"/>
      <c r="H278" s="742">
        <f>F278*G278</f>
        <v>0</v>
      </c>
      <c r="I278" s="747">
        <v>0</v>
      </c>
      <c r="J278" s="748">
        <f>F278*I278</f>
        <v>0</v>
      </c>
      <c r="K278" s="743"/>
      <c r="L278" s="743"/>
      <c r="M278" s="744"/>
      <c r="N278" s="744"/>
      <c r="O278" s="744"/>
      <c r="P278" s="744"/>
      <c r="Q278" s="744"/>
      <c r="R278" s="744"/>
      <c r="S278" s="745"/>
      <c r="T278" s="745"/>
    </row>
    <row r="279" spans="1:20" s="300" customFormat="1" ht="18" customHeight="1" thickBot="1">
      <c r="A279" s="738"/>
      <c r="B279" s="739"/>
      <c r="C279" s="740"/>
      <c r="D279" s="985"/>
      <c r="E279" s="741"/>
      <c r="F279" s="742"/>
      <c r="G279" s="742"/>
      <c r="H279" s="742"/>
      <c r="I279" s="747"/>
      <c r="J279" s="748"/>
      <c r="K279" s="743"/>
      <c r="L279" s="743"/>
      <c r="M279" s="744"/>
      <c r="N279" s="744"/>
      <c r="O279" s="744"/>
      <c r="P279" s="744"/>
      <c r="Q279" s="744"/>
      <c r="R279" s="744"/>
      <c r="S279" s="745"/>
      <c r="T279" s="745"/>
    </row>
    <row r="280" spans="1:20" ht="16.5" customHeight="1" thickBot="1">
      <c r="A280" s="266"/>
      <c r="B280" s="175"/>
      <c r="C280" s="176"/>
      <c r="D280" s="175"/>
      <c r="E280" s="175"/>
      <c r="F280" s="341"/>
      <c r="G280" s="341"/>
      <c r="H280" s="342"/>
      <c r="I280" s="343"/>
      <c r="J280" s="344"/>
      <c r="K280" s="670"/>
      <c r="L280" s="670"/>
      <c r="M280" s="670"/>
      <c r="N280" s="670"/>
      <c r="O280" s="670"/>
      <c r="P280" s="670"/>
      <c r="Q280" s="670"/>
      <c r="R280" s="670"/>
      <c r="S280" s="670"/>
      <c r="T280" s="670"/>
    </row>
    <row r="281" spans="1:20" ht="15">
      <c r="A281" s="24"/>
      <c r="B281" s="186"/>
      <c r="C281" s="186"/>
      <c r="D281" s="187"/>
      <c r="E281" s="187"/>
      <c r="F281" s="409"/>
      <c r="G281" s="409"/>
      <c r="H281" s="409"/>
      <c r="I281" s="410"/>
      <c r="J281" s="411"/>
      <c r="K281" s="761"/>
      <c r="L281" s="761"/>
      <c r="M281" s="761"/>
      <c r="N281" s="761"/>
      <c r="O281" s="761"/>
      <c r="P281" s="761"/>
      <c r="Q281" s="762"/>
      <c r="R281" s="670"/>
      <c r="S281" s="670"/>
      <c r="T281" s="670"/>
    </row>
    <row r="282" spans="1:20" s="577" customFormat="1" ht="24" customHeight="1" thickBot="1">
      <c r="A282" s="753"/>
      <c r="B282" s="754"/>
      <c r="C282" s="755" t="s">
        <v>716</v>
      </c>
      <c r="D282" s="756"/>
      <c r="E282" s="756"/>
      <c r="F282" s="754"/>
      <c r="G282" s="754"/>
      <c r="H282" s="757">
        <f>H276+H272+H270+H268+H252+H243+H229+H227+H222+H220+H211+H194+H178+H134+H124+H120+H98+H93+H63+H55+H39+H37+H35+H28+H18</f>
        <v>0</v>
      </c>
      <c r="I282" s="758"/>
      <c r="J282" s="759"/>
      <c r="K282" s="760"/>
      <c r="L282" s="760"/>
      <c r="M282" s="760"/>
      <c r="N282" s="760"/>
      <c r="O282" s="760"/>
      <c r="P282" s="760"/>
      <c r="Q282" s="760"/>
      <c r="R282" s="760"/>
      <c r="S282" s="760"/>
      <c r="T282" s="760"/>
    </row>
    <row r="283" spans="6:20" ht="12.75">
      <c r="F283" s="412"/>
      <c r="G283" s="412"/>
      <c r="H283" s="412"/>
      <c r="I283" s="413"/>
      <c r="J283" s="413"/>
      <c r="K283" s="761"/>
      <c r="L283" s="761"/>
      <c r="M283" s="761"/>
      <c r="N283" s="761"/>
      <c r="O283" s="761"/>
      <c r="P283" s="761"/>
      <c r="Q283" s="762"/>
      <c r="R283" s="670"/>
      <c r="S283" s="670"/>
      <c r="T283" s="670"/>
    </row>
    <row r="284" spans="6:20" ht="12.75">
      <c r="F284" s="412"/>
      <c r="G284" s="412"/>
      <c r="H284" s="412"/>
      <c r="I284" s="413"/>
      <c r="J284" s="413"/>
      <c r="K284" s="761"/>
      <c r="L284" s="761"/>
      <c r="M284" s="761"/>
      <c r="N284" s="761"/>
      <c r="O284" s="761"/>
      <c r="P284" s="761"/>
      <c r="Q284" s="762"/>
      <c r="R284" s="670"/>
      <c r="S284" s="670"/>
      <c r="T284" s="670"/>
    </row>
    <row r="285" spans="6:20" ht="12.75">
      <c r="F285" s="412"/>
      <c r="G285" s="412"/>
      <c r="H285" s="412"/>
      <c r="I285" s="413"/>
      <c r="J285" s="413"/>
      <c r="K285" s="761"/>
      <c r="L285" s="761"/>
      <c r="M285" s="761"/>
      <c r="N285" s="761"/>
      <c r="O285" s="761"/>
      <c r="P285" s="761"/>
      <c r="Q285" s="762"/>
      <c r="R285" s="670"/>
      <c r="S285" s="670"/>
      <c r="T285" s="670"/>
    </row>
    <row r="286" spans="6:20" ht="12.75">
      <c r="F286" s="412"/>
      <c r="G286" s="412"/>
      <c r="H286" s="412"/>
      <c r="I286" s="413"/>
      <c r="J286" s="413"/>
      <c r="K286" s="761"/>
      <c r="L286" s="761"/>
      <c r="M286" s="761"/>
      <c r="N286" s="761"/>
      <c r="O286" s="761"/>
      <c r="P286" s="761"/>
      <c r="Q286" s="762"/>
      <c r="R286" s="670"/>
      <c r="S286" s="670"/>
      <c r="T286" s="670"/>
    </row>
  </sheetData>
  <mergeCells count="21">
    <mergeCell ref="F2:F3"/>
    <mergeCell ref="C2:C3"/>
    <mergeCell ref="C4:C5"/>
    <mergeCell ref="F4:F5"/>
    <mergeCell ref="D2:E3"/>
    <mergeCell ref="D4:E5"/>
    <mergeCell ref="G2:G3"/>
    <mergeCell ref="G4:G5"/>
    <mergeCell ref="H2:J3"/>
    <mergeCell ref="H4:J5"/>
    <mergeCell ref="H6:J7"/>
    <mergeCell ref="G14:H14"/>
    <mergeCell ref="G6:G7"/>
    <mergeCell ref="I14:J14"/>
    <mergeCell ref="C8:C9"/>
    <mergeCell ref="D8:F9"/>
    <mergeCell ref="G8:G9"/>
    <mergeCell ref="H8:J9"/>
    <mergeCell ref="C6:C7"/>
    <mergeCell ref="D6:E7"/>
    <mergeCell ref="F6:F7"/>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E0B2"/>
  </sheetPr>
  <dimension ref="A1:BH420"/>
  <sheetViews>
    <sheetView showGridLines="0" view="pageBreakPreview" zoomScaleSheetLayoutView="100" workbookViewId="0" topLeftCell="A1">
      <selection activeCell="I14" sqref="I14:J14"/>
    </sheetView>
  </sheetViews>
  <sheetFormatPr defaultColWidth="9.140625" defaultRowHeight="12.75"/>
  <cols>
    <col min="1" max="1" width="5.28125" style="28" customWidth="1"/>
    <col min="2" max="2" width="14.7109375" style="0" customWidth="1"/>
    <col min="3" max="3" width="44.28125" style="0" customWidth="1"/>
    <col min="4" max="4" width="10.7109375" style="987" customWidth="1"/>
    <col min="5" max="5" width="9.421875" style="33" bestFit="1" customWidth="1"/>
    <col min="6" max="6" width="9.57421875" style="0" customWidth="1"/>
    <col min="7" max="7" width="10.8515625" style="0" customWidth="1"/>
    <col min="8" max="8" width="13.57421875" style="0" customWidth="1"/>
    <col min="9" max="9" width="9.140625" style="12" customWidth="1"/>
    <col min="10" max="10" width="11.00390625" style="12" customWidth="1"/>
    <col min="11" max="16" width="9.140625" style="583" customWidth="1"/>
    <col min="17" max="17" width="9.140625" style="584" customWidth="1"/>
    <col min="18" max="20" width="9.140625" style="579" customWidth="1"/>
  </cols>
  <sheetData>
    <row r="1" spans="1:20" ht="23.25">
      <c r="A1" s="23"/>
      <c r="B1" s="13"/>
      <c r="C1" s="14" t="s">
        <v>1683</v>
      </c>
      <c r="D1" s="13"/>
      <c r="E1" s="13"/>
      <c r="F1" s="13"/>
      <c r="G1" s="13"/>
      <c r="H1" s="13"/>
      <c r="I1" s="15"/>
      <c r="J1" s="16"/>
      <c r="K1" s="761"/>
      <c r="L1" s="761"/>
      <c r="M1" s="761"/>
      <c r="N1" s="761"/>
      <c r="O1" s="761"/>
      <c r="P1" s="761"/>
      <c r="Q1" s="762"/>
      <c r="R1" s="670"/>
      <c r="S1" s="670"/>
      <c r="T1" s="670"/>
    </row>
    <row r="2" spans="1:20" ht="12.75">
      <c r="A2" s="24"/>
      <c r="B2" s="653"/>
      <c r="C2" s="1310" t="s">
        <v>1684</v>
      </c>
      <c r="D2" s="1308" t="s">
        <v>1685</v>
      </c>
      <c r="E2" s="1308"/>
      <c r="F2" s="1308"/>
      <c r="G2" s="1320" t="s">
        <v>1686</v>
      </c>
      <c r="H2" s="1324" t="s">
        <v>1687</v>
      </c>
      <c r="I2" s="1325"/>
      <c r="J2" s="1326"/>
      <c r="K2" s="761"/>
      <c r="L2" s="761"/>
      <c r="M2" s="761"/>
      <c r="N2" s="761"/>
      <c r="O2" s="761"/>
      <c r="P2" s="761"/>
      <c r="Q2" s="762"/>
      <c r="R2" s="670"/>
      <c r="S2" s="670"/>
      <c r="T2" s="670"/>
    </row>
    <row r="3" spans="1:20" ht="12.75">
      <c r="A3" s="24"/>
      <c r="B3" s="652"/>
      <c r="C3" s="1311"/>
      <c r="D3" s="1309"/>
      <c r="E3" s="1309"/>
      <c r="F3" s="1309"/>
      <c r="G3" s="1321"/>
      <c r="H3" s="1316"/>
      <c r="I3" s="1316"/>
      <c r="J3" s="1317"/>
      <c r="K3" s="761"/>
      <c r="L3" s="761"/>
      <c r="M3" s="761"/>
      <c r="N3" s="761"/>
      <c r="O3" s="761"/>
      <c r="P3" s="761"/>
      <c r="Q3" s="762"/>
      <c r="R3" s="670"/>
      <c r="S3" s="670"/>
      <c r="T3" s="670"/>
    </row>
    <row r="4" spans="1:20" ht="12.75">
      <c r="A4" s="24"/>
      <c r="B4" s="652"/>
      <c r="C4" s="1309" t="s">
        <v>1688</v>
      </c>
      <c r="D4" s="1309" t="s">
        <v>1689</v>
      </c>
      <c r="E4" s="1309"/>
      <c r="F4" s="1327"/>
      <c r="G4" s="1321" t="s">
        <v>1690</v>
      </c>
      <c r="H4" s="1315" t="s">
        <v>1586</v>
      </c>
      <c r="I4" s="1315"/>
      <c r="J4" s="1328"/>
      <c r="K4" s="761"/>
      <c r="L4" s="761"/>
      <c r="M4" s="761"/>
      <c r="N4" s="761"/>
      <c r="O4" s="761"/>
      <c r="P4" s="761"/>
      <c r="Q4" s="762"/>
      <c r="R4" s="670"/>
      <c r="S4" s="670"/>
      <c r="T4" s="670"/>
    </row>
    <row r="5" spans="1:20" ht="12.75">
      <c r="A5" s="24"/>
      <c r="B5" s="652"/>
      <c r="C5" s="1312"/>
      <c r="D5" s="1309"/>
      <c r="E5" s="1309"/>
      <c r="F5" s="1327"/>
      <c r="G5" s="1321"/>
      <c r="H5" s="1315"/>
      <c r="I5" s="1315"/>
      <c r="J5" s="1328"/>
      <c r="K5" s="761"/>
      <c r="L5" s="761"/>
      <c r="M5" s="761"/>
      <c r="N5" s="761"/>
      <c r="O5" s="761"/>
      <c r="P5" s="761"/>
      <c r="Q5" s="762"/>
      <c r="R5" s="670"/>
      <c r="S5" s="670"/>
      <c r="T5" s="670"/>
    </row>
    <row r="6" spans="1:20" ht="12.75">
      <c r="A6" s="24"/>
      <c r="B6" s="652"/>
      <c r="C6" s="1309" t="s">
        <v>1580</v>
      </c>
      <c r="D6" s="1309" t="s">
        <v>1691</v>
      </c>
      <c r="E6" s="1309"/>
      <c r="F6" s="1327"/>
      <c r="G6" s="1321" t="s">
        <v>1692</v>
      </c>
      <c r="H6" s="1315"/>
      <c r="I6" s="1316"/>
      <c r="J6" s="1317"/>
      <c r="K6" s="761"/>
      <c r="L6" s="761"/>
      <c r="M6" s="761"/>
      <c r="N6" s="761"/>
      <c r="O6" s="761"/>
      <c r="P6" s="761"/>
      <c r="Q6" s="762"/>
      <c r="R6" s="670"/>
      <c r="S6" s="670"/>
      <c r="T6" s="670"/>
    </row>
    <row r="7" spans="1:20" ht="12.75">
      <c r="A7" s="24"/>
      <c r="B7" s="652"/>
      <c r="C7" s="1312"/>
      <c r="D7" s="1309"/>
      <c r="E7" s="1309"/>
      <c r="F7" s="1327"/>
      <c r="G7" s="1321"/>
      <c r="H7" s="1316"/>
      <c r="I7" s="1316"/>
      <c r="J7" s="1317"/>
      <c r="K7" s="761"/>
      <c r="L7" s="761"/>
      <c r="M7" s="761"/>
      <c r="N7" s="761"/>
      <c r="O7" s="761"/>
      <c r="P7" s="761"/>
      <c r="Q7" s="762"/>
      <c r="R7" s="670"/>
      <c r="S7" s="670"/>
      <c r="T7" s="670"/>
    </row>
    <row r="8" spans="1:20" ht="12.75">
      <c r="A8" s="24"/>
      <c r="B8" s="652"/>
      <c r="C8" s="1306" t="s">
        <v>850</v>
      </c>
      <c r="D8" s="1313" t="s">
        <v>2830</v>
      </c>
      <c r="E8" s="1314"/>
      <c r="F8" s="1314"/>
      <c r="G8" s="1321" t="s">
        <v>1693</v>
      </c>
      <c r="H8" s="1315" t="s">
        <v>1586</v>
      </c>
      <c r="I8" s="1316"/>
      <c r="J8" s="1317"/>
      <c r="K8" s="761"/>
      <c r="L8" s="761"/>
      <c r="M8" s="761"/>
      <c r="N8" s="761"/>
      <c r="O8" s="761"/>
      <c r="P8" s="761"/>
      <c r="Q8" s="762"/>
      <c r="R8" s="670"/>
      <c r="S8" s="670"/>
      <c r="T8" s="670"/>
    </row>
    <row r="9" spans="1:20" ht="12.75">
      <c r="A9" s="24"/>
      <c r="B9" s="652"/>
      <c r="C9" s="1329"/>
      <c r="D9" s="1314"/>
      <c r="E9" s="1314"/>
      <c r="F9" s="1314"/>
      <c r="G9" s="1321"/>
      <c r="H9" s="1316"/>
      <c r="I9" s="1316"/>
      <c r="J9" s="1317"/>
      <c r="K9" s="761"/>
      <c r="L9" s="761"/>
      <c r="M9" s="761"/>
      <c r="N9" s="761"/>
      <c r="O9" s="761"/>
      <c r="P9" s="761"/>
      <c r="Q9" s="762"/>
      <c r="R9" s="670"/>
      <c r="S9" s="670"/>
      <c r="T9" s="670"/>
    </row>
    <row r="10" spans="1:20" s="18" customFormat="1" ht="15" customHeight="1">
      <c r="A10" s="25"/>
      <c r="B10" s="652"/>
      <c r="C10" s="1015"/>
      <c r="D10" s="1021" t="s">
        <v>2748</v>
      </c>
      <c r="E10" s="1020"/>
      <c r="F10" s="1020"/>
      <c r="G10" s="1000"/>
      <c r="H10" s="1001"/>
      <c r="I10" s="1001"/>
      <c r="J10" s="1002"/>
      <c r="K10" s="671"/>
      <c r="L10" s="671"/>
      <c r="M10" s="671"/>
      <c r="N10" s="671"/>
      <c r="O10" s="671"/>
      <c r="P10" s="671"/>
      <c r="Q10" s="671"/>
      <c r="R10" s="671"/>
      <c r="S10" s="671"/>
      <c r="T10" s="671"/>
    </row>
    <row r="11" spans="1:20" s="18" customFormat="1" ht="16.5" customHeight="1">
      <c r="A11" s="25"/>
      <c r="B11" s="652"/>
      <c r="C11" s="1015"/>
      <c r="D11" s="1035" t="s">
        <v>2828</v>
      </c>
      <c r="E11" s="1035"/>
      <c r="F11" s="1035"/>
      <c r="G11" s="1000"/>
      <c r="H11" s="1001"/>
      <c r="I11" s="1001"/>
      <c r="J11" s="1002"/>
      <c r="O11" s="512"/>
      <c r="P11" s="512"/>
      <c r="T11" s="671"/>
    </row>
    <row r="12" spans="1:20" s="18" customFormat="1" ht="16.5" customHeight="1" thickBot="1">
      <c r="A12" s="889"/>
      <c r="B12" s="890"/>
      <c r="C12" s="891"/>
      <c r="D12" s="1036" t="s">
        <v>2834</v>
      </c>
      <c r="E12" s="1036"/>
      <c r="F12" s="1036"/>
      <c r="G12" s="892"/>
      <c r="H12" s="893"/>
      <c r="I12" s="893"/>
      <c r="J12" s="894"/>
      <c r="O12" s="512"/>
      <c r="P12" s="512"/>
      <c r="T12" s="671"/>
    </row>
    <row r="13" spans="1:20" ht="13.5" thickBot="1">
      <c r="A13" s="884"/>
      <c r="B13" s="885"/>
      <c r="C13" s="886"/>
      <c r="D13" s="885"/>
      <c r="E13" s="885"/>
      <c r="F13" s="885"/>
      <c r="G13" s="885"/>
      <c r="H13" s="885"/>
      <c r="I13" s="887"/>
      <c r="J13" s="888"/>
      <c r="K13" s="670"/>
      <c r="L13" s="670"/>
      <c r="M13" s="670"/>
      <c r="N13" s="670"/>
      <c r="O13" s="670"/>
      <c r="P13" s="670"/>
      <c r="Q13" s="670"/>
      <c r="R13" s="670"/>
      <c r="S13" s="670"/>
      <c r="T13" s="670"/>
    </row>
    <row r="14" spans="1:20" s="18" customFormat="1" ht="12.75">
      <c r="A14" s="25"/>
      <c r="B14" s="17" t="s">
        <v>1694</v>
      </c>
      <c r="C14" s="2" t="s">
        <v>1694</v>
      </c>
      <c r="D14" s="1180"/>
      <c r="E14" s="30" t="s">
        <v>1694</v>
      </c>
      <c r="F14" s="2" t="s">
        <v>1694</v>
      </c>
      <c r="G14" s="1322" t="s">
        <v>1695</v>
      </c>
      <c r="H14" s="1323"/>
      <c r="I14" s="1318" t="s">
        <v>1696</v>
      </c>
      <c r="J14" s="1319"/>
      <c r="K14" s="763"/>
      <c r="L14" s="763"/>
      <c r="M14" s="763"/>
      <c r="N14" s="763"/>
      <c r="O14" s="763"/>
      <c r="P14" s="763"/>
      <c r="Q14" s="764"/>
      <c r="R14" s="671"/>
      <c r="S14" s="671"/>
      <c r="T14" s="671"/>
    </row>
    <row r="15" spans="1:20" s="18" customFormat="1" ht="13.5" thickBot="1">
      <c r="A15" s="26"/>
      <c r="B15" s="19" t="s">
        <v>1697</v>
      </c>
      <c r="C15" s="4" t="s">
        <v>1698</v>
      </c>
      <c r="D15" s="924" t="s">
        <v>2751</v>
      </c>
      <c r="E15" s="6" t="s">
        <v>1699</v>
      </c>
      <c r="F15" s="6" t="s">
        <v>1700</v>
      </c>
      <c r="G15" s="7" t="s">
        <v>1701</v>
      </c>
      <c r="H15" s="8" t="s">
        <v>1702</v>
      </c>
      <c r="I15" s="10" t="s">
        <v>1701</v>
      </c>
      <c r="J15" s="11" t="s">
        <v>1702</v>
      </c>
      <c r="K15" s="763"/>
      <c r="L15" s="763"/>
      <c r="M15" s="763"/>
      <c r="N15" s="763"/>
      <c r="O15" s="763"/>
      <c r="P15" s="763"/>
      <c r="Q15" s="764"/>
      <c r="R15" s="671"/>
      <c r="S15" s="671"/>
      <c r="T15" s="671"/>
    </row>
    <row r="16" spans="1:20" ht="16.5" customHeight="1" thickBot="1">
      <c r="A16" s="266"/>
      <c r="B16" s="175"/>
      <c r="C16" s="176"/>
      <c r="D16" s="175"/>
      <c r="E16" s="175"/>
      <c r="F16" s="175"/>
      <c r="G16" s="175"/>
      <c r="H16" s="185"/>
      <c r="I16" s="177"/>
      <c r="J16" s="178"/>
      <c r="K16" s="670"/>
      <c r="L16" s="670"/>
      <c r="M16" s="670"/>
      <c r="N16" s="670"/>
      <c r="O16" s="670"/>
      <c r="P16" s="670"/>
      <c r="Q16" s="670"/>
      <c r="R16" s="670"/>
      <c r="S16" s="670"/>
      <c r="T16" s="670"/>
    </row>
    <row r="17" spans="1:20" s="18" customFormat="1" ht="16.5" customHeight="1" thickBot="1">
      <c r="A17" s="27"/>
      <c r="B17" s="122"/>
      <c r="C17" s="122" t="s">
        <v>1703</v>
      </c>
      <c r="D17" s="1181"/>
      <c r="E17" s="123"/>
      <c r="F17" s="123"/>
      <c r="G17" s="124"/>
      <c r="H17" s="125">
        <f>H18+H28+H40+H43+H45+H59+H67+H99+H112+H156+H160+H170+H235+H268+H288+H311+H313+H318+H334+H360+H383+H398+H400+H408+H412</f>
        <v>0</v>
      </c>
      <c r="I17" s="126"/>
      <c r="J17" s="127"/>
      <c r="K17" s="763"/>
      <c r="L17" s="763"/>
      <c r="M17" s="763"/>
      <c r="N17" s="763"/>
      <c r="O17" s="763"/>
      <c r="P17" s="763"/>
      <c r="Q17" s="764"/>
      <c r="R17" s="671"/>
      <c r="S17" s="671"/>
      <c r="T17" s="671"/>
    </row>
    <row r="18" spans="1:20" ht="16.5" customHeight="1" thickBot="1">
      <c r="A18" s="266" t="s">
        <v>1704</v>
      </c>
      <c r="B18" s="175" t="s">
        <v>1616</v>
      </c>
      <c r="C18" s="176" t="s">
        <v>1705</v>
      </c>
      <c r="D18" s="1007" t="s">
        <v>2780</v>
      </c>
      <c r="E18" s="1006"/>
      <c r="F18" s="175"/>
      <c r="G18" s="175"/>
      <c r="H18" s="185">
        <f>SUM(H19:H27)</f>
        <v>0</v>
      </c>
      <c r="I18" s="177"/>
      <c r="J18" s="178">
        <f>SUM(J19:J27)</f>
        <v>73.93925</v>
      </c>
      <c r="K18" s="670"/>
      <c r="L18" s="670"/>
      <c r="M18" s="670"/>
      <c r="N18" s="670"/>
      <c r="O18" s="670"/>
      <c r="P18" s="670"/>
      <c r="Q18" s="670"/>
      <c r="R18" s="670"/>
      <c r="S18" s="670"/>
      <c r="T18" s="670"/>
    </row>
    <row r="19" spans="1:20" s="22" customFormat="1" ht="17.25" customHeight="1">
      <c r="A19" s="190" t="s">
        <v>1706</v>
      </c>
      <c r="B19" s="191" t="s">
        <v>1707</v>
      </c>
      <c r="C19" s="191" t="s">
        <v>1708</v>
      </c>
      <c r="D19" s="964" t="s">
        <v>2780</v>
      </c>
      <c r="E19" s="192" t="s">
        <v>1709</v>
      </c>
      <c r="F19" s="345">
        <f>E20</f>
        <v>138.714</v>
      </c>
      <c r="G19" s="345"/>
      <c r="H19" s="345">
        <f aca="true" t="shared" si="0" ref="H19:H27">F19*G19</f>
        <v>0</v>
      </c>
      <c r="I19" s="346">
        <v>0</v>
      </c>
      <c r="J19" s="347">
        <f aca="true" t="shared" si="1" ref="J19:J27">F19*I19</f>
        <v>0</v>
      </c>
      <c r="K19" s="693"/>
      <c r="L19" s="693"/>
      <c r="M19" s="693"/>
      <c r="N19" s="693"/>
      <c r="O19" s="693"/>
      <c r="P19" s="693"/>
      <c r="Q19" s="694"/>
      <c r="R19" s="509"/>
      <c r="S19" s="509"/>
      <c r="T19" s="509"/>
    </row>
    <row r="20" spans="1:20" s="130" customFormat="1" ht="20.25" customHeight="1">
      <c r="A20" s="204"/>
      <c r="B20" s="205"/>
      <c r="C20" s="205" t="s">
        <v>851</v>
      </c>
      <c r="D20" s="916"/>
      <c r="E20" s="207">
        <f>(30.59)*1.8*2+(33.15+14.5)*0.6*1</f>
        <v>138.714</v>
      </c>
      <c r="F20" s="335"/>
      <c r="G20" s="335"/>
      <c r="H20" s="335"/>
      <c r="I20" s="336"/>
      <c r="J20" s="337"/>
      <c r="K20" s="672"/>
      <c r="L20" s="672"/>
      <c r="M20" s="672"/>
      <c r="N20" s="672"/>
      <c r="O20" s="672"/>
      <c r="P20" s="672"/>
      <c r="Q20" s="673"/>
      <c r="R20" s="508"/>
      <c r="S20" s="508"/>
      <c r="T20" s="508"/>
    </row>
    <row r="21" spans="1:20" s="22" customFormat="1" ht="17.25" customHeight="1">
      <c r="A21" s="196" t="s">
        <v>1711</v>
      </c>
      <c r="B21" s="197" t="s">
        <v>1712</v>
      </c>
      <c r="C21" s="197" t="s">
        <v>1713</v>
      </c>
      <c r="D21" s="917" t="s">
        <v>2780</v>
      </c>
      <c r="E21" s="198" t="s">
        <v>1709</v>
      </c>
      <c r="F21" s="332">
        <f>E22</f>
        <v>9.3888</v>
      </c>
      <c r="G21" s="332"/>
      <c r="H21" s="332">
        <f t="shared" si="0"/>
        <v>0</v>
      </c>
      <c r="I21" s="333">
        <v>0</v>
      </c>
      <c r="J21" s="334">
        <f t="shared" si="1"/>
        <v>0</v>
      </c>
      <c r="K21" s="693"/>
      <c r="L21" s="693"/>
      <c r="M21" s="693"/>
      <c r="N21" s="693"/>
      <c r="O21" s="693"/>
      <c r="P21" s="693"/>
      <c r="Q21" s="694"/>
      <c r="R21" s="509"/>
      <c r="S21" s="509"/>
      <c r="T21" s="509"/>
    </row>
    <row r="22" spans="1:20" s="130" customFormat="1" ht="20.25" customHeight="1">
      <c r="A22" s="204"/>
      <c r="B22" s="205"/>
      <c r="C22" s="205" t="s">
        <v>852</v>
      </c>
      <c r="D22" s="916"/>
      <c r="E22" s="207">
        <f>(30.59)*0.2*0.6+(33.15+14.5)*0.6*0.2</f>
        <v>9.3888</v>
      </c>
      <c r="F22" s="335"/>
      <c r="G22" s="335"/>
      <c r="H22" s="335"/>
      <c r="I22" s="336"/>
      <c r="J22" s="337"/>
      <c r="K22" s="672"/>
      <c r="L22" s="672"/>
      <c r="M22" s="672"/>
      <c r="N22" s="672"/>
      <c r="O22" s="672"/>
      <c r="P22" s="672"/>
      <c r="Q22" s="673"/>
      <c r="R22" s="508"/>
      <c r="S22" s="508"/>
      <c r="T22" s="508"/>
    </row>
    <row r="23" spans="1:20" s="22" customFormat="1" ht="17.25" customHeight="1">
      <c r="A23" s="196" t="s">
        <v>1715</v>
      </c>
      <c r="B23" s="197" t="s">
        <v>1723</v>
      </c>
      <c r="C23" s="197" t="s">
        <v>1724</v>
      </c>
      <c r="D23" s="917" t="s">
        <v>2780</v>
      </c>
      <c r="E23" s="198" t="s">
        <v>1709</v>
      </c>
      <c r="F23" s="332">
        <f>E24</f>
        <v>97.62320000000003</v>
      </c>
      <c r="G23" s="332"/>
      <c r="H23" s="332">
        <f t="shared" si="0"/>
        <v>0</v>
      </c>
      <c r="I23" s="333">
        <v>0</v>
      </c>
      <c r="J23" s="334">
        <f t="shared" si="1"/>
        <v>0</v>
      </c>
      <c r="K23" s="693"/>
      <c r="L23" s="693"/>
      <c r="M23" s="693"/>
      <c r="N23" s="693"/>
      <c r="O23" s="693"/>
      <c r="P23" s="693"/>
      <c r="Q23" s="694"/>
      <c r="R23" s="509"/>
      <c r="S23" s="509"/>
      <c r="T23" s="509"/>
    </row>
    <row r="24" spans="1:20" s="130" customFormat="1" ht="20.25" customHeight="1">
      <c r="A24" s="204"/>
      <c r="B24" s="205"/>
      <c r="C24" s="205" t="s">
        <v>853</v>
      </c>
      <c r="D24" s="916"/>
      <c r="E24" s="207">
        <f>138.71+9.39-63.74*0.14*0.5-14.5*0.14*0.5-13*1*1*0.5-38.5</f>
        <v>97.62320000000003</v>
      </c>
      <c r="F24" s="335"/>
      <c r="G24" s="335"/>
      <c r="H24" s="335"/>
      <c r="I24" s="336"/>
      <c r="J24" s="337"/>
      <c r="K24" s="672"/>
      <c r="L24" s="672"/>
      <c r="M24" s="672"/>
      <c r="N24" s="672"/>
      <c r="O24" s="672"/>
      <c r="P24" s="672"/>
      <c r="Q24" s="673"/>
      <c r="R24" s="508"/>
      <c r="S24" s="508"/>
      <c r="T24" s="508"/>
    </row>
    <row r="25" spans="1:20" s="22" customFormat="1" ht="17.25" customHeight="1">
      <c r="A25" s="196" t="s">
        <v>1719</v>
      </c>
      <c r="B25" s="197" t="s">
        <v>1726</v>
      </c>
      <c r="C25" s="199" t="s">
        <v>1727</v>
      </c>
      <c r="D25" s="965"/>
      <c r="E25" s="198" t="s">
        <v>1709</v>
      </c>
      <c r="F25" s="332">
        <f>E20+E22-E24</f>
        <v>50.47959999999998</v>
      </c>
      <c r="G25" s="332"/>
      <c r="H25" s="332">
        <f t="shared" si="0"/>
        <v>0</v>
      </c>
      <c r="I25" s="333">
        <v>0</v>
      </c>
      <c r="J25" s="334">
        <f t="shared" si="1"/>
        <v>0</v>
      </c>
      <c r="K25" s="693"/>
      <c r="L25" s="693"/>
      <c r="M25" s="693"/>
      <c r="N25" s="693"/>
      <c r="O25" s="693"/>
      <c r="P25" s="693"/>
      <c r="Q25" s="694"/>
      <c r="R25" s="509"/>
      <c r="S25" s="509"/>
      <c r="T25" s="509"/>
    </row>
    <row r="26" spans="1:20" s="22" customFormat="1" ht="17.25" customHeight="1">
      <c r="A26" s="196" t="s">
        <v>1722</v>
      </c>
      <c r="B26" s="197" t="s">
        <v>1729</v>
      </c>
      <c r="C26" s="199" t="s">
        <v>1730</v>
      </c>
      <c r="D26" s="965"/>
      <c r="E26" s="198" t="s">
        <v>1709</v>
      </c>
      <c r="F26" s="332">
        <f>F25</f>
        <v>50.47959999999998</v>
      </c>
      <c r="G26" s="332"/>
      <c r="H26" s="332">
        <f t="shared" si="0"/>
        <v>0</v>
      </c>
      <c r="I26" s="333">
        <v>0</v>
      </c>
      <c r="J26" s="334">
        <f t="shared" si="1"/>
        <v>0</v>
      </c>
      <c r="K26" s="693"/>
      <c r="L26" s="693"/>
      <c r="M26" s="693"/>
      <c r="N26" s="693"/>
      <c r="O26" s="693"/>
      <c r="P26" s="693"/>
      <c r="Q26" s="694"/>
      <c r="R26" s="509"/>
      <c r="S26" s="509"/>
      <c r="T26" s="509"/>
    </row>
    <row r="27" spans="1:20" s="22" customFormat="1" ht="17.25" customHeight="1" thickBot="1">
      <c r="A27" s="255" t="s">
        <v>1725</v>
      </c>
      <c r="B27" s="256" t="s">
        <v>1732</v>
      </c>
      <c r="C27" s="264" t="s">
        <v>1733</v>
      </c>
      <c r="D27" s="966"/>
      <c r="E27" s="257" t="s">
        <v>1709</v>
      </c>
      <c r="F27" s="368">
        <v>38.5</v>
      </c>
      <c r="G27" s="368"/>
      <c r="H27" s="368">
        <f t="shared" si="0"/>
        <v>0</v>
      </c>
      <c r="I27" s="369">
        <v>1.9205</v>
      </c>
      <c r="J27" s="370">
        <f t="shared" si="1"/>
        <v>73.93925</v>
      </c>
      <c r="K27" s="693"/>
      <c r="L27" s="693"/>
      <c r="M27" s="693"/>
      <c r="N27" s="693"/>
      <c r="O27" s="693"/>
      <c r="P27" s="693"/>
      <c r="Q27" s="694"/>
      <c r="R27" s="509"/>
      <c r="S27" s="509"/>
      <c r="T27" s="509"/>
    </row>
    <row r="28" spans="1:20" ht="16.5" customHeight="1" thickBot="1">
      <c r="A28" s="266" t="s">
        <v>1743</v>
      </c>
      <c r="B28" s="175" t="s">
        <v>1744</v>
      </c>
      <c r="C28" s="176" t="s">
        <v>1745</v>
      </c>
      <c r="D28" s="1007" t="s">
        <v>2824</v>
      </c>
      <c r="E28" s="175"/>
      <c r="F28" s="341"/>
      <c r="G28" s="341"/>
      <c r="H28" s="342">
        <f>SUM(H29:H39)</f>
        <v>0</v>
      </c>
      <c r="I28" s="343"/>
      <c r="J28" s="344">
        <f>SUM(J29:J39)</f>
        <v>13.39768701</v>
      </c>
      <c r="K28" s="670"/>
      <c r="L28" s="670"/>
      <c r="M28" s="670"/>
      <c r="N28" s="670"/>
      <c r="O28" s="670"/>
      <c r="P28" s="670"/>
      <c r="Q28" s="670"/>
      <c r="R28" s="670"/>
      <c r="S28" s="670"/>
      <c r="T28" s="670"/>
    </row>
    <row r="29" spans="1:20" s="22" customFormat="1" ht="17.25" customHeight="1">
      <c r="A29" s="190"/>
      <c r="B29" s="191"/>
      <c r="C29" s="191"/>
      <c r="D29" s="964"/>
      <c r="E29" s="192"/>
      <c r="F29" s="345"/>
      <c r="G29" s="345"/>
      <c r="H29" s="345"/>
      <c r="I29" s="346"/>
      <c r="J29" s="347"/>
      <c r="K29" s="693"/>
      <c r="L29" s="693"/>
      <c r="M29" s="693"/>
      <c r="N29" s="693"/>
      <c r="O29" s="693"/>
      <c r="P29" s="693"/>
      <c r="Q29" s="694"/>
      <c r="R29" s="509"/>
      <c r="S29" s="509"/>
      <c r="T29" s="509"/>
    </row>
    <row r="30" spans="1:20" s="22" customFormat="1" ht="17.25" customHeight="1">
      <c r="A30" s="196" t="s">
        <v>1734</v>
      </c>
      <c r="B30" s="197" t="s">
        <v>1762</v>
      </c>
      <c r="C30" s="197" t="s">
        <v>1763</v>
      </c>
      <c r="D30" s="917" t="s">
        <v>2776</v>
      </c>
      <c r="E30" s="198" t="s">
        <v>1748</v>
      </c>
      <c r="F30" s="332">
        <f>0.7*1.4</f>
        <v>0.9799999999999999</v>
      </c>
      <c r="G30" s="332"/>
      <c r="H30" s="332">
        <f>F30*G30</f>
        <v>0</v>
      </c>
      <c r="I30" s="333">
        <v>0.58567</v>
      </c>
      <c r="J30" s="334">
        <f>F30*I30</f>
        <v>0.5739565999999999</v>
      </c>
      <c r="K30" s="509"/>
      <c r="L30" s="509"/>
      <c r="M30" s="509"/>
      <c r="N30" s="509"/>
      <c r="O30" s="509"/>
      <c r="P30" s="509"/>
      <c r="Q30" s="509"/>
      <c r="R30" s="509"/>
      <c r="S30" s="509"/>
      <c r="T30" s="509"/>
    </row>
    <row r="31" spans="1:24" s="145" customFormat="1" ht="21.75" customHeight="1">
      <c r="A31" s="196" t="s">
        <v>1753</v>
      </c>
      <c r="B31" s="285" t="s">
        <v>1746</v>
      </c>
      <c r="C31" s="286" t="s">
        <v>1747</v>
      </c>
      <c r="D31" s="917" t="s">
        <v>2776</v>
      </c>
      <c r="E31" s="287" t="s">
        <v>1748</v>
      </c>
      <c r="F31" s="387">
        <f>SUM(E32:E32)</f>
        <v>53.062</v>
      </c>
      <c r="G31" s="332"/>
      <c r="H31" s="387">
        <f>F31*G31</f>
        <v>0</v>
      </c>
      <c r="I31" s="388">
        <v>0.03279</v>
      </c>
      <c r="J31" s="778">
        <f>F31*I31</f>
        <v>1.7399029799999999</v>
      </c>
      <c r="K31" s="143"/>
      <c r="L31" s="143"/>
      <c r="M31" s="143"/>
      <c r="N31" s="144"/>
      <c r="O31" s="144"/>
      <c r="P31" s="144"/>
      <c r="Q31" s="144"/>
      <c r="R31" s="144"/>
      <c r="S31" s="144"/>
      <c r="T31" s="144"/>
      <c r="U31" s="288"/>
      <c r="V31" s="288"/>
      <c r="W31" s="288"/>
      <c r="X31" s="288"/>
    </row>
    <row r="32" spans="1:24" s="211" customFormat="1" ht="21.75" customHeight="1">
      <c r="A32" s="223"/>
      <c r="B32" s="224" t="s">
        <v>1749</v>
      </c>
      <c r="C32" s="205" t="s">
        <v>854</v>
      </c>
      <c r="D32" s="970"/>
      <c r="E32" s="220">
        <f>(30.59)*0.8+(33.15+14.5)*0.6</f>
        <v>53.062</v>
      </c>
      <c r="F32" s="225"/>
      <c r="G32" s="335"/>
      <c r="H32" s="225"/>
      <c r="I32" s="348"/>
      <c r="J32" s="349"/>
      <c r="K32" s="675"/>
      <c r="L32" s="675"/>
      <c r="M32" s="675"/>
      <c r="N32" s="675"/>
      <c r="O32" s="676"/>
      <c r="P32" s="676"/>
      <c r="Q32" s="676"/>
      <c r="R32" s="676"/>
      <c r="S32" s="515"/>
      <c r="T32" s="515"/>
      <c r="U32" s="210"/>
      <c r="V32" s="210"/>
      <c r="W32" s="210"/>
      <c r="X32" s="210"/>
    </row>
    <row r="33" spans="1:24" s="145" customFormat="1" ht="27.75" customHeight="1">
      <c r="A33" s="196" t="s">
        <v>1758</v>
      </c>
      <c r="B33" s="285" t="s">
        <v>1754</v>
      </c>
      <c r="C33" s="286" t="s">
        <v>1755</v>
      </c>
      <c r="D33" s="917" t="s">
        <v>2776</v>
      </c>
      <c r="E33" s="287" t="s">
        <v>1748</v>
      </c>
      <c r="F33" s="387">
        <f>SUM(E34)</f>
        <v>13.2655</v>
      </c>
      <c r="G33" s="332"/>
      <c r="H33" s="387">
        <f>F33*G33</f>
        <v>0</v>
      </c>
      <c r="I33" s="388">
        <v>0.05306</v>
      </c>
      <c r="J33" s="778">
        <f>F33*I33</f>
        <v>0.70386743</v>
      </c>
      <c r="K33" s="143"/>
      <c r="L33" s="143"/>
      <c r="M33" s="143"/>
      <c r="N33" s="144"/>
      <c r="O33" s="144"/>
      <c r="P33" s="144"/>
      <c r="Q33" s="144"/>
      <c r="R33" s="144"/>
      <c r="S33" s="144"/>
      <c r="T33" s="144"/>
      <c r="U33" s="288"/>
      <c r="V33" s="288"/>
      <c r="W33" s="288"/>
      <c r="X33" s="288"/>
    </row>
    <row r="34" spans="1:24" s="211" customFormat="1" ht="21.75" customHeight="1">
      <c r="A34" s="223"/>
      <c r="B34" s="224" t="s">
        <v>1749</v>
      </c>
      <c r="C34" s="205" t="s">
        <v>855</v>
      </c>
      <c r="D34" s="970"/>
      <c r="E34" s="220">
        <f>((30.59)*0.8+(33.15+14.5)*0.6)*0.25</f>
        <v>13.2655</v>
      </c>
      <c r="F34" s="225"/>
      <c r="G34" s="674"/>
      <c r="H34" s="225"/>
      <c r="I34" s="348"/>
      <c r="J34" s="349"/>
      <c r="K34" s="675"/>
      <c r="L34" s="675"/>
      <c r="M34" s="675"/>
      <c r="N34" s="675"/>
      <c r="O34" s="676"/>
      <c r="P34" s="676"/>
      <c r="Q34" s="676"/>
      <c r="R34" s="676"/>
      <c r="S34" s="515"/>
      <c r="T34" s="515"/>
      <c r="U34" s="210"/>
      <c r="V34" s="210"/>
      <c r="W34" s="210"/>
      <c r="X34" s="210"/>
    </row>
    <row r="35" spans="1:24" s="145" customFormat="1" ht="16.5" customHeight="1">
      <c r="A35" s="196" t="s">
        <v>1764</v>
      </c>
      <c r="B35" s="285" t="s">
        <v>856</v>
      </c>
      <c r="C35" s="286" t="s">
        <v>857</v>
      </c>
      <c r="D35" s="917" t="s">
        <v>2776</v>
      </c>
      <c r="E35" s="287" t="s">
        <v>1709</v>
      </c>
      <c r="F35" s="332">
        <f>E36</f>
        <v>1.92</v>
      </c>
      <c r="G35" s="387"/>
      <c r="H35" s="387">
        <f>F35*G35</f>
        <v>0</v>
      </c>
      <c r="I35" s="388">
        <v>2.525</v>
      </c>
      <c r="J35" s="778">
        <f>F35*I35</f>
        <v>4.848</v>
      </c>
      <c r="K35" s="143"/>
      <c r="L35" s="143"/>
      <c r="M35" s="143"/>
      <c r="N35" s="144"/>
      <c r="O35" s="144"/>
      <c r="P35" s="144"/>
      <c r="Q35" s="144"/>
      <c r="R35" s="144"/>
      <c r="S35" s="144"/>
      <c r="T35" s="144"/>
      <c r="U35" s="288"/>
      <c r="V35" s="288"/>
      <c r="W35" s="288"/>
      <c r="X35" s="288"/>
    </row>
    <row r="36" spans="1:24" s="211" customFormat="1" ht="16.5" customHeight="1">
      <c r="A36" s="223"/>
      <c r="B36" s="224" t="s">
        <v>858</v>
      </c>
      <c r="C36" s="205" t="s">
        <v>859</v>
      </c>
      <c r="D36" s="970"/>
      <c r="E36" s="220">
        <f>0.8*2*1.2</f>
        <v>1.92</v>
      </c>
      <c r="F36" s="225"/>
      <c r="G36" s="674"/>
      <c r="H36" s="225"/>
      <c r="I36" s="348"/>
      <c r="J36" s="349"/>
      <c r="K36" s="675"/>
      <c r="L36" s="675"/>
      <c r="M36" s="675"/>
      <c r="N36" s="675"/>
      <c r="O36" s="676"/>
      <c r="P36" s="676"/>
      <c r="Q36" s="676"/>
      <c r="R36" s="676"/>
      <c r="S36" s="515"/>
      <c r="T36" s="515"/>
      <c r="U36" s="210"/>
      <c r="V36" s="210"/>
      <c r="W36" s="210"/>
      <c r="X36" s="210"/>
    </row>
    <row r="37" spans="1:20" s="22" customFormat="1" ht="17.25" customHeight="1">
      <c r="A37" s="196" t="s">
        <v>1737</v>
      </c>
      <c r="B37" s="197" t="s">
        <v>860</v>
      </c>
      <c r="C37" s="197" t="s">
        <v>861</v>
      </c>
      <c r="D37" s="917" t="s">
        <v>2777</v>
      </c>
      <c r="E37" s="198" t="s">
        <v>1748</v>
      </c>
      <c r="F37" s="332">
        <f>E38</f>
        <v>6</v>
      </c>
      <c r="G37" s="332"/>
      <c r="H37" s="332">
        <f>F37*G37</f>
        <v>0</v>
      </c>
      <c r="I37" s="333">
        <v>0.89957</v>
      </c>
      <c r="J37" s="334">
        <f>F37*I37</f>
        <v>5.39742</v>
      </c>
      <c r="K37" s="693"/>
      <c r="L37" s="693"/>
      <c r="M37" s="693"/>
      <c r="N37" s="693"/>
      <c r="O37" s="693"/>
      <c r="P37" s="693"/>
      <c r="Q37" s="694"/>
      <c r="R37" s="509"/>
      <c r="S37" s="509"/>
      <c r="T37" s="509"/>
    </row>
    <row r="38" spans="1:24" s="211" customFormat="1" ht="17.25" customHeight="1">
      <c r="A38" s="223"/>
      <c r="B38" s="224" t="s">
        <v>858</v>
      </c>
      <c r="C38" s="205" t="s">
        <v>862</v>
      </c>
      <c r="D38" s="970"/>
      <c r="E38" s="220">
        <f>2*3</f>
        <v>6</v>
      </c>
      <c r="F38" s="225"/>
      <c r="G38" s="674"/>
      <c r="H38" s="225"/>
      <c r="I38" s="348"/>
      <c r="J38" s="349"/>
      <c r="K38" s="675"/>
      <c r="L38" s="675"/>
      <c r="M38" s="675"/>
      <c r="N38" s="675"/>
      <c r="O38" s="676"/>
      <c r="P38" s="676"/>
      <c r="Q38" s="676"/>
      <c r="R38" s="676"/>
      <c r="S38" s="515"/>
      <c r="T38" s="515"/>
      <c r="U38" s="210"/>
      <c r="V38" s="210"/>
      <c r="W38" s="210"/>
      <c r="X38" s="210"/>
    </row>
    <row r="39" spans="1:20" s="22" customFormat="1" ht="15" customHeight="1" thickBot="1">
      <c r="A39" s="255" t="s">
        <v>1740</v>
      </c>
      <c r="B39" s="256" t="s">
        <v>1833</v>
      </c>
      <c r="C39" s="256" t="s">
        <v>1834</v>
      </c>
      <c r="D39" s="968" t="s">
        <v>2777</v>
      </c>
      <c r="E39" s="257" t="s">
        <v>1826</v>
      </c>
      <c r="F39" s="368">
        <v>2</v>
      </c>
      <c r="G39" s="368"/>
      <c r="H39" s="368">
        <f>F39*G39</f>
        <v>0</v>
      </c>
      <c r="I39" s="369">
        <v>0.06727</v>
      </c>
      <c r="J39" s="370">
        <f>F39*I39</f>
        <v>0.13454</v>
      </c>
      <c r="K39" s="693"/>
      <c r="L39" s="693"/>
      <c r="M39" s="693"/>
      <c r="N39" s="693"/>
      <c r="O39" s="693"/>
      <c r="P39" s="693"/>
      <c r="Q39" s="694"/>
      <c r="R39" s="509"/>
      <c r="S39" s="509"/>
      <c r="T39" s="509"/>
    </row>
    <row r="40" spans="1:20" ht="16.5" customHeight="1" thickBot="1">
      <c r="A40" s="266" t="s">
        <v>1801</v>
      </c>
      <c r="B40" s="175" t="s">
        <v>1802</v>
      </c>
      <c r="C40" s="176" t="s">
        <v>1803</v>
      </c>
      <c r="D40" s="1007" t="s">
        <v>2781</v>
      </c>
      <c r="E40" s="175"/>
      <c r="F40" s="341"/>
      <c r="G40" s="341"/>
      <c r="H40" s="342">
        <f>SUM(H41:H42)</f>
        <v>0</v>
      </c>
      <c r="I40" s="343"/>
      <c r="J40" s="344">
        <f>SUM(J41:J42)</f>
        <v>1.3963800000000002</v>
      </c>
      <c r="K40" s="670"/>
      <c r="L40" s="670"/>
      <c r="M40" s="670"/>
      <c r="N40" s="670"/>
      <c r="O40" s="670"/>
      <c r="P40" s="670"/>
      <c r="Q40" s="670"/>
      <c r="R40" s="670"/>
      <c r="S40" s="670"/>
      <c r="T40" s="670"/>
    </row>
    <row r="41" spans="1:20" s="22" customFormat="1" ht="18.75" customHeight="1">
      <c r="A41" s="190" t="s">
        <v>1804</v>
      </c>
      <c r="B41" s="191" t="s">
        <v>863</v>
      </c>
      <c r="C41" s="191" t="s">
        <v>864</v>
      </c>
      <c r="D41" s="964" t="s">
        <v>2781</v>
      </c>
      <c r="E41" s="192" t="s">
        <v>1748</v>
      </c>
      <c r="F41" s="345">
        <f>E42</f>
        <v>102</v>
      </c>
      <c r="G41" s="345"/>
      <c r="H41" s="345">
        <f>F41*G41</f>
        <v>0</v>
      </c>
      <c r="I41" s="346">
        <v>0.01369</v>
      </c>
      <c r="J41" s="347">
        <f>F41*I41</f>
        <v>1.3963800000000002</v>
      </c>
      <c r="K41" s="693"/>
      <c r="L41" s="693"/>
      <c r="M41" s="693"/>
      <c r="N41" s="693"/>
      <c r="O41" s="693"/>
      <c r="P41" s="693"/>
      <c r="Q41" s="694"/>
      <c r="R41" s="509"/>
      <c r="S41" s="509"/>
      <c r="T41" s="509"/>
    </row>
    <row r="42" spans="1:24" s="211" customFormat="1" ht="21.75" customHeight="1" thickBot="1">
      <c r="A42" s="312"/>
      <c r="B42" s="313" t="s">
        <v>865</v>
      </c>
      <c r="C42" s="242" t="s">
        <v>866</v>
      </c>
      <c r="D42" s="989"/>
      <c r="E42" s="314">
        <f>45.4+56.6</f>
        <v>102</v>
      </c>
      <c r="F42" s="315"/>
      <c r="G42" s="779"/>
      <c r="H42" s="315"/>
      <c r="I42" s="414"/>
      <c r="J42" s="415"/>
      <c r="K42" s="675"/>
      <c r="L42" s="675"/>
      <c r="M42" s="675"/>
      <c r="N42" s="675"/>
      <c r="O42" s="676"/>
      <c r="P42" s="676"/>
      <c r="Q42" s="676"/>
      <c r="R42" s="676"/>
      <c r="S42" s="515"/>
      <c r="T42" s="515"/>
      <c r="U42" s="210"/>
      <c r="V42" s="210"/>
      <c r="W42" s="210"/>
      <c r="X42" s="210"/>
    </row>
    <row r="43" spans="1:20" ht="16.5" customHeight="1" thickBot="1">
      <c r="A43" s="266" t="s">
        <v>1809</v>
      </c>
      <c r="B43" s="175" t="s">
        <v>1810</v>
      </c>
      <c r="C43" s="176" t="s">
        <v>1811</v>
      </c>
      <c r="D43" s="1008"/>
      <c r="E43" s="175"/>
      <c r="F43" s="341"/>
      <c r="G43" s="341"/>
      <c r="H43" s="342">
        <f>SUM(H44:H44)</f>
        <v>0</v>
      </c>
      <c r="I43" s="343"/>
      <c r="J43" s="344">
        <f>SUM(J44:J44)</f>
        <v>0</v>
      </c>
      <c r="K43" s="670"/>
      <c r="L43" s="670"/>
      <c r="M43" s="670"/>
      <c r="N43" s="670"/>
      <c r="O43" s="670"/>
      <c r="P43" s="670"/>
      <c r="Q43" s="670"/>
      <c r="R43" s="670"/>
      <c r="S43" s="670"/>
      <c r="T43" s="670"/>
    </row>
    <row r="44" spans="1:20" s="22" customFormat="1" ht="15" customHeight="1" thickBot="1">
      <c r="A44" s="1185"/>
      <c r="B44" s="1186"/>
      <c r="C44" s="1186"/>
      <c r="D44" s="1184"/>
      <c r="E44" s="1187"/>
      <c r="F44" s="1188"/>
      <c r="G44" s="1188"/>
      <c r="H44" s="1188"/>
      <c r="I44" s="1189"/>
      <c r="J44" s="1190"/>
      <c r="K44" s="693"/>
      <c r="L44" s="693"/>
      <c r="M44" s="693"/>
      <c r="N44" s="693"/>
      <c r="O44" s="693"/>
      <c r="P44" s="693"/>
      <c r="Q44" s="694"/>
      <c r="R44" s="509"/>
      <c r="S44" s="509"/>
      <c r="T44" s="509"/>
    </row>
    <row r="45" spans="1:20" ht="16.5" customHeight="1" thickBot="1">
      <c r="A45" s="266" t="s">
        <v>1846</v>
      </c>
      <c r="B45" s="175" t="s">
        <v>1628</v>
      </c>
      <c r="C45" s="176" t="s">
        <v>1847</v>
      </c>
      <c r="D45" s="1007" t="s">
        <v>2777</v>
      </c>
      <c r="E45" s="175"/>
      <c r="F45" s="341"/>
      <c r="G45" s="341"/>
      <c r="H45" s="342">
        <f>SUM(H46:H58)</f>
        <v>0</v>
      </c>
      <c r="I45" s="343"/>
      <c r="J45" s="344">
        <f>SUM(J46:J58)</f>
        <v>87.73342</v>
      </c>
      <c r="K45" s="670"/>
      <c r="L45" s="670"/>
      <c r="M45" s="670"/>
      <c r="N45" s="670"/>
      <c r="O45" s="670"/>
      <c r="P45" s="670"/>
      <c r="Q45" s="670"/>
      <c r="R45" s="670"/>
      <c r="S45" s="670"/>
      <c r="T45" s="670"/>
    </row>
    <row r="46" spans="1:20" s="22" customFormat="1" ht="16.5" customHeight="1">
      <c r="A46" s="190" t="s">
        <v>1848</v>
      </c>
      <c r="B46" s="191" t="s">
        <v>1849</v>
      </c>
      <c r="C46" s="191" t="s">
        <v>1850</v>
      </c>
      <c r="D46" s="964" t="s">
        <v>2777</v>
      </c>
      <c r="E46" s="192" t="s">
        <v>1748</v>
      </c>
      <c r="F46" s="345">
        <f>F47*1.15+0.04</f>
        <v>34.99999999999999</v>
      </c>
      <c r="G46" s="345"/>
      <c r="H46" s="345">
        <f aca="true" t="shared" si="2" ref="H46:H57">F46*G46</f>
        <v>0</v>
      </c>
      <c r="I46" s="346">
        <v>0.0005</v>
      </c>
      <c r="J46" s="347">
        <f aca="true" t="shared" si="3" ref="J46:J57">F46*I46</f>
        <v>0.017499999999999998</v>
      </c>
      <c r="K46" s="693"/>
      <c r="L46" s="693"/>
      <c r="M46" s="693"/>
      <c r="N46" s="693"/>
      <c r="O46" s="693"/>
      <c r="P46" s="693"/>
      <c r="Q46" s="694"/>
      <c r="R46" s="509"/>
      <c r="S46" s="509"/>
      <c r="T46" s="509"/>
    </row>
    <row r="47" spans="1:20" s="22" customFormat="1" ht="16.5" customHeight="1">
      <c r="A47" s="196" t="s">
        <v>1851</v>
      </c>
      <c r="B47" s="197" t="s">
        <v>1813</v>
      </c>
      <c r="C47" s="197" t="s">
        <v>867</v>
      </c>
      <c r="D47" s="917" t="s">
        <v>2777</v>
      </c>
      <c r="E47" s="198" t="s">
        <v>1748</v>
      </c>
      <c r="F47" s="332">
        <f>E48</f>
        <v>30.4</v>
      </c>
      <c r="G47" s="332"/>
      <c r="H47" s="332">
        <f t="shared" si="2"/>
        <v>0</v>
      </c>
      <c r="I47" s="333">
        <v>0.25094</v>
      </c>
      <c r="J47" s="334">
        <f t="shared" si="3"/>
        <v>7.628576</v>
      </c>
      <c r="K47" s="693"/>
      <c r="L47" s="693"/>
      <c r="M47" s="693"/>
      <c r="N47" s="693"/>
      <c r="O47" s="693"/>
      <c r="P47" s="693"/>
      <c r="Q47" s="694"/>
      <c r="R47" s="509"/>
      <c r="S47" s="509"/>
      <c r="T47" s="509"/>
    </row>
    <row r="48" spans="1:24" s="211" customFormat="1" ht="21.75" customHeight="1">
      <c r="A48" s="223"/>
      <c r="B48" s="224"/>
      <c r="C48" s="205" t="s">
        <v>868</v>
      </c>
      <c r="D48" s="970"/>
      <c r="E48" s="220">
        <f>33*0.5+27.8*0.5</f>
        <v>30.4</v>
      </c>
      <c r="F48" s="225"/>
      <c r="G48" s="674"/>
      <c r="H48" s="225"/>
      <c r="I48" s="348"/>
      <c r="J48" s="349"/>
      <c r="K48" s="675"/>
      <c r="L48" s="675"/>
      <c r="M48" s="675"/>
      <c r="N48" s="675"/>
      <c r="O48" s="676"/>
      <c r="P48" s="676"/>
      <c r="Q48" s="676"/>
      <c r="R48" s="676"/>
      <c r="S48" s="515"/>
      <c r="T48" s="515"/>
      <c r="U48" s="210"/>
      <c r="V48" s="210"/>
      <c r="W48" s="210"/>
      <c r="X48" s="210"/>
    </row>
    <row r="49" spans="1:20" s="22" customFormat="1" ht="16.5" customHeight="1">
      <c r="A49" s="196" t="s">
        <v>1852</v>
      </c>
      <c r="B49" s="197" t="s">
        <v>869</v>
      </c>
      <c r="C49" s="197" t="s">
        <v>870</v>
      </c>
      <c r="D49" s="917" t="s">
        <v>2777</v>
      </c>
      <c r="E49" s="198" t="s">
        <v>1748</v>
      </c>
      <c r="F49" s="332">
        <f>E50</f>
        <v>30.4</v>
      </c>
      <c r="G49" s="332"/>
      <c r="H49" s="332">
        <f t="shared" si="2"/>
        <v>0</v>
      </c>
      <c r="I49" s="333">
        <v>0.4765</v>
      </c>
      <c r="J49" s="334">
        <f t="shared" si="3"/>
        <v>14.485599999999998</v>
      </c>
      <c r="K49" s="693"/>
      <c r="L49" s="693"/>
      <c r="M49" s="693"/>
      <c r="N49" s="693"/>
      <c r="O49" s="693"/>
      <c r="P49" s="693"/>
      <c r="Q49" s="694"/>
      <c r="R49" s="509"/>
      <c r="S49" s="509"/>
      <c r="T49" s="509"/>
    </row>
    <row r="50" spans="1:24" s="211" customFormat="1" ht="21.75" customHeight="1">
      <c r="A50" s="223"/>
      <c r="B50" s="224"/>
      <c r="C50" s="205" t="s">
        <v>868</v>
      </c>
      <c r="D50" s="970"/>
      <c r="E50" s="220">
        <f>33*0.5+27.8*0.5</f>
        <v>30.4</v>
      </c>
      <c r="F50" s="225"/>
      <c r="G50" s="674"/>
      <c r="H50" s="225"/>
      <c r="I50" s="348"/>
      <c r="J50" s="349"/>
      <c r="K50" s="675"/>
      <c r="L50" s="675"/>
      <c r="M50" s="675"/>
      <c r="N50" s="675"/>
      <c r="O50" s="676"/>
      <c r="P50" s="676"/>
      <c r="Q50" s="676"/>
      <c r="R50" s="676"/>
      <c r="S50" s="515"/>
      <c r="T50" s="515"/>
      <c r="U50" s="210"/>
      <c r="V50" s="210"/>
      <c r="W50" s="210"/>
      <c r="X50" s="210"/>
    </row>
    <row r="51" spans="1:21" s="1034" customFormat="1" ht="15.75" customHeight="1">
      <c r="A51" s="1023" t="s">
        <v>2884</v>
      </c>
      <c r="B51" s="1024" t="s">
        <v>2879</v>
      </c>
      <c r="C51" s="1024" t="s">
        <v>2880</v>
      </c>
      <c r="D51" s="1049"/>
      <c r="E51" s="1027" t="s">
        <v>1748</v>
      </c>
      <c r="F51" s="1028">
        <f>F55</f>
        <v>111.1</v>
      </c>
      <c r="G51" s="1028"/>
      <c r="H51" s="1028">
        <f>F51*G51</f>
        <v>0</v>
      </c>
      <c r="I51" s="1029">
        <v>0</v>
      </c>
      <c r="J51" s="1030">
        <f>F51*I51</f>
        <v>0</v>
      </c>
      <c r="K51" s="1031"/>
      <c r="L51" s="1031"/>
      <c r="M51" s="1031"/>
      <c r="N51" s="1031"/>
      <c r="O51" s="1031"/>
      <c r="P51" s="1031"/>
      <c r="Q51" s="1032"/>
      <c r="R51" s="1033"/>
      <c r="S51" s="1033"/>
      <c r="T51" s="1033"/>
      <c r="U51" s="1033"/>
    </row>
    <row r="52" spans="1:20" s="22" customFormat="1" ht="16.5" customHeight="1">
      <c r="A52" s="196" t="s">
        <v>1857</v>
      </c>
      <c r="B52" s="197" t="s">
        <v>1860</v>
      </c>
      <c r="C52" s="197" t="s">
        <v>1861</v>
      </c>
      <c r="D52" s="917" t="s">
        <v>2777</v>
      </c>
      <c r="E52" s="198" t="s">
        <v>1748</v>
      </c>
      <c r="F52" s="332">
        <f>F55</f>
        <v>111.1</v>
      </c>
      <c r="G52" s="332"/>
      <c r="H52" s="332">
        <f t="shared" si="2"/>
        <v>0</v>
      </c>
      <c r="I52" s="333">
        <v>0.27994</v>
      </c>
      <c r="J52" s="334">
        <f t="shared" si="3"/>
        <v>31.101334</v>
      </c>
      <c r="K52" s="693"/>
      <c r="L52" s="693"/>
      <c r="M52" s="693"/>
      <c r="N52" s="693"/>
      <c r="O52" s="693"/>
      <c r="P52" s="693"/>
      <c r="Q52" s="694"/>
      <c r="R52" s="509"/>
      <c r="S52" s="509"/>
      <c r="T52" s="509"/>
    </row>
    <row r="53" spans="1:20" s="22" customFormat="1" ht="30" customHeight="1">
      <c r="A53" s="196" t="s">
        <v>1864</v>
      </c>
      <c r="B53" s="197" t="s">
        <v>1871</v>
      </c>
      <c r="C53" s="683" t="s">
        <v>1872</v>
      </c>
      <c r="D53" s="917" t="s">
        <v>2777</v>
      </c>
      <c r="E53" s="198" t="s">
        <v>1826</v>
      </c>
      <c r="F53" s="332">
        <f>E54</f>
        <v>92</v>
      </c>
      <c r="G53" s="332"/>
      <c r="H53" s="332">
        <f>F53*G53</f>
        <v>0</v>
      </c>
      <c r="I53" s="333">
        <v>0.11693</v>
      </c>
      <c r="J53" s="334">
        <f>F53*I53</f>
        <v>10.75756</v>
      </c>
      <c r="K53" s="509"/>
      <c r="L53" s="509"/>
      <c r="M53" s="509"/>
      <c r="N53" s="509"/>
      <c r="O53" s="509"/>
      <c r="P53" s="509"/>
      <c r="Q53" s="509"/>
      <c r="R53" s="509"/>
      <c r="S53" s="509"/>
      <c r="T53" s="509"/>
    </row>
    <row r="54" spans="1:24" s="211" customFormat="1" ht="21.75" customHeight="1">
      <c r="A54" s="223"/>
      <c r="B54" s="224"/>
      <c r="C54" s="205" t="s">
        <v>871</v>
      </c>
      <c r="D54" s="970"/>
      <c r="E54" s="220">
        <f>1.2*2*4+1.5*4+76.4</f>
        <v>92</v>
      </c>
      <c r="F54" s="225"/>
      <c r="G54" s="674"/>
      <c r="H54" s="225"/>
      <c r="I54" s="348"/>
      <c r="J54" s="349"/>
      <c r="K54" s="675"/>
      <c r="L54" s="675"/>
      <c r="M54" s="675"/>
      <c r="N54" s="675"/>
      <c r="O54" s="676"/>
      <c r="P54" s="676"/>
      <c r="Q54" s="676"/>
      <c r="R54" s="676"/>
      <c r="S54" s="515"/>
      <c r="T54" s="515"/>
      <c r="U54" s="210"/>
      <c r="V54" s="210"/>
      <c r="W54" s="210"/>
      <c r="X54" s="210"/>
    </row>
    <row r="55" spans="1:20" s="22" customFormat="1" ht="16.5" customHeight="1">
      <c r="A55" s="196" t="s">
        <v>1865</v>
      </c>
      <c r="B55" s="1106" t="s">
        <v>2886</v>
      </c>
      <c r="C55" s="1106" t="s">
        <v>2887</v>
      </c>
      <c r="D55" s="917" t="s">
        <v>2777</v>
      </c>
      <c r="E55" s="198" t="s">
        <v>1748</v>
      </c>
      <c r="F55" s="332">
        <f>E56</f>
        <v>111.1</v>
      </c>
      <c r="G55" s="332"/>
      <c r="H55" s="332">
        <f t="shared" si="2"/>
        <v>0</v>
      </c>
      <c r="I55" s="333">
        <v>0.0739</v>
      </c>
      <c r="J55" s="334">
        <f t="shared" si="3"/>
        <v>8.210289999999999</v>
      </c>
      <c r="K55" s="693"/>
      <c r="L55" s="693"/>
      <c r="M55" s="693"/>
      <c r="N55" s="693"/>
      <c r="O55" s="693"/>
      <c r="P55" s="693"/>
      <c r="Q55" s="694"/>
      <c r="R55" s="509"/>
      <c r="S55" s="509"/>
      <c r="T55" s="509"/>
    </row>
    <row r="56" spans="1:24" s="211" customFormat="1" ht="21.75" customHeight="1">
      <c r="A56" s="223"/>
      <c r="B56" s="224"/>
      <c r="C56" s="205" t="s">
        <v>872</v>
      </c>
      <c r="D56" s="970"/>
      <c r="E56" s="220">
        <f>117.5-6.4</f>
        <v>111.1</v>
      </c>
      <c r="F56" s="225"/>
      <c r="G56" s="674"/>
      <c r="H56" s="225"/>
      <c r="I56" s="348"/>
      <c r="J56" s="349"/>
      <c r="K56" s="675"/>
      <c r="L56" s="675"/>
      <c r="M56" s="675"/>
      <c r="N56" s="675"/>
      <c r="O56" s="676"/>
      <c r="P56" s="676"/>
      <c r="Q56" s="676"/>
      <c r="R56" s="676"/>
      <c r="S56" s="515"/>
      <c r="T56" s="515"/>
      <c r="U56" s="210"/>
      <c r="V56" s="210"/>
      <c r="W56" s="210"/>
      <c r="X56" s="210"/>
    </row>
    <row r="57" spans="1:20" s="22" customFormat="1" ht="16.5" customHeight="1">
      <c r="A57" s="196" t="s">
        <v>1870</v>
      </c>
      <c r="B57" s="197" t="s">
        <v>1866</v>
      </c>
      <c r="C57" s="197" t="s">
        <v>1867</v>
      </c>
      <c r="D57" s="917" t="s">
        <v>2777</v>
      </c>
      <c r="E57" s="198" t="s">
        <v>1748</v>
      </c>
      <c r="F57" s="332">
        <f>E58</f>
        <v>119.85000000000001</v>
      </c>
      <c r="G57" s="332"/>
      <c r="H57" s="332">
        <f t="shared" si="2"/>
        <v>0</v>
      </c>
      <c r="I57" s="333">
        <v>0.1296</v>
      </c>
      <c r="J57" s="334">
        <f t="shared" si="3"/>
        <v>15.53256</v>
      </c>
      <c r="K57" s="693"/>
      <c r="L57" s="693"/>
      <c r="M57" s="693"/>
      <c r="N57" s="693"/>
      <c r="O57" s="693"/>
      <c r="P57" s="693"/>
      <c r="Q57" s="694"/>
      <c r="R57" s="509"/>
      <c r="S57" s="509"/>
      <c r="T57" s="509"/>
    </row>
    <row r="58" spans="1:24" s="211" customFormat="1" ht="21.75" customHeight="1" thickBot="1">
      <c r="A58" s="312"/>
      <c r="B58" s="313"/>
      <c r="C58" s="242" t="s">
        <v>873</v>
      </c>
      <c r="D58" s="989"/>
      <c r="E58" s="314">
        <f>117.5*1.02</f>
        <v>119.85000000000001</v>
      </c>
      <c r="F58" s="315"/>
      <c r="G58" s="779"/>
      <c r="H58" s="315"/>
      <c r="I58" s="414"/>
      <c r="J58" s="415"/>
      <c r="K58" s="675"/>
      <c r="L58" s="675"/>
      <c r="M58" s="675"/>
      <c r="N58" s="675"/>
      <c r="O58" s="676"/>
      <c r="P58" s="676"/>
      <c r="Q58" s="676"/>
      <c r="R58" s="676"/>
      <c r="S58" s="515"/>
      <c r="T58" s="515"/>
      <c r="U58" s="210"/>
      <c r="V58" s="210"/>
      <c r="W58" s="210"/>
      <c r="X58" s="210"/>
    </row>
    <row r="59" spans="1:20" ht="16.5" customHeight="1" thickBot="1">
      <c r="A59" s="266" t="s">
        <v>1874</v>
      </c>
      <c r="B59" s="175" t="s">
        <v>1875</v>
      </c>
      <c r="C59" s="176" t="s">
        <v>1876</v>
      </c>
      <c r="D59" s="1007" t="s">
        <v>2781</v>
      </c>
      <c r="E59" s="175"/>
      <c r="F59" s="341"/>
      <c r="G59" s="341"/>
      <c r="H59" s="342">
        <f>SUM(H60:H66)</f>
        <v>0</v>
      </c>
      <c r="I59" s="343"/>
      <c r="J59" s="344">
        <f>SUM(J60:J66)</f>
        <v>3.6054078800000005</v>
      </c>
      <c r="K59" s="670"/>
      <c r="L59" s="670"/>
      <c r="M59" s="670"/>
      <c r="N59" s="670"/>
      <c r="O59" s="670"/>
      <c r="P59" s="670"/>
      <c r="Q59" s="670"/>
      <c r="R59" s="670"/>
      <c r="S59" s="670"/>
      <c r="T59" s="670"/>
    </row>
    <row r="60" spans="1:20" s="22" customFormat="1" ht="20.25" customHeight="1">
      <c r="A60" s="190"/>
      <c r="B60" s="191"/>
      <c r="C60" s="191"/>
      <c r="D60" s="964"/>
      <c r="E60" s="192"/>
      <c r="F60" s="345"/>
      <c r="G60" s="345"/>
      <c r="H60" s="345"/>
      <c r="I60" s="346"/>
      <c r="J60" s="347"/>
      <c r="K60" s="693"/>
      <c r="L60" s="693"/>
      <c r="M60" s="693"/>
      <c r="N60" s="693"/>
      <c r="O60" s="693"/>
      <c r="P60" s="693"/>
      <c r="Q60" s="694"/>
      <c r="R60" s="509"/>
      <c r="S60" s="509"/>
      <c r="T60" s="509"/>
    </row>
    <row r="61" spans="1:20" s="22" customFormat="1" ht="20.25" customHeight="1">
      <c r="A61" s="196" t="s">
        <v>1877</v>
      </c>
      <c r="B61" s="197" t="s">
        <v>1890</v>
      </c>
      <c r="C61" s="197" t="s">
        <v>1891</v>
      </c>
      <c r="D61" s="917" t="s">
        <v>2781</v>
      </c>
      <c r="E61" s="198" t="s">
        <v>1826</v>
      </c>
      <c r="F61" s="332">
        <f>E62</f>
        <v>564.58</v>
      </c>
      <c r="G61" s="332"/>
      <c r="H61" s="332">
        <f>F61*G61</f>
        <v>0</v>
      </c>
      <c r="I61" s="333">
        <v>0.00431</v>
      </c>
      <c r="J61" s="334">
        <f>F61*I61</f>
        <v>2.4333398</v>
      </c>
      <c r="K61" s="509"/>
      <c r="L61" s="509"/>
      <c r="M61" s="509"/>
      <c r="N61" s="509"/>
      <c r="O61" s="509"/>
      <c r="P61" s="509"/>
      <c r="Q61" s="509"/>
      <c r="R61" s="509"/>
      <c r="S61" s="509"/>
      <c r="T61" s="509"/>
    </row>
    <row r="62" spans="1:20" s="251" customFormat="1" ht="17.25" customHeight="1">
      <c r="A62" s="248"/>
      <c r="B62" s="249"/>
      <c r="C62" s="250">
        <v>564.58</v>
      </c>
      <c r="D62" s="969"/>
      <c r="E62" s="213">
        <v>564.58</v>
      </c>
      <c r="F62" s="367"/>
      <c r="G62" s="387"/>
      <c r="H62" s="387"/>
      <c r="I62" s="356"/>
      <c r="J62" s="357"/>
      <c r="K62" s="681"/>
      <c r="L62" s="681"/>
      <c r="M62" s="681"/>
      <c r="N62" s="682"/>
      <c r="O62" s="682"/>
      <c r="P62" s="682"/>
      <c r="Q62" s="682"/>
      <c r="R62" s="682"/>
      <c r="S62" s="682"/>
      <c r="T62" s="682"/>
    </row>
    <row r="63" spans="1:20" s="22" customFormat="1" ht="20.25" customHeight="1">
      <c r="A63" s="196" t="s">
        <v>1882</v>
      </c>
      <c r="B63" s="197" t="s">
        <v>1883</v>
      </c>
      <c r="C63" s="197" t="s">
        <v>1884</v>
      </c>
      <c r="D63" s="917" t="s">
        <v>2781</v>
      </c>
      <c r="E63" s="198" t="s">
        <v>1748</v>
      </c>
      <c r="F63" s="332">
        <f>E64</f>
        <v>169.374</v>
      </c>
      <c r="G63" s="332"/>
      <c r="H63" s="332">
        <f>F63*G63</f>
        <v>0</v>
      </c>
      <c r="I63" s="333">
        <v>0.00034</v>
      </c>
      <c r="J63" s="334">
        <f>F63*I63</f>
        <v>0.057587160000000005</v>
      </c>
      <c r="K63" s="693"/>
      <c r="L63" s="693"/>
      <c r="M63" s="693"/>
      <c r="N63" s="693"/>
      <c r="O63" s="693"/>
      <c r="P63" s="693"/>
      <c r="Q63" s="694"/>
      <c r="R63" s="509"/>
      <c r="S63" s="509"/>
      <c r="T63" s="509"/>
    </row>
    <row r="64" spans="1:20" s="251" customFormat="1" ht="17.25" customHeight="1">
      <c r="A64" s="248"/>
      <c r="B64" s="249"/>
      <c r="C64" s="250" t="s">
        <v>874</v>
      </c>
      <c r="D64" s="969"/>
      <c r="E64" s="213">
        <f>(564.58)*0.3</f>
        <v>169.374</v>
      </c>
      <c r="F64" s="367"/>
      <c r="G64" s="387"/>
      <c r="H64" s="387"/>
      <c r="I64" s="356"/>
      <c r="J64" s="357"/>
      <c r="K64" s="681"/>
      <c r="L64" s="681"/>
      <c r="M64" s="681"/>
      <c r="N64" s="682"/>
      <c r="O64" s="682"/>
      <c r="P64" s="682"/>
      <c r="Q64" s="682"/>
      <c r="R64" s="682"/>
      <c r="S64" s="682"/>
      <c r="T64" s="682"/>
    </row>
    <row r="65" spans="1:20" s="22" customFormat="1" ht="20.25" customHeight="1">
      <c r="A65" s="196" t="s">
        <v>1886</v>
      </c>
      <c r="B65" s="197" t="s">
        <v>1887</v>
      </c>
      <c r="C65" s="197" t="s">
        <v>1888</v>
      </c>
      <c r="D65" s="917" t="s">
        <v>2781</v>
      </c>
      <c r="E65" s="198" t="s">
        <v>1748</v>
      </c>
      <c r="F65" s="332">
        <f>F63</f>
        <v>169.374</v>
      </c>
      <c r="G65" s="332"/>
      <c r="H65" s="332">
        <f>F65*G65</f>
        <v>0</v>
      </c>
      <c r="I65" s="333">
        <v>0.00658</v>
      </c>
      <c r="J65" s="334">
        <f>F65*I65</f>
        <v>1.1144809199999999</v>
      </c>
      <c r="K65" s="693"/>
      <c r="L65" s="693"/>
      <c r="M65" s="693"/>
      <c r="N65" s="693"/>
      <c r="O65" s="693"/>
      <c r="P65" s="693"/>
      <c r="Q65" s="694"/>
      <c r="R65" s="509"/>
      <c r="S65" s="509"/>
      <c r="T65" s="509"/>
    </row>
    <row r="66" spans="1:20" s="22" customFormat="1" ht="20.25" customHeight="1" thickBot="1">
      <c r="A66" s="255"/>
      <c r="B66" s="256"/>
      <c r="C66" s="256"/>
      <c r="D66" s="968"/>
      <c r="E66" s="257"/>
      <c r="F66" s="368"/>
      <c r="G66" s="368"/>
      <c r="H66" s="368"/>
      <c r="I66" s="369"/>
      <c r="J66" s="370"/>
      <c r="K66" s="693"/>
      <c r="L66" s="693"/>
      <c r="M66" s="693"/>
      <c r="N66" s="693"/>
      <c r="O66" s="693"/>
      <c r="P66" s="693"/>
      <c r="Q66" s="694"/>
      <c r="R66" s="509"/>
      <c r="S66" s="509"/>
      <c r="T66" s="509"/>
    </row>
    <row r="67" spans="1:20" ht="16.5" customHeight="1" thickBot="1">
      <c r="A67" s="266" t="s">
        <v>1893</v>
      </c>
      <c r="B67" s="175" t="s">
        <v>1894</v>
      </c>
      <c r="C67" s="176" t="s">
        <v>1895</v>
      </c>
      <c r="D67" s="1007" t="s">
        <v>2761</v>
      </c>
      <c r="E67" s="175"/>
      <c r="F67" s="341"/>
      <c r="G67" s="341"/>
      <c r="H67" s="342">
        <f>SUM(H68:H98)</f>
        <v>0</v>
      </c>
      <c r="I67" s="343"/>
      <c r="J67" s="344">
        <f>SUM(J68:J98)</f>
        <v>85.0408891</v>
      </c>
      <c r="K67" s="670"/>
      <c r="L67" s="670"/>
      <c r="M67" s="670"/>
      <c r="N67" s="670"/>
      <c r="O67" s="670"/>
      <c r="P67" s="670"/>
      <c r="Q67" s="670"/>
      <c r="R67" s="670"/>
      <c r="S67" s="670"/>
      <c r="T67" s="670"/>
    </row>
    <row r="68" spans="1:20" s="22" customFormat="1" ht="20.25" customHeight="1">
      <c r="A68" s="190" t="s">
        <v>1896</v>
      </c>
      <c r="B68" s="191" t="s">
        <v>1897</v>
      </c>
      <c r="C68" s="191" t="s">
        <v>1898</v>
      </c>
      <c r="D68" s="964" t="s">
        <v>2761</v>
      </c>
      <c r="E68" s="192" t="s">
        <v>1748</v>
      </c>
      <c r="F68" s="345">
        <v>216</v>
      </c>
      <c r="G68" s="345"/>
      <c r="H68" s="345">
        <f aca="true" t="shared" si="4" ref="H68:H98">F68*G68</f>
        <v>0</v>
      </c>
      <c r="I68" s="346">
        <v>4E-05</v>
      </c>
      <c r="J68" s="347">
        <f aca="true" t="shared" si="5" ref="J68:J98">F68*I68</f>
        <v>0.00864</v>
      </c>
      <c r="K68" s="693"/>
      <c r="L68" s="693"/>
      <c r="M68" s="693"/>
      <c r="N68" s="693"/>
      <c r="O68" s="693"/>
      <c r="P68" s="693"/>
      <c r="Q68" s="694"/>
      <c r="R68" s="509"/>
      <c r="S68" s="509"/>
      <c r="T68" s="509"/>
    </row>
    <row r="69" spans="1:20" s="22" customFormat="1" ht="20.25" customHeight="1">
      <c r="A69" s="196" t="s">
        <v>1900</v>
      </c>
      <c r="B69" s="197" t="s">
        <v>1901</v>
      </c>
      <c r="C69" s="197" t="s">
        <v>1902</v>
      </c>
      <c r="D69" s="917" t="s">
        <v>2761</v>
      </c>
      <c r="E69" s="198" t="s">
        <v>1748</v>
      </c>
      <c r="F69" s="332">
        <f>1294.16+70.65</f>
        <v>1364.8100000000002</v>
      </c>
      <c r="G69" s="332"/>
      <c r="H69" s="332">
        <f t="shared" si="4"/>
        <v>0</v>
      </c>
      <c r="I69" s="333">
        <v>2E-05</v>
      </c>
      <c r="J69" s="334">
        <f t="shared" si="5"/>
        <v>0.027296200000000007</v>
      </c>
      <c r="K69" s="693"/>
      <c r="L69" s="693"/>
      <c r="M69" s="693"/>
      <c r="N69" s="693"/>
      <c r="O69" s="693"/>
      <c r="P69" s="693"/>
      <c r="Q69" s="694"/>
      <c r="R69" s="509"/>
      <c r="S69" s="509"/>
      <c r="T69" s="509"/>
    </row>
    <row r="70" spans="1:20" s="22" customFormat="1" ht="20.25" customHeight="1">
      <c r="A70" s="196" t="s">
        <v>1904</v>
      </c>
      <c r="B70" s="197" t="s">
        <v>1905</v>
      </c>
      <c r="C70" s="197" t="s">
        <v>1906</v>
      </c>
      <c r="D70" s="917" t="s">
        <v>2761</v>
      </c>
      <c r="E70" s="198" t="s">
        <v>1748</v>
      </c>
      <c r="F70" s="332">
        <f>1048.46+245.7</f>
        <v>1294.16</v>
      </c>
      <c r="G70" s="332"/>
      <c r="H70" s="332">
        <f t="shared" si="4"/>
        <v>0</v>
      </c>
      <c r="I70" s="333">
        <v>0.04634</v>
      </c>
      <c r="J70" s="334">
        <f t="shared" si="5"/>
        <v>59.9713744</v>
      </c>
      <c r="K70" s="693"/>
      <c r="L70" s="693"/>
      <c r="M70" s="693"/>
      <c r="N70" s="693"/>
      <c r="O70" s="693"/>
      <c r="P70" s="693"/>
      <c r="Q70" s="694"/>
      <c r="R70" s="509"/>
      <c r="S70" s="509"/>
      <c r="T70" s="509"/>
    </row>
    <row r="71" spans="1:20" s="1034" customFormat="1" ht="20.25" customHeight="1">
      <c r="A71" s="1023" t="s">
        <v>2844</v>
      </c>
      <c r="B71" s="1024" t="s">
        <v>2837</v>
      </c>
      <c r="C71" s="1024" t="s">
        <v>2838</v>
      </c>
      <c r="D71" s="1053"/>
      <c r="E71" s="1027" t="s">
        <v>1748</v>
      </c>
      <c r="F71" s="1028">
        <f>SUM(E72:E73)</f>
        <v>248.90799999999996</v>
      </c>
      <c r="G71" s="1028"/>
      <c r="H71" s="1028">
        <f>F71*G71</f>
        <v>0</v>
      </c>
      <c r="I71" s="1052">
        <v>0.0063</v>
      </c>
      <c r="J71" s="1060">
        <f>F71*I71</f>
        <v>1.5681203999999997</v>
      </c>
      <c r="K71" s="1033"/>
      <c r="L71" s="1033"/>
      <c r="M71" s="1033"/>
      <c r="N71" s="1033"/>
      <c r="O71" s="1033"/>
      <c r="P71" s="1033"/>
      <c r="Q71" s="1033"/>
      <c r="R71" s="1033"/>
      <c r="S71" s="1033"/>
      <c r="T71" s="1033"/>
    </row>
    <row r="72" spans="1:20" s="251" customFormat="1" ht="17.25" customHeight="1">
      <c r="A72" s="248"/>
      <c r="B72" s="249" t="s">
        <v>1920</v>
      </c>
      <c r="C72" s="250" t="s">
        <v>875</v>
      </c>
      <c r="D72" s="969"/>
      <c r="E72" s="213">
        <f>(30.59+33.15+14.5-6.4)*1.2</f>
        <v>86.20799999999998</v>
      </c>
      <c r="F72" s="367"/>
      <c r="G72" s="387"/>
      <c r="H72" s="387"/>
      <c r="I72" s="356"/>
      <c r="J72" s="357"/>
      <c r="K72" s="681"/>
      <c r="L72" s="681"/>
      <c r="M72" s="681"/>
      <c r="N72" s="682"/>
      <c r="O72" s="682"/>
      <c r="P72" s="682"/>
      <c r="Q72" s="682"/>
      <c r="R72" s="682"/>
      <c r="S72" s="682"/>
      <c r="T72" s="682"/>
    </row>
    <row r="73" spans="1:20" s="142" customFormat="1" ht="19.5" customHeight="1">
      <c r="A73" s="204"/>
      <c r="B73" s="212" t="s">
        <v>1921</v>
      </c>
      <c r="C73" s="212">
        <v>162.7</v>
      </c>
      <c r="D73" s="971"/>
      <c r="E73" s="141">
        <v>162.7</v>
      </c>
      <c r="F73" s="141"/>
      <c r="G73" s="141"/>
      <c r="H73" s="352"/>
      <c r="I73" s="352"/>
      <c r="J73" s="353"/>
      <c r="K73" s="677"/>
      <c r="L73" s="677"/>
      <c r="M73" s="215"/>
      <c r="N73" s="215"/>
      <c r="O73" s="215"/>
      <c r="P73" s="215"/>
      <c r="Q73" s="215"/>
      <c r="R73" s="215"/>
      <c r="S73" s="215"/>
      <c r="T73" s="215"/>
    </row>
    <row r="74" spans="1:20" s="22" customFormat="1" ht="20.25" customHeight="1">
      <c r="A74" s="196" t="s">
        <v>1907</v>
      </c>
      <c r="B74" s="197" t="s">
        <v>1918</v>
      </c>
      <c r="C74" s="1024" t="s">
        <v>2841</v>
      </c>
      <c r="D74" s="917" t="s">
        <v>2761</v>
      </c>
      <c r="E74" s="198" t="s">
        <v>1748</v>
      </c>
      <c r="F74" s="332">
        <f>SUM(E75:E76)</f>
        <v>248.90799999999996</v>
      </c>
      <c r="G74" s="332"/>
      <c r="H74" s="332">
        <f t="shared" si="4"/>
        <v>0</v>
      </c>
      <c r="I74" s="333">
        <v>0.026</v>
      </c>
      <c r="J74" s="334">
        <f t="shared" si="5"/>
        <v>6.471607999999999</v>
      </c>
      <c r="K74" s="693"/>
      <c r="L74" s="693"/>
      <c r="M74" s="693"/>
      <c r="N74" s="693"/>
      <c r="O74" s="693"/>
      <c r="P74" s="693"/>
      <c r="Q74" s="694"/>
      <c r="R74" s="509"/>
      <c r="S74" s="509"/>
      <c r="T74" s="509"/>
    </row>
    <row r="75" spans="1:20" s="251" customFormat="1" ht="17.25" customHeight="1">
      <c r="A75" s="248"/>
      <c r="B75" s="249" t="s">
        <v>1920</v>
      </c>
      <c r="C75" s="250" t="s">
        <v>875</v>
      </c>
      <c r="D75" s="969"/>
      <c r="E75" s="213">
        <f>(30.59+33.15+14.5-6.4)*1.2</f>
        <v>86.20799999999998</v>
      </c>
      <c r="F75" s="367"/>
      <c r="G75" s="387"/>
      <c r="H75" s="387"/>
      <c r="I75" s="356"/>
      <c r="J75" s="357"/>
      <c r="K75" s="681"/>
      <c r="L75" s="681"/>
      <c r="M75" s="681"/>
      <c r="N75" s="682"/>
      <c r="O75" s="682"/>
      <c r="P75" s="682"/>
      <c r="Q75" s="682"/>
      <c r="R75" s="682"/>
      <c r="S75" s="682"/>
      <c r="T75" s="682"/>
    </row>
    <row r="76" spans="1:20" s="142" customFormat="1" ht="19.5" customHeight="1">
      <c r="A76" s="204"/>
      <c r="B76" s="212" t="s">
        <v>1921</v>
      </c>
      <c r="C76" s="212">
        <v>162.7</v>
      </c>
      <c r="D76" s="971"/>
      <c r="E76" s="141">
        <v>162.7</v>
      </c>
      <c r="F76" s="141"/>
      <c r="G76" s="141"/>
      <c r="H76" s="352"/>
      <c r="I76" s="352"/>
      <c r="J76" s="353"/>
      <c r="K76" s="677"/>
      <c r="L76" s="677"/>
      <c r="M76" s="215"/>
      <c r="N76" s="215"/>
      <c r="O76" s="215"/>
      <c r="P76" s="215"/>
      <c r="Q76" s="215"/>
      <c r="R76" s="215"/>
      <c r="S76" s="215"/>
      <c r="T76" s="215"/>
    </row>
    <row r="77" spans="1:20" s="22" customFormat="1" ht="20.25" customHeight="1">
      <c r="A77" s="196" t="s">
        <v>1914</v>
      </c>
      <c r="B77" s="197" t="s">
        <v>1923</v>
      </c>
      <c r="C77" s="197" t="s">
        <v>1924</v>
      </c>
      <c r="D77" s="917" t="s">
        <v>1925</v>
      </c>
      <c r="E77" s="198" t="s">
        <v>1748</v>
      </c>
      <c r="F77" s="332">
        <f>E78</f>
        <v>53.062</v>
      </c>
      <c r="G77" s="332"/>
      <c r="H77" s="332">
        <f t="shared" si="4"/>
        <v>0</v>
      </c>
      <c r="I77" s="333">
        <v>0.01021</v>
      </c>
      <c r="J77" s="334">
        <f t="shared" si="5"/>
        <v>0.54176302</v>
      </c>
      <c r="K77" s="509"/>
      <c r="L77" s="509"/>
      <c r="M77" s="509"/>
      <c r="N77" s="509"/>
      <c r="O77" s="509"/>
      <c r="P77" s="509"/>
      <c r="Q77" s="509"/>
      <c r="R77" s="509"/>
      <c r="S77" s="509"/>
      <c r="T77" s="509"/>
    </row>
    <row r="78" spans="1:24" s="211" customFormat="1" ht="21.75" customHeight="1">
      <c r="A78" s="223"/>
      <c r="B78" s="224" t="s">
        <v>1749</v>
      </c>
      <c r="C78" s="205" t="s">
        <v>854</v>
      </c>
      <c r="D78" s="970"/>
      <c r="E78" s="220">
        <f>(30.59)*0.8+(33.15+14.5)*0.6</f>
        <v>53.062</v>
      </c>
      <c r="F78" s="225"/>
      <c r="G78" s="674"/>
      <c r="H78" s="225"/>
      <c r="I78" s="348"/>
      <c r="J78" s="349"/>
      <c r="K78" s="675"/>
      <c r="L78" s="675"/>
      <c r="M78" s="675"/>
      <c r="N78" s="675"/>
      <c r="O78" s="676"/>
      <c r="P78" s="676"/>
      <c r="Q78" s="676"/>
      <c r="R78" s="676"/>
      <c r="S78" s="515"/>
      <c r="T78" s="515"/>
      <c r="U78" s="210"/>
      <c r="V78" s="210"/>
      <c r="W78" s="210"/>
      <c r="X78" s="210"/>
    </row>
    <row r="79" spans="1:20" s="22" customFormat="1" ht="30.75" customHeight="1">
      <c r="A79" s="196" t="s">
        <v>1917</v>
      </c>
      <c r="B79" s="197" t="s">
        <v>1927</v>
      </c>
      <c r="C79" s="199" t="s">
        <v>1928</v>
      </c>
      <c r="D79" s="917" t="s">
        <v>1929</v>
      </c>
      <c r="E79" s="198" t="s">
        <v>1748</v>
      </c>
      <c r="F79" s="332">
        <f>E80</f>
        <v>86.20799999999998</v>
      </c>
      <c r="G79" s="332"/>
      <c r="H79" s="332">
        <f>F79*G79</f>
        <v>0</v>
      </c>
      <c r="I79" s="333">
        <v>0.01396</v>
      </c>
      <c r="J79" s="334">
        <f>F79*I79</f>
        <v>1.2034636799999998</v>
      </c>
      <c r="K79" s="509"/>
      <c r="L79" s="509"/>
      <c r="M79" s="509"/>
      <c r="N79" s="509"/>
      <c r="O79" s="509"/>
      <c r="P79" s="509"/>
      <c r="Q79" s="509"/>
      <c r="R79" s="509"/>
      <c r="S79" s="509"/>
      <c r="T79" s="509"/>
    </row>
    <row r="80" spans="1:20" s="251" customFormat="1" ht="17.25" customHeight="1">
      <c r="A80" s="248"/>
      <c r="B80" s="249"/>
      <c r="C80" s="250" t="s">
        <v>875</v>
      </c>
      <c r="D80" s="969"/>
      <c r="E80" s="213">
        <f>(30.59+33.15+14.5-6.4)*1.2</f>
        <v>86.20799999999998</v>
      </c>
      <c r="F80" s="367"/>
      <c r="G80" s="387"/>
      <c r="H80" s="387"/>
      <c r="I80" s="356"/>
      <c r="J80" s="357"/>
      <c r="K80" s="681"/>
      <c r="L80" s="681"/>
      <c r="M80" s="681"/>
      <c r="N80" s="682"/>
      <c r="O80" s="682"/>
      <c r="P80" s="682"/>
      <c r="Q80" s="682"/>
      <c r="R80" s="682"/>
      <c r="S80" s="682"/>
      <c r="T80" s="682"/>
    </row>
    <row r="81" spans="1:20" s="22" customFormat="1" ht="20.25" customHeight="1">
      <c r="A81" s="196" t="s">
        <v>1922</v>
      </c>
      <c r="B81" s="197" t="s">
        <v>1939</v>
      </c>
      <c r="C81" s="197" t="s">
        <v>1940</v>
      </c>
      <c r="D81" s="917" t="s">
        <v>1929</v>
      </c>
      <c r="E81" s="198" t="s">
        <v>1748</v>
      </c>
      <c r="F81" s="332">
        <v>86.21</v>
      </c>
      <c r="G81" s="332"/>
      <c r="H81" s="332">
        <f t="shared" si="4"/>
        <v>0</v>
      </c>
      <c r="I81" s="333">
        <v>0.00618</v>
      </c>
      <c r="J81" s="334">
        <f t="shared" si="5"/>
        <v>0.5327778</v>
      </c>
      <c r="K81" s="693"/>
      <c r="L81" s="693"/>
      <c r="M81" s="693"/>
      <c r="N81" s="693"/>
      <c r="O81" s="693"/>
      <c r="P81" s="693"/>
      <c r="Q81" s="694"/>
      <c r="R81" s="509"/>
      <c r="S81" s="509"/>
      <c r="T81" s="509"/>
    </row>
    <row r="82" spans="1:20" s="22" customFormat="1" ht="20.25" customHeight="1">
      <c r="A82" s="196" t="s">
        <v>1926</v>
      </c>
      <c r="B82" s="197" t="s">
        <v>1961</v>
      </c>
      <c r="C82" s="197" t="s">
        <v>1962</v>
      </c>
      <c r="D82" s="917" t="s">
        <v>876</v>
      </c>
      <c r="E82" s="198" t="s">
        <v>1748</v>
      </c>
      <c r="F82" s="332">
        <f>SUM(E83:E84)</f>
        <v>968.94</v>
      </c>
      <c r="G82" s="332"/>
      <c r="H82" s="332">
        <f t="shared" si="4"/>
        <v>0</v>
      </c>
      <c r="I82" s="333">
        <v>0.01011</v>
      </c>
      <c r="J82" s="334">
        <f t="shared" si="5"/>
        <v>9.795983399999999</v>
      </c>
      <c r="K82" s="693"/>
      <c r="L82" s="693"/>
      <c r="M82" s="693"/>
      <c r="N82" s="693"/>
      <c r="O82" s="693"/>
      <c r="P82" s="693"/>
      <c r="Q82" s="694"/>
      <c r="R82" s="509"/>
      <c r="S82" s="509"/>
      <c r="T82" s="509"/>
    </row>
    <row r="83" spans="1:20" s="130" customFormat="1" ht="22.5" customHeight="1">
      <c r="A83" s="204"/>
      <c r="B83" s="205"/>
      <c r="C83" s="206" t="s">
        <v>877</v>
      </c>
      <c r="D83" s="916"/>
      <c r="E83" s="207">
        <f>1048.46-86.21</f>
        <v>962.25</v>
      </c>
      <c r="F83" s="335"/>
      <c r="G83" s="335"/>
      <c r="H83" s="335"/>
      <c r="I83" s="336"/>
      <c r="J83" s="337"/>
      <c r="K83" s="672"/>
      <c r="L83" s="672"/>
      <c r="M83" s="672"/>
      <c r="N83" s="672"/>
      <c r="O83" s="672"/>
      <c r="P83" s="672"/>
      <c r="Q83" s="673"/>
      <c r="R83" s="508"/>
      <c r="S83" s="508"/>
      <c r="T83" s="508"/>
    </row>
    <row r="84" spans="1:20" s="130" customFormat="1" ht="22.5" customHeight="1">
      <c r="A84" s="204"/>
      <c r="B84" s="205" t="s">
        <v>878</v>
      </c>
      <c r="C84" s="206" t="s">
        <v>879</v>
      </c>
      <c r="D84" s="916"/>
      <c r="E84" s="207">
        <f>(2.86+3.83)</f>
        <v>6.6899999999999995</v>
      </c>
      <c r="F84" s="335"/>
      <c r="G84" s="335"/>
      <c r="H84" s="335"/>
      <c r="I84" s="336"/>
      <c r="J84" s="337"/>
      <c r="K84" s="672"/>
      <c r="L84" s="672"/>
      <c r="M84" s="672"/>
      <c r="N84" s="672"/>
      <c r="O84" s="672"/>
      <c r="P84" s="672"/>
      <c r="Q84" s="673"/>
      <c r="R84" s="508"/>
      <c r="S84" s="508"/>
      <c r="T84" s="508"/>
    </row>
    <row r="85" spans="1:20" s="22" customFormat="1" ht="20.25" customHeight="1">
      <c r="A85" s="196" t="s">
        <v>1931</v>
      </c>
      <c r="B85" s="197" t="s">
        <v>1966</v>
      </c>
      <c r="C85" s="197" t="s">
        <v>1967</v>
      </c>
      <c r="D85" s="917" t="s">
        <v>880</v>
      </c>
      <c r="E85" s="198" t="s">
        <v>1748</v>
      </c>
      <c r="F85" s="332">
        <f>547.08*0.15</f>
        <v>82.062</v>
      </c>
      <c r="G85" s="332"/>
      <c r="H85" s="332">
        <f t="shared" si="4"/>
        <v>0</v>
      </c>
      <c r="I85" s="333">
        <v>0</v>
      </c>
      <c r="J85" s="334">
        <f t="shared" si="5"/>
        <v>0</v>
      </c>
      <c r="K85" s="693"/>
      <c r="L85" s="693"/>
      <c r="M85" s="693"/>
      <c r="N85" s="693"/>
      <c r="O85" s="693"/>
      <c r="P85" s="693"/>
      <c r="Q85" s="694"/>
      <c r="R85" s="509"/>
      <c r="S85" s="509"/>
      <c r="T85" s="509"/>
    </row>
    <row r="86" spans="1:24" s="129" customFormat="1" ht="20.25" customHeight="1">
      <c r="A86" s="196" t="s">
        <v>1935</v>
      </c>
      <c r="B86" s="197" t="s">
        <v>881</v>
      </c>
      <c r="C86" s="197" t="s">
        <v>882</v>
      </c>
      <c r="D86" s="917" t="s">
        <v>883</v>
      </c>
      <c r="E86" s="198" t="s">
        <v>1748</v>
      </c>
      <c r="F86" s="332">
        <f>SUM(E87:E87)</f>
        <v>6.3999999999999995</v>
      </c>
      <c r="G86" s="332"/>
      <c r="H86" s="332">
        <f t="shared" si="4"/>
        <v>0</v>
      </c>
      <c r="I86" s="333">
        <v>0.01251</v>
      </c>
      <c r="J86" s="334">
        <f t="shared" si="5"/>
        <v>0.080064</v>
      </c>
      <c r="K86" s="693"/>
      <c r="L86" s="693"/>
      <c r="M86" s="693"/>
      <c r="N86" s="693"/>
      <c r="O86" s="693"/>
      <c r="P86" s="693"/>
      <c r="Q86" s="694"/>
      <c r="R86" s="509"/>
      <c r="S86" s="509"/>
      <c r="T86" s="509"/>
      <c r="U86" s="22"/>
      <c r="V86" s="22"/>
      <c r="W86" s="22"/>
      <c r="X86" s="22"/>
    </row>
    <row r="87" spans="1:20" s="130" customFormat="1" ht="22.5" customHeight="1">
      <c r="A87" s="204"/>
      <c r="B87" s="205" t="s">
        <v>884</v>
      </c>
      <c r="C87" s="206" t="s">
        <v>885</v>
      </c>
      <c r="D87" s="916"/>
      <c r="E87" s="207">
        <f>(4.06+2.34)</f>
        <v>6.3999999999999995</v>
      </c>
      <c r="F87" s="335"/>
      <c r="G87" s="335"/>
      <c r="H87" s="335"/>
      <c r="I87" s="336"/>
      <c r="J87" s="337"/>
      <c r="K87" s="672"/>
      <c r="L87" s="672"/>
      <c r="M87" s="672"/>
      <c r="N87" s="672"/>
      <c r="O87" s="672"/>
      <c r="P87" s="672"/>
      <c r="Q87" s="673"/>
      <c r="R87" s="508"/>
      <c r="S87" s="508"/>
      <c r="T87" s="508"/>
    </row>
    <row r="88" spans="1:20" s="22" customFormat="1" ht="31.5" customHeight="1">
      <c r="A88" s="196" t="s">
        <v>1938</v>
      </c>
      <c r="B88" s="197" t="s">
        <v>886</v>
      </c>
      <c r="C88" s="199" t="s">
        <v>887</v>
      </c>
      <c r="D88" s="917" t="s">
        <v>888</v>
      </c>
      <c r="E88" s="198" t="s">
        <v>1748</v>
      </c>
      <c r="F88" s="332">
        <f>SUM(E89:E89)</f>
        <v>245.70000000000002</v>
      </c>
      <c r="G88" s="332"/>
      <c r="H88" s="332">
        <f t="shared" si="4"/>
        <v>0</v>
      </c>
      <c r="I88" s="333">
        <v>0.00367</v>
      </c>
      <c r="J88" s="334">
        <f t="shared" si="5"/>
        <v>0.901719</v>
      </c>
      <c r="K88" s="693"/>
      <c r="L88" s="693"/>
      <c r="M88" s="693"/>
      <c r="N88" s="693"/>
      <c r="O88" s="693"/>
      <c r="P88" s="693"/>
      <c r="Q88" s="694"/>
      <c r="R88" s="509"/>
      <c r="S88" s="509"/>
      <c r="T88" s="509"/>
    </row>
    <row r="89" spans="1:20" s="251" customFormat="1" ht="17.25" customHeight="1">
      <c r="A89" s="248"/>
      <c r="B89" s="249"/>
      <c r="C89" s="1139" t="s">
        <v>889</v>
      </c>
      <c r="D89" s="969"/>
      <c r="E89" s="213">
        <f>94.5*2.6</f>
        <v>245.70000000000002</v>
      </c>
      <c r="F89" s="367"/>
      <c r="G89" s="387"/>
      <c r="H89" s="387"/>
      <c r="I89" s="356"/>
      <c r="J89" s="357"/>
      <c r="K89" s="681"/>
      <c r="L89" s="681"/>
      <c r="M89" s="681"/>
      <c r="N89" s="682"/>
      <c r="O89" s="682"/>
      <c r="P89" s="682"/>
      <c r="Q89" s="682"/>
      <c r="R89" s="682"/>
      <c r="S89" s="682"/>
      <c r="T89" s="682"/>
    </row>
    <row r="90" spans="1:20" s="22" customFormat="1" ht="20.25" customHeight="1">
      <c r="A90" s="196" t="s">
        <v>1942</v>
      </c>
      <c r="B90" s="197" t="s">
        <v>1987</v>
      </c>
      <c r="C90" s="197" t="s">
        <v>1988</v>
      </c>
      <c r="D90" s="917" t="s">
        <v>2761</v>
      </c>
      <c r="E90" s="198" t="s">
        <v>1826</v>
      </c>
      <c r="F90" s="332">
        <v>42.6</v>
      </c>
      <c r="G90" s="332"/>
      <c r="H90" s="332">
        <f>F90*G90</f>
        <v>0</v>
      </c>
      <c r="I90" s="333">
        <v>0.0005</v>
      </c>
      <c r="J90" s="334">
        <f>F90*I90</f>
        <v>0.0213</v>
      </c>
      <c r="K90" s="509"/>
      <c r="L90" s="509"/>
      <c r="M90" s="509"/>
      <c r="N90" s="509"/>
      <c r="O90" s="509"/>
      <c r="P90" s="509"/>
      <c r="Q90" s="509"/>
      <c r="R90" s="509"/>
      <c r="S90" s="509"/>
      <c r="T90" s="509"/>
    </row>
    <row r="91" spans="1:20" s="22" customFormat="1" ht="20.25" customHeight="1">
      <c r="A91" s="196" t="s">
        <v>1955</v>
      </c>
      <c r="B91" s="197" t="s">
        <v>1990</v>
      </c>
      <c r="C91" s="197" t="s">
        <v>1991</v>
      </c>
      <c r="D91" s="917" t="s">
        <v>2761</v>
      </c>
      <c r="E91" s="198" t="s">
        <v>1826</v>
      </c>
      <c r="F91" s="332">
        <v>564.58</v>
      </c>
      <c r="G91" s="332"/>
      <c r="H91" s="332">
        <f t="shared" si="4"/>
        <v>0</v>
      </c>
      <c r="I91" s="333">
        <v>0</v>
      </c>
      <c r="J91" s="334">
        <f t="shared" si="5"/>
        <v>0</v>
      </c>
      <c r="K91" s="693"/>
      <c r="L91" s="693"/>
      <c r="M91" s="693"/>
      <c r="N91" s="693"/>
      <c r="O91" s="693"/>
      <c r="P91" s="693"/>
      <c r="Q91" s="694"/>
      <c r="R91" s="509"/>
      <c r="S91" s="509"/>
      <c r="T91" s="509"/>
    </row>
    <row r="92" spans="1:20" s="22" customFormat="1" ht="20.25" customHeight="1">
      <c r="A92" s="196" t="s">
        <v>1960</v>
      </c>
      <c r="B92" s="197" t="s">
        <v>1993</v>
      </c>
      <c r="C92" s="197" t="s">
        <v>1994</v>
      </c>
      <c r="D92" s="917" t="s">
        <v>2761</v>
      </c>
      <c r="E92" s="198" t="s">
        <v>1826</v>
      </c>
      <c r="F92" s="332">
        <f>E93</f>
        <v>71.83999999999999</v>
      </c>
      <c r="G92" s="332"/>
      <c r="H92" s="332">
        <f t="shared" si="4"/>
        <v>0</v>
      </c>
      <c r="I92" s="333">
        <v>0.00011</v>
      </c>
      <c r="J92" s="334">
        <f t="shared" si="5"/>
        <v>0.007902399999999999</v>
      </c>
      <c r="K92" s="693"/>
      <c r="L92" s="693"/>
      <c r="M92" s="693"/>
      <c r="N92" s="693"/>
      <c r="O92" s="693"/>
      <c r="P92" s="693"/>
      <c r="Q92" s="694"/>
      <c r="R92" s="509"/>
      <c r="S92" s="509"/>
      <c r="T92" s="509"/>
    </row>
    <row r="93" spans="1:20" s="251" customFormat="1" ht="17.25" customHeight="1">
      <c r="A93" s="196" t="s">
        <v>1965</v>
      </c>
      <c r="B93" s="249"/>
      <c r="C93" s="1139" t="s">
        <v>890</v>
      </c>
      <c r="D93" s="969"/>
      <c r="E93" s="213">
        <f>(30.59+33.15+14.5-6.4)</f>
        <v>71.83999999999999</v>
      </c>
      <c r="F93" s="367"/>
      <c r="G93" s="387"/>
      <c r="H93" s="387"/>
      <c r="I93" s="356"/>
      <c r="J93" s="357"/>
      <c r="K93" s="681"/>
      <c r="L93" s="681"/>
      <c r="M93" s="681"/>
      <c r="N93" s="682"/>
      <c r="O93" s="682"/>
      <c r="P93" s="682"/>
      <c r="Q93" s="682"/>
      <c r="R93" s="682"/>
      <c r="S93" s="682"/>
      <c r="T93" s="682"/>
    </row>
    <row r="94" spans="1:20" s="22" customFormat="1" ht="20.25" customHeight="1">
      <c r="A94" s="196" t="s">
        <v>1972</v>
      </c>
      <c r="B94" s="197" t="s">
        <v>1996</v>
      </c>
      <c r="C94" s="197" t="s">
        <v>1997</v>
      </c>
      <c r="D94" s="917" t="s">
        <v>2761</v>
      </c>
      <c r="E94" s="198" t="s">
        <v>1826</v>
      </c>
      <c r="F94" s="332">
        <v>426.6</v>
      </c>
      <c r="G94" s="332"/>
      <c r="H94" s="332">
        <f t="shared" si="4"/>
        <v>0</v>
      </c>
      <c r="I94" s="333">
        <v>0.00011</v>
      </c>
      <c r="J94" s="334">
        <f t="shared" si="5"/>
        <v>0.046926</v>
      </c>
      <c r="K94" s="693"/>
      <c r="L94" s="693"/>
      <c r="M94" s="693"/>
      <c r="N94" s="693"/>
      <c r="O94" s="693"/>
      <c r="P94" s="693"/>
      <c r="Q94" s="694"/>
      <c r="R94" s="509"/>
      <c r="S94" s="509"/>
      <c r="T94" s="509"/>
    </row>
    <row r="95" spans="1:20" s="22" customFormat="1" ht="20.25" customHeight="1">
      <c r="A95" s="196" t="s">
        <v>1977</v>
      </c>
      <c r="B95" s="197" t="s">
        <v>1999</v>
      </c>
      <c r="C95" s="197" t="s">
        <v>2000</v>
      </c>
      <c r="D95" s="917" t="s">
        <v>2761</v>
      </c>
      <c r="E95" s="198" t="s">
        <v>1826</v>
      </c>
      <c r="F95" s="332">
        <v>1698.4</v>
      </c>
      <c r="G95" s="332"/>
      <c r="H95" s="332">
        <f t="shared" si="4"/>
        <v>0</v>
      </c>
      <c r="I95" s="333">
        <v>0</v>
      </c>
      <c r="J95" s="334">
        <f t="shared" si="5"/>
        <v>0</v>
      </c>
      <c r="K95" s="693"/>
      <c r="L95" s="509"/>
      <c r="M95" s="693"/>
      <c r="N95" s="693"/>
      <c r="O95" s="693"/>
      <c r="P95" s="693"/>
      <c r="Q95" s="694"/>
      <c r="R95" s="509"/>
      <c r="S95" s="509"/>
      <c r="T95" s="509"/>
    </row>
    <row r="96" spans="1:20" s="22" customFormat="1" ht="20.25" customHeight="1">
      <c r="A96" s="196" t="s">
        <v>1982</v>
      </c>
      <c r="B96" s="197" t="s">
        <v>2002</v>
      </c>
      <c r="C96" s="197" t="s">
        <v>2003</v>
      </c>
      <c r="D96" s="917" t="s">
        <v>2761</v>
      </c>
      <c r="E96" s="198" t="s">
        <v>1748</v>
      </c>
      <c r="F96" s="332">
        <f>1048.46+245.7</f>
        <v>1294.16</v>
      </c>
      <c r="G96" s="332"/>
      <c r="H96" s="332">
        <f t="shared" si="4"/>
        <v>0</v>
      </c>
      <c r="I96" s="333">
        <v>0.00032</v>
      </c>
      <c r="J96" s="334">
        <f t="shared" si="5"/>
        <v>0.41413120000000003</v>
      </c>
      <c r="K96" s="693"/>
      <c r="L96" s="509"/>
      <c r="M96" s="693"/>
      <c r="N96" s="693"/>
      <c r="O96" s="693"/>
      <c r="P96" s="693"/>
      <c r="Q96" s="694"/>
      <c r="R96" s="509"/>
      <c r="S96" s="509"/>
      <c r="T96" s="509"/>
    </row>
    <row r="97" spans="1:20" s="22" customFormat="1" ht="20.25" customHeight="1">
      <c r="A97" s="196" t="s">
        <v>1986</v>
      </c>
      <c r="B97" s="197" t="s">
        <v>2005</v>
      </c>
      <c r="C97" s="197" t="s">
        <v>2006</v>
      </c>
      <c r="D97" s="917" t="s">
        <v>2761</v>
      </c>
      <c r="E97" s="198" t="s">
        <v>1748</v>
      </c>
      <c r="F97" s="332">
        <f>1294.16-86.21</f>
        <v>1207.95</v>
      </c>
      <c r="G97" s="332"/>
      <c r="H97" s="332">
        <f t="shared" si="4"/>
        <v>0</v>
      </c>
      <c r="I97" s="333">
        <v>0.00284</v>
      </c>
      <c r="J97" s="334">
        <f t="shared" si="5"/>
        <v>3.430578</v>
      </c>
      <c r="K97" s="693"/>
      <c r="L97" s="693"/>
      <c r="M97" s="693"/>
      <c r="N97" s="693"/>
      <c r="O97" s="693"/>
      <c r="P97" s="693"/>
      <c r="Q97" s="694"/>
      <c r="R97" s="509"/>
      <c r="S97" s="509"/>
      <c r="T97" s="509"/>
    </row>
    <row r="98" spans="1:20" s="22" customFormat="1" ht="20.25" customHeight="1" thickBot="1">
      <c r="A98" s="196" t="s">
        <v>1989</v>
      </c>
      <c r="B98" s="256" t="s">
        <v>2008</v>
      </c>
      <c r="C98" s="256" t="s">
        <v>2009</v>
      </c>
      <c r="D98" s="968" t="s">
        <v>2761</v>
      </c>
      <c r="E98" s="257" t="s">
        <v>1826</v>
      </c>
      <c r="F98" s="368">
        <f>F92*3</f>
        <v>215.51999999999998</v>
      </c>
      <c r="G98" s="368"/>
      <c r="H98" s="368">
        <f t="shared" si="4"/>
        <v>0</v>
      </c>
      <c r="I98" s="369">
        <v>8E-05</v>
      </c>
      <c r="J98" s="370">
        <f t="shared" si="5"/>
        <v>0.0172416</v>
      </c>
      <c r="K98" s="693"/>
      <c r="L98" s="693"/>
      <c r="M98" s="693"/>
      <c r="N98" s="693"/>
      <c r="O98" s="693"/>
      <c r="P98" s="693"/>
      <c r="Q98" s="694"/>
      <c r="R98" s="509"/>
      <c r="S98" s="509"/>
      <c r="T98" s="509"/>
    </row>
    <row r="99" spans="1:20" ht="16.5" customHeight="1" thickBot="1">
      <c r="A99" s="266" t="s">
        <v>2011</v>
      </c>
      <c r="B99" s="175" t="s">
        <v>2012</v>
      </c>
      <c r="C99" s="176" t="s">
        <v>2013</v>
      </c>
      <c r="D99" s="1008"/>
      <c r="E99" s="175"/>
      <c r="F99" s="341"/>
      <c r="G99" s="341"/>
      <c r="H99" s="342">
        <f>SUM(H100:H111)</f>
        <v>0</v>
      </c>
      <c r="I99" s="343"/>
      <c r="J99" s="344">
        <f>SUM(J100:J111)</f>
        <v>12.446878238125</v>
      </c>
      <c r="K99" s="670"/>
      <c r="L99" s="670"/>
      <c r="M99" s="670"/>
      <c r="N99" s="670"/>
      <c r="O99" s="670"/>
      <c r="P99" s="670"/>
      <c r="Q99" s="670"/>
      <c r="R99" s="670"/>
      <c r="S99" s="670"/>
      <c r="T99" s="670"/>
    </row>
    <row r="100" spans="1:20" s="22" customFormat="1" ht="15" customHeight="1">
      <c r="A100" s="190"/>
      <c r="B100" s="191"/>
      <c r="C100" s="1098"/>
      <c r="D100" s="964"/>
      <c r="E100" s="192"/>
      <c r="F100" s="345"/>
      <c r="G100" s="345"/>
      <c r="H100" s="345"/>
      <c r="I100" s="346"/>
      <c r="J100" s="347"/>
      <c r="K100" s="693"/>
      <c r="L100" s="693"/>
      <c r="M100" s="693"/>
      <c r="N100" s="693"/>
      <c r="O100" s="693"/>
      <c r="P100" s="693"/>
      <c r="Q100" s="694"/>
      <c r="R100" s="509"/>
      <c r="S100" s="509"/>
      <c r="T100" s="509"/>
    </row>
    <row r="101" spans="1:20" s="22" customFormat="1" ht="18" customHeight="1">
      <c r="A101" s="196" t="s">
        <v>2014</v>
      </c>
      <c r="B101" s="197" t="s">
        <v>2015</v>
      </c>
      <c r="C101" s="1024" t="s">
        <v>2856</v>
      </c>
      <c r="D101" s="917"/>
      <c r="E101" s="198" t="s">
        <v>1748</v>
      </c>
      <c r="F101" s="332">
        <f>SUM(E102:E104)</f>
        <v>444.03999999999996</v>
      </c>
      <c r="G101" s="332"/>
      <c r="H101" s="332">
        <f>F101*G101</f>
        <v>0</v>
      </c>
      <c r="I101" s="333">
        <v>0.02193</v>
      </c>
      <c r="J101" s="334">
        <f>F101*I101</f>
        <v>9.7377972</v>
      </c>
      <c r="K101" s="509"/>
      <c r="L101" s="509"/>
      <c r="M101" s="509"/>
      <c r="N101" s="509"/>
      <c r="O101" s="509"/>
      <c r="P101" s="509"/>
      <c r="Q101" s="509"/>
      <c r="R101" s="509"/>
      <c r="S101" s="509"/>
      <c r="T101" s="509"/>
    </row>
    <row r="102" spans="1:20" s="130" customFormat="1" ht="24" customHeight="1">
      <c r="A102" s="204"/>
      <c r="B102" s="205" t="s">
        <v>891</v>
      </c>
      <c r="C102" s="206" t="s">
        <v>892</v>
      </c>
      <c r="D102" s="916" t="s">
        <v>891</v>
      </c>
      <c r="E102" s="207">
        <v>430.95</v>
      </c>
      <c r="F102" s="335"/>
      <c r="G102" s="335"/>
      <c r="H102" s="335"/>
      <c r="I102" s="336"/>
      <c r="J102" s="337"/>
      <c r="K102" s="508"/>
      <c r="L102" s="508"/>
      <c r="M102" s="508"/>
      <c r="N102" s="508"/>
      <c r="O102" s="508"/>
      <c r="P102" s="508"/>
      <c r="Q102" s="508"/>
      <c r="R102" s="508"/>
      <c r="S102" s="508"/>
      <c r="T102" s="508"/>
    </row>
    <row r="103" spans="1:20" s="130" customFormat="1" ht="22.5" customHeight="1">
      <c r="A103" s="204"/>
      <c r="B103" s="205" t="s">
        <v>878</v>
      </c>
      <c r="C103" s="206" t="s">
        <v>879</v>
      </c>
      <c r="D103" s="916" t="s">
        <v>878</v>
      </c>
      <c r="E103" s="207">
        <f>(2.86+3.83)</f>
        <v>6.6899999999999995</v>
      </c>
      <c r="F103" s="335"/>
      <c r="G103" s="335"/>
      <c r="H103" s="335"/>
      <c r="I103" s="336"/>
      <c r="J103" s="337"/>
      <c r="K103" s="672"/>
      <c r="L103" s="672"/>
      <c r="M103" s="672"/>
      <c r="N103" s="672"/>
      <c r="O103" s="672"/>
      <c r="P103" s="672"/>
      <c r="Q103" s="673"/>
      <c r="R103" s="508"/>
      <c r="S103" s="508"/>
      <c r="T103" s="508"/>
    </row>
    <row r="104" spans="1:20" s="130" customFormat="1" ht="22.5" customHeight="1">
      <c r="A104" s="204"/>
      <c r="B104" s="205" t="s">
        <v>884</v>
      </c>
      <c r="C104" s="206" t="s">
        <v>885</v>
      </c>
      <c r="D104" s="916" t="s">
        <v>884</v>
      </c>
      <c r="E104" s="207">
        <f>(4.06+2.34)</f>
        <v>6.3999999999999995</v>
      </c>
      <c r="F104" s="335"/>
      <c r="G104" s="335"/>
      <c r="H104" s="335"/>
      <c r="I104" s="336"/>
      <c r="J104" s="337"/>
      <c r="K104" s="672"/>
      <c r="L104" s="672"/>
      <c r="M104" s="672"/>
      <c r="N104" s="672"/>
      <c r="O104" s="672"/>
      <c r="P104" s="672"/>
      <c r="Q104" s="673"/>
      <c r="R104" s="508"/>
      <c r="S104" s="508"/>
      <c r="T104" s="508"/>
    </row>
    <row r="105" spans="1:20" s="22" customFormat="1" ht="20.25" customHeight="1">
      <c r="A105" s="196" t="s">
        <v>2026</v>
      </c>
      <c r="B105" s="197" t="s">
        <v>2027</v>
      </c>
      <c r="C105" s="197" t="s">
        <v>2028</v>
      </c>
      <c r="D105" s="917"/>
      <c r="E105" s="198" t="s">
        <v>1709</v>
      </c>
      <c r="F105" s="332">
        <f>SUM(E106:E107)</f>
        <v>1.0472000000000001</v>
      </c>
      <c r="G105" s="332"/>
      <c r="H105" s="332">
        <f>F105*G105</f>
        <v>0</v>
      </c>
      <c r="I105" s="333">
        <v>2.525</v>
      </c>
      <c r="J105" s="334">
        <f>F105*I105</f>
        <v>2.6441800000000004</v>
      </c>
      <c r="K105" s="509"/>
      <c r="L105" s="509"/>
      <c r="M105" s="509"/>
      <c r="N105" s="509"/>
      <c r="O105" s="509"/>
      <c r="P105" s="509"/>
      <c r="Q105" s="509"/>
      <c r="R105" s="509"/>
      <c r="S105" s="509"/>
      <c r="T105" s="509"/>
    </row>
    <row r="106" spans="1:20" s="130" customFormat="1" ht="18" customHeight="1">
      <c r="A106" s="204"/>
      <c r="B106" s="205" t="s">
        <v>878</v>
      </c>
      <c r="C106" s="206" t="s">
        <v>893</v>
      </c>
      <c r="D106" s="916" t="s">
        <v>878</v>
      </c>
      <c r="E106" s="207">
        <f>(2.86+3.83)*0.08</f>
        <v>0.5352</v>
      </c>
      <c r="F106" s="335"/>
      <c r="G106" s="335"/>
      <c r="H106" s="335"/>
      <c r="I106" s="336"/>
      <c r="J106" s="337"/>
      <c r="K106" s="672"/>
      <c r="L106" s="672"/>
      <c r="M106" s="672"/>
      <c r="N106" s="672"/>
      <c r="O106" s="672"/>
      <c r="P106" s="672"/>
      <c r="Q106" s="673"/>
      <c r="R106" s="508"/>
      <c r="S106" s="508"/>
      <c r="T106" s="508"/>
    </row>
    <row r="107" spans="1:20" s="130" customFormat="1" ht="18" customHeight="1">
      <c r="A107" s="204"/>
      <c r="B107" s="205" t="s">
        <v>884</v>
      </c>
      <c r="C107" s="206" t="s">
        <v>894</v>
      </c>
      <c r="D107" s="916" t="s">
        <v>884</v>
      </c>
      <c r="E107" s="207">
        <f>(4.06+2.34)*0.08</f>
        <v>0.512</v>
      </c>
      <c r="F107" s="335"/>
      <c r="G107" s="335"/>
      <c r="H107" s="335"/>
      <c r="I107" s="336"/>
      <c r="J107" s="337"/>
      <c r="K107" s="672"/>
      <c r="L107" s="672"/>
      <c r="M107" s="672"/>
      <c r="N107" s="672"/>
      <c r="O107" s="672"/>
      <c r="P107" s="672"/>
      <c r="Q107" s="673"/>
      <c r="R107" s="508"/>
      <c r="S107" s="508"/>
      <c r="T107" s="508"/>
    </row>
    <row r="108" spans="1:20" s="22" customFormat="1" ht="31.5" customHeight="1">
      <c r="A108" s="196" t="s">
        <v>2031</v>
      </c>
      <c r="B108" s="197" t="s">
        <v>2032</v>
      </c>
      <c r="C108" s="199" t="s">
        <v>2033</v>
      </c>
      <c r="D108" s="917"/>
      <c r="E108" s="198" t="s">
        <v>1783</v>
      </c>
      <c r="F108" s="332">
        <f>SUM(E109:E110)</f>
        <v>0.06086849999999999</v>
      </c>
      <c r="G108" s="332"/>
      <c r="H108" s="332">
        <f>F108*G108</f>
        <v>0</v>
      </c>
      <c r="I108" s="333">
        <v>1.06625</v>
      </c>
      <c r="J108" s="334">
        <f>F108*I108</f>
        <v>0.06490103812499999</v>
      </c>
      <c r="K108" s="509"/>
      <c r="L108" s="509"/>
      <c r="M108" s="509"/>
      <c r="N108" s="509"/>
      <c r="O108" s="509"/>
      <c r="P108" s="509"/>
      <c r="Q108" s="509"/>
      <c r="R108" s="509"/>
      <c r="S108" s="509"/>
      <c r="T108" s="509"/>
    </row>
    <row r="109" spans="1:20" s="130" customFormat="1" ht="22.5" customHeight="1">
      <c r="A109" s="204"/>
      <c r="B109" s="205" t="s">
        <v>878</v>
      </c>
      <c r="C109" s="206" t="s">
        <v>895</v>
      </c>
      <c r="D109" s="916" t="s">
        <v>878</v>
      </c>
      <c r="E109" s="207">
        <f>(2.86+3.83)*0.00465</f>
        <v>0.031108499999999994</v>
      </c>
      <c r="F109" s="335"/>
      <c r="G109" s="335"/>
      <c r="H109" s="335"/>
      <c r="I109" s="336"/>
      <c r="J109" s="337"/>
      <c r="K109" s="672"/>
      <c r="L109" s="672"/>
      <c r="M109" s="672"/>
      <c r="N109" s="672"/>
      <c r="O109" s="672"/>
      <c r="P109" s="672"/>
      <c r="Q109" s="673"/>
      <c r="R109" s="508"/>
      <c r="S109" s="508"/>
      <c r="T109" s="508"/>
    </row>
    <row r="110" spans="1:20" s="130" customFormat="1" ht="22.5" customHeight="1">
      <c r="A110" s="204"/>
      <c r="B110" s="205" t="s">
        <v>884</v>
      </c>
      <c r="C110" s="206" t="s">
        <v>896</v>
      </c>
      <c r="D110" s="916" t="s">
        <v>884</v>
      </c>
      <c r="E110" s="207">
        <f>(4.06+2.34)*0.00465</f>
        <v>0.029759999999999995</v>
      </c>
      <c r="F110" s="335"/>
      <c r="G110" s="335"/>
      <c r="H110" s="335"/>
      <c r="I110" s="336"/>
      <c r="J110" s="337"/>
      <c r="K110" s="672"/>
      <c r="L110" s="672"/>
      <c r="M110" s="672"/>
      <c r="N110" s="672"/>
      <c r="O110" s="672"/>
      <c r="P110" s="672"/>
      <c r="Q110" s="673"/>
      <c r="R110" s="508"/>
      <c r="S110" s="508"/>
      <c r="T110" s="508"/>
    </row>
    <row r="111" spans="1:20" s="22" customFormat="1" ht="20.25" customHeight="1" thickBot="1">
      <c r="A111" s="255"/>
      <c r="B111" s="256"/>
      <c r="C111" s="256"/>
      <c r="D111" s="968"/>
      <c r="E111" s="257"/>
      <c r="F111" s="368"/>
      <c r="G111" s="368"/>
      <c r="H111" s="368"/>
      <c r="I111" s="369"/>
      <c r="J111" s="370"/>
      <c r="K111" s="693"/>
      <c r="L111" s="693"/>
      <c r="M111" s="693"/>
      <c r="N111" s="693"/>
      <c r="O111" s="693"/>
      <c r="P111" s="693"/>
      <c r="Q111" s="694"/>
      <c r="R111" s="509"/>
      <c r="S111" s="509"/>
      <c r="T111" s="509"/>
    </row>
    <row r="112" spans="1:20" ht="16.5" customHeight="1" thickBot="1">
      <c r="A112" s="266" t="s">
        <v>2036</v>
      </c>
      <c r="B112" s="175" t="s">
        <v>2037</v>
      </c>
      <c r="C112" s="176" t="s">
        <v>2038</v>
      </c>
      <c r="D112" s="1008" t="s">
        <v>2825</v>
      </c>
      <c r="E112" s="175"/>
      <c r="F112" s="341"/>
      <c r="G112" s="341"/>
      <c r="H112" s="342">
        <f>SUM(H113:H155)</f>
        <v>0</v>
      </c>
      <c r="I112" s="343"/>
      <c r="J112" s="344">
        <f>SUM(J113:J155)</f>
        <v>1.3848507999999995</v>
      </c>
      <c r="K112" s="670"/>
      <c r="L112" s="670"/>
      <c r="M112" s="670"/>
      <c r="N112" s="670"/>
      <c r="O112" s="670"/>
      <c r="P112" s="670"/>
      <c r="Q112" s="670"/>
      <c r="R112" s="670"/>
      <c r="S112" s="670"/>
      <c r="T112" s="670"/>
    </row>
    <row r="113" spans="1:20" s="22" customFormat="1" ht="20.25" customHeight="1">
      <c r="A113" s="190"/>
      <c r="B113" s="191"/>
      <c r="C113" s="191"/>
      <c r="D113" s="964"/>
      <c r="E113" s="192"/>
      <c r="F113" s="345"/>
      <c r="G113" s="345"/>
      <c r="H113" s="345"/>
      <c r="I113" s="346"/>
      <c r="J113" s="347"/>
      <c r="K113" s="693"/>
      <c r="L113" s="693"/>
      <c r="M113" s="693"/>
      <c r="N113" s="693"/>
      <c r="O113" s="693"/>
      <c r="P113" s="693"/>
      <c r="Q113" s="694"/>
      <c r="R113" s="509"/>
      <c r="S113" s="509"/>
      <c r="T113" s="509"/>
    </row>
    <row r="114" spans="1:20" s="22" customFormat="1" ht="20.25" customHeight="1">
      <c r="A114" s="196" t="s">
        <v>2039</v>
      </c>
      <c r="B114" s="197" t="s">
        <v>2040</v>
      </c>
      <c r="C114" s="197" t="s">
        <v>2041</v>
      </c>
      <c r="D114" s="917" t="s">
        <v>2761</v>
      </c>
      <c r="E114" s="198" t="s">
        <v>1831</v>
      </c>
      <c r="F114" s="332">
        <v>66</v>
      </c>
      <c r="G114" s="332"/>
      <c r="H114" s="332">
        <f>F114*G114</f>
        <v>0</v>
      </c>
      <c r="I114" s="333">
        <v>0.0009</v>
      </c>
      <c r="J114" s="334">
        <f>F114*I114</f>
        <v>0.0594</v>
      </c>
      <c r="K114" s="693"/>
      <c r="L114" s="693"/>
      <c r="M114" s="693"/>
      <c r="N114" s="693"/>
      <c r="O114" s="693"/>
      <c r="P114" s="693"/>
      <c r="Q114" s="694"/>
      <c r="R114" s="509"/>
      <c r="S114" s="509"/>
      <c r="T114" s="509"/>
    </row>
    <row r="115" spans="1:20" s="22" customFormat="1" ht="20.25" customHeight="1">
      <c r="A115" s="196" t="s">
        <v>2042</v>
      </c>
      <c r="B115" s="197" t="s">
        <v>2046</v>
      </c>
      <c r="C115" s="197" t="s">
        <v>2047</v>
      </c>
      <c r="D115" s="917" t="s">
        <v>2761</v>
      </c>
      <c r="E115" s="198" t="s">
        <v>1831</v>
      </c>
      <c r="F115" s="332">
        <v>35</v>
      </c>
      <c r="G115" s="332"/>
      <c r="H115" s="332">
        <f>F115*G115</f>
        <v>0</v>
      </c>
      <c r="I115" s="333">
        <v>0.00165</v>
      </c>
      <c r="J115" s="334">
        <f>F115*I115</f>
        <v>0.05775</v>
      </c>
      <c r="K115" s="693"/>
      <c r="L115" s="693"/>
      <c r="M115" s="693"/>
      <c r="N115" s="693"/>
      <c r="O115" s="693"/>
      <c r="P115" s="693"/>
      <c r="Q115" s="694"/>
      <c r="R115" s="509"/>
      <c r="S115" s="509"/>
      <c r="T115" s="509"/>
    </row>
    <row r="116" spans="1:20" s="22" customFormat="1" ht="20.25" customHeight="1">
      <c r="A116" s="196" t="s">
        <v>2045</v>
      </c>
      <c r="B116" s="197" t="s">
        <v>897</v>
      </c>
      <c r="C116" s="197" t="s">
        <v>898</v>
      </c>
      <c r="D116" s="917" t="s">
        <v>2761</v>
      </c>
      <c r="E116" s="198" t="s">
        <v>1748</v>
      </c>
      <c r="F116" s="332">
        <f>E117</f>
        <v>20.16</v>
      </c>
      <c r="G116" s="332"/>
      <c r="H116" s="332">
        <f>F116*G116</f>
        <v>0</v>
      </c>
      <c r="I116" s="333">
        <v>0.00032</v>
      </c>
      <c r="J116" s="334">
        <f>F116*I116</f>
        <v>0.006451200000000001</v>
      </c>
      <c r="K116" s="693"/>
      <c r="L116" s="693"/>
      <c r="M116" s="693"/>
      <c r="N116" s="693"/>
      <c r="O116" s="693"/>
      <c r="P116" s="693"/>
      <c r="Q116" s="694"/>
      <c r="R116" s="509"/>
      <c r="S116" s="509"/>
      <c r="T116" s="509"/>
    </row>
    <row r="117" spans="1:20" s="130" customFormat="1" ht="21.75" customHeight="1">
      <c r="A117" s="204"/>
      <c r="B117" s="205"/>
      <c r="C117" s="206" t="s">
        <v>899</v>
      </c>
      <c r="D117" s="916"/>
      <c r="E117" s="207">
        <f>2.1*2.4*2+2.1*2.4*2</f>
        <v>20.16</v>
      </c>
      <c r="F117" s="335"/>
      <c r="G117" s="335"/>
      <c r="H117" s="335"/>
      <c r="I117" s="336"/>
      <c r="J117" s="337"/>
      <c r="K117" s="672"/>
      <c r="L117" s="672"/>
      <c r="M117" s="672"/>
      <c r="N117" s="672"/>
      <c r="O117" s="672"/>
      <c r="P117" s="672"/>
      <c r="Q117" s="673"/>
      <c r="R117" s="508"/>
      <c r="S117" s="508"/>
      <c r="T117" s="508"/>
    </row>
    <row r="118" spans="1:20" s="22" customFormat="1" ht="62.25" customHeight="1">
      <c r="A118" s="196"/>
      <c r="B118" s="197"/>
      <c r="C118" s="199" t="s">
        <v>2048</v>
      </c>
      <c r="D118" s="917" t="s">
        <v>2761</v>
      </c>
      <c r="E118" s="198"/>
      <c r="F118" s="332"/>
      <c r="G118" s="332"/>
      <c r="H118" s="332"/>
      <c r="I118" s="333"/>
      <c r="J118" s="334"/>
      <c r="K118" s="672" t="s">
        <v>2049</v>
      </c>
      <c r="L118" s="672" t="s">
        <v>2050</v>
      </c>
      <c r="M118" s="672" t="s">
        <v>1748</v>
      </c>
      <c r="N118" s="672" t="s">
        <v>2051</v>
      </c>
      <c r="O118" s="672" t="s">
        <v>2052</v>
      </c>
      <c r="P118" s="672" t="s">
        <v>2053</v>
      </c>
      <c r="Q118" s="673"/>
      <c r="R118" s="509"/>
      <c r="S118" s="509"/>
      <c r="T118" s="509"/>
    </row>
    <row r="119" spans="1:20" s="22" customFormat="1" ht="20.25" customHeight="1">
      <c r="A119" s="196" t="s">
        <v>2054</v>
      </c>
      <c r="B119" s="197" t="s">
        <v>900</v>
      </c>
      <c r="C119" s="197" t="s">
        <v>748</v>
      </c>
      <c r="D119" s="917" t="s">
        <v>901</v>
      </c>
      <c r="E119" s="198" t="s">
        <v>1831</v>
      </c>
      <c r="F119" s="332">
        <v>13</v>
      </c>
      <c r="G119" s="332"/>
      <c r="H119" s="332">
        <f>F119*G119</f>
        <v>0</v>
      </c>
      <c r="I119" s="333">
        <v>0.00168</v>
      </c>
      <c r="J119" s="334">
        <f>F119*I119</f>
        <v>0.021840000000000002</v>
      </c>
      <c r="K119" s="693">
        <v>0.6</v>
      </c>
      <c r="L119" s="693">
        <v>0.45</v>
      </c>
      <c r="M119" s="693">
        <f aca="true" t="shared" si="6" ref="M119:M130">K119*L119</f>
        <v>0.27</v>
      </c>
      <c r="N119" s="693">
        <f aca="true" t="shared" si="7" ref="N119:N130">F119*M119</f>
        <v>3.5100000000000002</v>
      </c>
      <c r="O119" s="693">
        <f aca="true" t="shared" si="8" ref="O119:O130">(K119+L119*2)*F119</f>
        <v>19.5</v>
      </c>
      <c r="P119" s="693">
        <f aca="true" t="shared" si="9" ref="P119:P130">F119*K119</f>
        <v>7.8</v>
      </c>
      <c r="Q119" s="694" t="s">
        <v>2109</v>
      </c>
      <c r="R119" s="509"/>
      <c r="S119" s="509"/>
      <c r="T119" s="509"/>
    </row>
    <row r="120" spans="1:20" s="22" customFormat="1" ht="20.25" customHeight="1">
      <c r="A120" s="196" t="s">
        <v>2059</v>
      </c>
      <c r="B120" s="197" t="s">
        <v>902</v>
      </c>
      <c r="C120" s="197" t="s">
        <v>748</v>
      </c>
      <c r="D120" s="917" t="s">
        <v>901</v>
      </c>
      <c r="E120" s="198" t="s">
        <v>1831</v>
      </c>
      <c r="F120" s="332">
        <v>18</v>
      </c>
      <c r="G120" s="332"/>
      <c r="H120" s="332">
        <f>F120*G120</f>
        <v>0</v>
      </c>
      <c r="I120" s="333">
        <v>0.00168</v>
      </c>
      <c r="J120" s="334">
        <f>F120*I120</f>
        <v>0.030240000000000003</v>
      </c>
      <c r="K120" s="693">
        <v>0.6</v>
      </c>
      <c r="L120" s="693">
        <v>0.45</v>
      </c>
      <c r="M120" s="693">
        <f t="shared" si="6"/>
        <v>0.27</v>
      </c>
      <c r="N120" s="693">
        <f t="shared" si="7"/>
        <v>4.86</v>
      </c>
      <c r="O120" s="693">
        <f t="shared" si="8"/>
        <v>27</v>
      </c>
      <c r="P120" s="693">
        <f t="shared" si="9"/>
        <v>10.799999999999999</v>
      </c>
      <c r="Q120" s="694" t="s">
        <v>2109</v>
      </c>
      <c r="R120" s="509"/>
      <c r="S120" s="509"/>
      <c r="T120" s="509"/>
    </row>
    <row r="121" spans="1:20" s="22" customFormat="1" ht="20.25" customHeight="1">
      <c r="A121" s="196" t="s">
        <v>2065</v>
      </c>
      <c r="B121" s="197" t="s">
        <v>903</v>
      </c>
      <c r="C121" s="197" t="s">
        <v>742</v>
      </c>
      <c r="D121" s="917" t="s">
        <v>904</v>
      </c>
      <c r="E121" s="198" t="s">
        <v>1831</v>
      </c>
      <c r="F121" s="332">
        <v>18</v>
      </c>
      <c r="G121" s="332"/>
      <c r="H121" s="332">
        <f>F121*G121</f>
        <v>0</v>
      </c>
      <c r="I121" s="333">
        <v>0.00168</v>
      </c>
      <c r="J121" s="334">
        <f>F121*I121</f>
        <v>0.030240000000000003</v>
      </c>
      <c r="K121" s="693">
        <v>0.9</v>
      </c>
      <c r="L121" s="693">
        <v>1.5</v>
      </c>
      <c r="M121" s="693">
        <f t="shared" si="6"/>
        <v>1.35</v>
      </c>
      <c r="N121" s="693">
        <f t="shared" si="7"/>
        <v>24.3</v>
      </c>
      <c r="O121" s="693">
        <f t="shared" si="8"/>
        <v>70.2</v>
      </c>
      <c r="P121" s="693">
        <f t="shared" si="9"/>
        <v>16.2</v>
      </c>
      <c r="Q121" s="694" t="s">
        <v>740</v>
      </c>
      <c r="R121" s="509"/>
      <c r="S121" s="509"/>
      <c r="T121" s="509"/>
    </row>
    <row r="122" spans="1:20" s="22" customFormat="1" ht="20.25" customHeight="1">
      <c r="A122" s="196" t="s">
        <v>2069</v>
      </c>
      <c r="B122" s="197" t="s">
        <v>905</v>
      </c>
      <c r="C122" s="197" t="s">
        <v>742</v>
      </c>
      <c r="D122" s="917" t="s">
        <v>906</v>
      </c>
      <c r="E122" s="198" t="s">
        <v>1831</v>
      </c>
      <c r="F122" s="332">
        <v>14</v>
      </c>
      <c r="G122" s="332"/>
      <c r="H122" s="332">
        <f aca="true" t="shared" si="10" ref="H122:H130">F122*G122</f>
        <v>0</v>
      </c>
      <c r="I122" s="333">
        <v>0.00168</v>
      </c>
      <c r="J122" s="334">
        <f aca="true" t="shared" si="11" ref="J122:J130">F122*I122</f>
        <v>0.02352</v>
      </c>
      <c r="K122" s="693">
        <v>0.9</v>
      </c>
      <c r="L122" s="693">
        <v>1.2</v>
      </c>
      <c r="M122" s="693">
        <f t="shared" si="6"/>
        <v>1.08</v>
      </c>
      <c r="N122" s="693">
        <f t="shared" si="7"/>
        <v>15.120000000000001</v>
      </c>
      <c r="O122" s="693">
        <f t="shared" si="8"/>
        <v>46.199999999999996</v>
      </c>
      <c r="P122" s="693">
        <f t="shared" si="9"/>
        <v>12.6</v>
      </c>
      <c r="Q122" s="694" t="s">
        <v>740</v>
      </c>
      <c r="R122" s="509"/>
      <c r="S122" s="509"/>
      <c r="T122" s="509"/>
    </row>
    <row r="123" spans="1:20" s="22" customFormat="1" ht="20.25" customHeight="1">
      <c r="A123" s="196" t="s">
        <v>2074</v>
      </c>
      <c r="B123" s="197" t="s">
        <v>907</v>
      </c>
      <c r="C123" s="197" t="s">
        <v>908</v>
      </c>
      <c r="D123" s="917" t="s">
        <v>909</v>
      </c>
      <c r="E123" s="198" t="s">
        <v>1831</v>
      </c>
      <c r="F123" s="332">
        <v>2</v>
      </c>
      <c r="G123" s="332"/>
      <c r="H123" s="332">
        <f t="shared" si="10"/>
        <v>0</v>
      </c>
      <c r="I123" s="333">
        <v>0.00168</v>
      </c>
      <c r="J123" s="334">
        <f t="shared" si="11"/>
        <v>0.00336</v>
      </c>
      <c r="K123" s="693">
        <v>2.4</v>
      </c>
      <c r="L123" s="693">
        <v>1.2</v>
      </c>
      <c r="M123" s="693">
        <f t="shared" si="6"/>
        <v>2.88</v>
      </c>
      <c r="N123" s="693">
        <f t="shared" si="7"/>
        <v>5.76</v>
      </c>
      <c r="O123" s="693">
        <f t="shared" si="8"/>
        <v>9.6</v>
      </c>
      <c r="P123" s="693">
        <f t="shared" si="9"/>
        <v>4.8</v>
      </c>
      <c r="Q123" s="694" t="s">
        <v>740</v>
      </c>
      <c r="R123" s="509"/>
      <c r="S123" s="509"/>
      <c r="T123" s="509"/>
    </row>
    <row r="124" spans="1:20" s="22" customFormat="1" ht="20.25" customHeight="1">
      <c r="A124" s="196" t="s">
        <v>2078</v>
      </c>
      <c r="B124" s="197" t="s">
        <v>910</v>
      </c>
      <c r="C124" s="197" t="s">
        <v>908</v>
      </c>
      <c r="D124" s="917" t="s">
        <v>911</v>
      </c>
      <c r="E124" s="198" t="s">
        <v>1831</v>
      </c>
      <c r="F124" s="332">
        <v>29</v>
      </c>
      <c r="G124" s="332"/>
      <c r="H124" s="332">
        <f t="shared" si="10"/>
        <v>0</v>
      </c>
      <c r="I124" s="333">
        <v>0.00168</v>
      </c>
      <c r="J124" s="334">
        <f t="shared" si="11"/>
        <v>0.04872</v>
      </c>
      <c r="K124" s="693">
        <v>2.4</v>
      </c>
      <c r="L124" s="693">
        <v>1.5</v>
      </c>
      <c r="M124" s="693">
        <f t="shared" si="6"/>
        <v>3.5999999999999996</v>
      </c>
      <c r="N124" s="693">
        <f t="shared" si="7"/>
        <v>104.39999999999999</v>
      </c>
      <c r="O124" s="693">
        <f t="shared" si="8"/>
        <v>156.60000000000002</v>
      </c>
      <c r="P124" s="693">
        <f t="shared" si="9"/>
        <v>69.6</v>
      </c>
      <c r="Q124" s="694" t="s">
        <v>740</v>
      </c>
      <c r="R124" s="509"/>
      <c r="S124" s="509"/>
      <c r="T124" s="509"/>
    </row>
    <row r="125" spans="1:20" s="22" customFormat="1" ht="20.25" customHeight="1">
      <c r="A125" s="196" t="s">
        <v>2081</v>
      </c>
      <c r="B125" s="197" t="s">
        <v>912</v>
      </c>
      <c r="C125" s="197" t="s">
        <v>913</v>
      </c>
      <c r="D125" s="917" t="s">
        <v>914</v>
      </c>
      <c r="E125" s="198" t="s">
        <v>1831</v>
      </c>
      <c r="F125" s="332">
        <v>2</v>
      </c>
      <c r="G125" s="332"/>
      <c r="H125" s="332">
        <f t="shared" si="10"/>
        <v>0</v>
      </c>
      <c r="I125" s="333">
        <v>0.00168</v>
      </c>
      <c r="J125" s="334">
        <f t="shared" si="11"/>
        <v>0.00336</v>
      </c>
      <c r="K125" s="693">
        <v>2.1</v>
      </c>
      <c r="L125" s="693">
        <v>1.5</v>
      </c>
      <c r="M125" s="693">
        <f t="shared" si="6"/>
        <v>3.1500000000000004</v>
      </c>
      <c r="N125" s="693">
        <f t="shared" si="7"/>
        <v>6.300000000000001</v>
      </c>
      <c r="O125" s="693">
        <f t="shared" si="8"/>
        <v>10.2</v>
      </c>
      <c r="P125" s="693">
        <f t="shared" si="9"/>
        <v>4.2</v>
      </c>
      <c r="Q125" s="694" t="s">
        <v>740</v>
      </c>
      <c r="R125" s="509"/>
      <c r="S125" s="509"/>
      <c r="T125" s="509"/>
    </row>
    <row r="126" spans="1:20" s="22" customFormat="1" ht="20.25" customHeight="1">
      <c r="A126" s="196" t="s">
        <v>2085</v>
      </c>
      <c r="B126" s="197" t="s">
        <v>915</v>
      </c>
      <c r="C126" s="197" t="s">
        <v>916</v>
      </c>
      <c r="D126" s="917" t="s">
        <v>917</v>
      </c>
      <c r="E126" s="198" t="s">
        <v>1831</v>
      </c>
      <c r="F126" s="332">
        <v>2</v>
      </c>
      <c r="G126" s="332"/>
      <c r="H126" s="332">
        <f t="shared" si="10"/>
        <v>0</v>
      </c>
      <c r="I126" s="333">
        <v>0.00168</v>
      </c>
      <c r="J126" s="334">
        <f t="shared" si="11"/>
        <v>0.00336</v>
      </c>
      <c r="K126" s="693">
        <v>3</v>
      </c>
      <c r="L126" s="693">
        <v>1.85</v>
      </c>
      <c r="M126" s="693">
        <f t="shared" si="6"/>
        <v>5.550000000000001</v>
      </c>
      <c r="N126" s="693">
        <f t="shared" si="7"/>
        <v>11.100000000000001</v>
      </c>
      <c r="O126" s="693">
        <f t="shared" si="8"/>
        <v>13.4</v>
      </c>
      <c r="P126" s="693">
        <f t="shared" si="9"/>
        <v>6</v>
      </c>
      <c r="Q126" s="694" t="s">
        <v>740</v>
      </c>
      <c r="R126" s="509"/>
      <c r="S126" s="509"/>
      <c r="T126" s="509"/>
    </row>
    <row r="127" spans="1:20" s="22" customFormat="1" ht="30" customHeight="1">
      <c r="A127" s="196" t="s">
        <v>2089</v>
      </c>
      <c r="B127" s="197" t="s">
        <v>918</v>
      </c>
      <c r="C127" s="199" t="s">
        <v>919</v>
      </c>
      <c r="D127" s="917" t="s">
        <v>920</v>
      </c>
      <c r="E127" s="198" t="s">
        <v>1831</v>
      </c>
      <c r="F127" s="332">
        <v>2</v>
      </c>
      <c r="G127" s="332"/>
      <c r="H127" s="332">
        <f t="shared" si="10"/>
        <v>0</v>
      </c>
      <c r="I127" s="333">
        <v>0.00168</v>
      </c>
      <c r="J127" s="334">
        <f t="shared" si="11"/>
        <v>0.00336</v>
      </c>
      <c r="K127" s="693">
        <v>2.1</v>
      </c>
      <c r="L127" s="693">
        <v>2.4</v>
      </c>
      <c r="M127" s="693">
        <f t="shared" si="6"/>
        <v>5.04</v>
      </c>
      <c r="N127" s="693">
        <f t="shared" si="7"/>
        <v>10.08</v>
      </c>
      <c r="O127" s="693">
        <f t="shared" si="8"/>
        <v>13.8</v>
      </c>
      <c r="P127" s="693">
        <f t="shared" si="9"/>
        <v>4.2</v>
      </c>
      <c r="Q127" s="694" t="s">
        <v>740</v>
      </c>
      <c r="R127" s="509"/>
      <c r="S127" s="509"/>
      <c r="T127" s="509"/>
    </row>
    <row r="128" spans="1:20" s="22" customFormat="1" ht="31.5" customHeight="1">
      <c r="A128" s="196" t="s">
        <v>2093</v>
      </c>
      <c r="B128" s="197" t="s">
        <v>921</v>
      </c>
      <c r="C128" s="199" t="s">
        <v>922</v>
      </c>
      <c r="D128" s="917" t="s">
        <v>920</v>
      </c>
      <c r="E128" s="198" t="s">
        <v>1831</v>
      </c>
      <c r="F128" s="332">
        <v>2</v>
      </c>
      <c r="G128" s="332"/>
      <c r="H128" s="332">
        <f t="shared" si="10"/>
        <v>0</v>
      </c>
      <c r="I128" s="333">
        <v>0.00168</v>
      </c>
      <c r="J128" s="334">
        <f t="shared" si="11"/>
        <v>0.00336</v>
      </c>
      <c r="K128" s="693">
        <v>2.1</v>
      </c>
      <c r="L128" s="693">
        <v>2.4</v>
      </c>
      <c r="M128" s="693">
        <f t="shared" si="6"/>
        <v>5.04</v>
      </c>
      <c r="N128" s="693">
        <f t="shared" si="7"/>
        <v>10.08</v>
      </c>
      <c r="O128" s="693">
        <f t="shared" si="8"/>
        <v>13.8</v>
      </c>
      <c r="P128" s="693">
        <f t="shared" si="9"/>
        <v>4.2</v>
      </c>
      <c r="Q128" s="694" t="s">
        <v>740</v>
      </c>
      <c r="R128" s="509"/>
      <c r="S128" s="509"/>
      <c r="T128" s="509"/>
    </row>
    <row r="129" spans="1:20" s="22" customFormat="1" ht="20.25" customHeight="1">
      <c r="A129" s="196" t="s">
        <v>2097</v>
      </c>
      <c r="B129" s="197" t="s">
        <v>923</v>
      </c>
      <c r="C129" s="197" t="s">
        <v>924</v>
      </c>
      <c r="D129" s="917" t="s">
        <v>925</v>
      </c>
      <c r="E129" s="198" t="s">
        <v>1831</v>
      </c>
      <c r="F129" s="332">
        <v>1</v>
      </c>
      <c r="G129" s="332"/>
      <c r="H129" s="332">
        <f t="shared" si="10"/>
        <v>0</v>
      </c>
      <c r="I129" s="333">
        <v>0.00168</v>
      </c>
      <c r="J129" s="334">
        <f t="shared" si="11"/>
        <v>0.00168</v>
      </c>
      <c r="K129" s="693">
        <v>2.1</v>
      </c>
      <c r="L129" s="693">
        <v>0.4</v>
      </c>
      <c r="M129" s="693">
        <f t="shared" si="6"/>
        <v>0.8400000000000001</v>
      </c>
      <c r="N129" s="693">
        <f t="shared" si="7"/>
        <v>0.8400000000000001</v>
      </c>
      <c r="O129" s="693">
        <f t="shared" si="8"/>
        <v>2.9000000000000004</v>
      </c>
      <c r="P129" s="693">
        <f t="shared" si="9"/>
        <v>2.1</v>
      </c>
      <c r="Q129" s="694" t="s">
        <v>740</v>
      </c>
      <c r="R129" s="509"/>
      <c r="S129" s="509"/>
      <c r="T129" s="509"/>
    </row>
    <row r="130" spans="1:20" s="22" customFormat="1" ht="20.25" customHeight="1">
      <c r="A130" s="196" t="s">
        <v>2101</v>
      </c>
      <c r="B130" s="197" t="s">
        <v>926</v>
      </c>
      <c r="C130" s="197" t="s">
        <v>927</v>
      </c>
      <c r="D130" s="917" t="s">
        <v>749</v>
      </c>
      <c r="E130" s="198" t="s">
        <v>1831</v>
      </c>
      <c r="F130" s="332">
        <v>2</v>
      </c>
      <c r="G130" s="332"/>
      <c r="H130" s="332">
        <f t="shared" si="10"/>
        <v>0</v>
      </c>
      <c r="I130" s="333">
        <v>0.00168</v>
      </c>
      <c r="J130" s="334">
        <f t="shared" si="11"/>
        <v>0.00336</v>
      </c>
      <c r="K130" s="693">
        <v>0.9</v>
      </c>
      <c r="L130" s="693">
        <v>0.6</v>
      </c>
      <c r="M130" s="693">
        <f t="shared" si="6"/>
        <v>0.54</v>
      </c>
      <c r="N130" s="693">
        <f t="shared" si="7"/>
        <v>1.08</v>
      </c>
      <c r="O130" s="693">
        <f t="shared" si="8"/>
        <v>4.2</v>
      </c>
      <c r="P130" s="693">
        <f t="shared" si="9"/>
        <v>1.8</v>
      </c>
      <c r="Q130" s="694" t="s">
        <v>740</v>
      </c>
      <c r="R130" s="509"/>
      <c r="S130" s="509"/>
      <c r="T130" s="509"/>
    </row>
    <row r="131" spans="1:20" s="22" customFormat="1" ht="20.25" customHeight="1">
      <c r="A131" s="196"/>
      <c r="B131" s="197"/>
      <c r="C131" s="197"/>
      <c r="D131" s="917"/>
      <c r="E131" s="198"/>
      <c r="F131" s="332"/>
      <c r="G131" s="332"/>
      <c r="H131" s="332"/>
      <c r="I131" s="333"/>
      <c r="J131" s="334"/>
      <c r="K131" s="693"/>
      <c r="L131" s="693"/>
      <c r="M131" s="693"/>
      <c r="N131" s="693"/>
      <c r="O131" s="693"/>
      <c r="P131" s="693"/>
      <c r="Q131" s="694"/>
      <c r="R131" s="509"/>
      <c r="S131" s="509"/>
      <c r="T131" s="509"/>
    </row>
    <row r="132" spans="1:20" s="22" customFormat="1" ht="20.25" customHeight="1">
      <c r="A132" s="196" t="s">
        <v>2105</v>
      </c>
      <c r="B132" s="197" t="s">
        <v>2250</v>
      </c>
      <c r="C132" s="197" t="s">
        <v>750</v>
      </c>
      <c r="D132" s="917" t="s">
        <v>2782</v>
      </c>
      <c r="E132" s="198" t="s">
        <v>1826</v>
      </c>
      <c r="F132" s="332">
        <f>E133</f>
        <v>129.9</v>
      </c>
      <c r="G132" s="332"/>
      <c r="H132" s="332">
        <f>F132*G132</f>
        <v>0</v>
      </c>
      <c r="I132" s="333">
        <v>0.00222</v>
      </c>
      <c r="J132" s="334">
        <f>F132*I132</f>
        <v>0.288378</v>
      </c>
      <c r="K132" s="693"/>
      <c r="L132" s="693"/>
      <c r="M132" s="693"/>
      <c r="N132" s="693"/>
      <c r="O132" s="693"/>
      <c r="P132" s="693"/>
      <c r="Q132" s="694"/>
      <c r="R132" s="509"/>
      <c r="S132" s="509"/>
      <c r="T132" s="509"/>
    </row>
    <row r="133" spans="1:20" s="130" customFormat="1" ht="28.5" customHeight="1">
      <c r="A133" s="204"/>
      <c r="B133" s="205"/>
      <c r="C133" s="206" t="s">
        <v>928</v>
      </c>
      <c r="D133" s="916"/>
      <c r="E133" s="207">
        <f>(0.6*13+0.6*18+0.9*18+0.9*14+2.4*2+2.4*29+2.1*2+2.1*1+0.9*2)</f>
        <v>129.9</v>
      </c>
      <c r="F133" s="335"/>
      <c r="G133" s="335"/>
      <c r="H133" s="335"/>
      <c r="I133" s="336"/>
      <c r="J133" s="337"/>
      <c r="K133" s="672"/>
      <c r="L133" s="672"/>
      <c r="M133" s="672"/>
      <c r="N133" s="672"/>
      <c r="O133" s="672"/>
      <c r="P133" s="672"/>
      <c r="Q133" s="673"/>
      <c r="R133" s="508"/>
      <c r="S133" s="508"/>
      <c r="T133" s="508"/>
    </row>
    <row r="134" spans="1:20" s="22" customFormat="1" ht="24" customHeight="1">
      <c r="A134" s="196"/>
      <c r="B134" s="197"/>
      <c r="C134" s="199" t="s">
        <v>2258</v>
      </c>
      <c r="D134" s="917" t="s">
        <v>2782</v>
      </c>
      <c r="E134" s="198"/>
      <c r="F134" s="332"/>
      <c r="G134" s="332"/>
      <c r="H134" s="332"/>
      <c r="I134" s="333"/>
      <c r="J134" s="334"/>
      <c r="K134" s="693"/>
      <c r="L134" s="693"/>
      <c r="M134" s="693"/>
      <c r="N134" s="693"/>
      <c r="O134" s="693"/>
      <c r="P134" s="693"/>
      <c r="Q134" s="694"/>
      <c r="R134" s="509"/>
      <c r="S134" s="509"/>
      <c r="T134" s="509"/>
    </row>
    <row r="135" spans="1:20" s="22" customFormat="1" ht="20.25" customHeight="1">
      <c r="A135" s="196" t="s">
        <v>2111</v>
      </c>
      <c r="B135" s="197" t="s">
        <v>2260</v>
      </c>
      <c r="C135" s="197" t="s">
        <v>2269</v>
      </c>
      <c r="D135" s="917" t="s">
        <v>2782</v>
      </c>
      <c r="E135" s="198" t="s">
        <v>1826</v>
      </c>
      <c r="F135" s="332">
        <f>E136</f>
        <v>142.89000000000001</v>
      </c>
      <c r="G135" s="332"/>
      <c r="H135" s="332">
        <f>F135*G135</f>
        <v>0</v>
      </c>
      <c r="I135" s="333">
        <v>0.0052</v>
      </c>
      <c r="J135" s="334">
        <f>F135*I135</f>
        <v>0.743028</v>
      </c>
      <c r="K135" s="693"/>
      <c r="L135" s="693"/>
      <c r="M135" s="693"/>
      <c r="N135" s="693"/>
      <c r="O135" s="693"/>
      <c r="P135" s="693"/>
      <c r="Q135" s="694"/>
      <c r="R135" s="509"/>
      <c r="S135" s="509"/>
      <c r="T135" s="509"/>
    </row>
    <row r="136" spans="1:20" s="130" customFormat="1" ht="28.5" customHeight="1">
      <c r="A136" s="204"/>
      <c r="B136" s="205"/>
      <c r="C136" s="206" t="s">
        <v>929</v>
      </c>
      <c r="D136" s="916"/>
      <c r="E136" s="207">
        <f>(0.6*13+0.6*18+0.9*18+0.9*14+2.4*2+2.4*29+2.1*2+2.1*1+0.9*2)*1.1</f>
        <v>142.89000000000001</v>
      </c>
      <c r="F136" s="335"/>
      <c r="G136" s="335"/>
      <c r="H136" s="335"/>
      <c r="I136" s="336"/>
      <c r="J136" s="337"/>
      <c r="K136" s="672"/>
      <c r="L136" s="672"/>
      <c r="M136" s="672"/>
      <c r="N136" s="672"/>
      <c r="O136" s="672"/>
      <c r="P136" s="672"/>
      <c r="Q136" s="673"/>
      <c r="R136" s="508"/>
      <c r="S136" s="508"/>
      <c r="T136" s="508"/>
    </row>
    <row r="137" spans="1:20" s="22" customFormat="1" ht="20.25" customHeight="1">
      <c r="A137" s="196"/>
      <c r="B137" s="197"/>
      <c r="C137" s="197"/>
      <c r="D137" s="917"/>
      <c r="E137" s="198"/>
      <c r="F137" s="332"/>
      <c r="G137" s="332"/>
      <c r="H137" s="332"/>
      <c r="I137" s="333"/>
      <c r="J137" s="334"/>
      <c r="K137" s="693"/>
      <c r="L137" s="693"/>
      <c r="M137" s="693"/>
      <c r="N137" s="693"/>
      <c r="O137" s="693"/>
      <c r="P137" s="693"/>
      <c r="Q137" s="694"/>
      <c r="R137" s="509"/>
      <c r="S137" s="509"/>
      <c r="T137" s="509"/>
    </row>
    <row r="138" spans="1:20" s="22" customFormat="1" ht="20.25" customHeight="1">
      <c r="A138" s="196" t="s">
        <v>2134</v>
      </c>
      <c r="B138" s="197" t="s">
        <v>2296</v>
      </c>
      <c r="C138" s="197" t="s">
        <v>2297</v>
      </c>
      <c r="D138" s="917" t="s">
        <v>2783</v>
      </c>
      <c r="E138" s="198" t="s">
        <v>1826</v>
      </c>
      <c r="F138" s="332">
        <f>E139</f>
        <v>18.68</v>
      </c>
      <c r="G138" s="332"/>
      <c r="H138" s="332">
        <f aca="true" t="shared" si="12" ref="H138:H146">F138*G138</f>
        <v>0</v>
      </c>
      <c r="I138" s="333">
        <v>8E-05</v>
      </c>
      <c r="J138" s="334">
        <f>F138*I138</f>
        <v>0.0014944000000000001</v>
      </c>
      <c r="K138" s="509"/>
      <c r="L138" s="509"/>
      <c r="M138" s="509"/>
      <c r="N138" s="509"/>
      <c r="O138" s="509"/>
      <c r="P138" s="509"/>
      <c r="Q138" s="704"/>
      <c r="R138" s="509"/>
      <c r="S138" s="509"/>
      <c r="T138" s="509"/>
    </row>
    <row r="139" spans="1:20" s="130" customFormat="1" ht="28.5" customHeight="1">
      <c r="A139" s="204"/>
      <c r="B139" s="205"/>
      <c r="C139" s="206" t="s">
        <v>930</v>
      </c>
      <c r="D139" s="916"/>
      <c r="E139" s="207">
        <f>(1.6+2.1)*2*1+(0.8+1.97)*2*1+(0.9+1.97)*2*1</f>
        <v>18.68</v>
      </c>
      <c r="F139" s="335"/>
      <c r="G139" s="335"/>
      <c r="H139" s="335"/>
      <c r="I139" s="336"/>
      <c r="J139" s="337"/>
      <c r="K139" s="672"/>
      <c r="L139" s="672"/>
      <c r="M139" s="672"/>
      <c r="N139" s="672"/>
      <c r="O139" s="672"/>
      <c r="P139" s="672"/>
      <c r="Q139" s="673"/>
      <c r="R139" s="508"/>
      <c r="S139" s="508"/>
      <c r="T139" s="508"/>
    </row>
    <row r="140" spans="1:20" s="22" customFormat="1" ht="49.5" customHeight="1">
      <c r="A140" s="196"/>
      <c r="B140" s="197"/>
      <c r="C140" s="199" t="s">
        <v>2299</v>
      </c>
      <c r="D140" s="917" t="s">
        <v>2784</v>
      </c>
      <c r="E140" s="198"/>
      <c r="F140" s="332"/>
      <c r="G140" s="332"/>
      <c r="H140" s="332"/>
      <c r="I140" s="333"/>
      <c r="J140" s="334"/>
      <c r="K140" s="693"/>
      <c r="L140" s="693"/>
      <c r="M140" s="693"/>
      <c r="N140" s="693"/>
      <c r="O140" s="693"/>
      <c r="P140" s="693"/>
      <c r="Q140" s="694"/>
      <c r="R140" s="509"/>
      <c r="S140" s="509"/>
      <c r="T140" s="509"/>
    </row>
    <row r="141" spans="1:20" s="22" customFormat="1" ht="29.25" customHeight="1">
      <c r="A141" s="196" t="s">
        <v>2139</v>
      </c>
      <c r="B141" s="197" t="s">
        <v>931</v>
      </c>
      <c r="C141" s="199" t="s">
        <v>932</v>
      </c>
      <c r="D141" s="917" t="s">
        <v>2100</v>
      </c>
      <c r="E141" s="198" t="s">
        <v>1831</v>
      </c>
      <c r="F141" s="332">
        <v>1</v>
      </c>
      <c r="G141" s="332"/>
      <c r="H141" s="332">
        <f t="shared" si="12"/>
        <v>0</v>
      </c>
      <c r="I141" s="333">
        <v>0.00168</v>
      </c>
      <c r="J141" s="334">
        <f aca="true" t="shared" si="13" ref="J141:J146">F141*I141</f>
        <v>0.00168</v>
      </c>
      <c r="K141" s="693">
        <v>1.6</v>
      </c>
      <c r="L141" s="693">
        <v>2.1</v>
      </c>
      <c r="M141" s="693">
        <f>K141*L141</f>
        <v>3.3600000000000003</v>
      </c>
      <c r="N141" s="693">
        <f>F141*M141</f>
        <v>3.3600000000000003</v>
      </c>
      <c r="O141" s="693">
        <f>(K141+L141*2)*F141</f>
        <v>5.800000000000001</v>
      </c>
      <c r="P141" s="693">
        <v>0</v>
      </c>
      <c r="Q141" s="694" t="s">
        <v>740</v>
      </c>
      <c r="R141" s="509"/>
      <c r="S141" s="509"/>
      <c r="T141" s="509"/>
    </row>
    <row r="142" spans="1:20" s="22" customFormat="1" ht="26.25" customHeight="1">
      <c r="A142" s="196" t="s">
        <v>2142</v>
      </c>
      <c r="B142" s="197" t="s">
        <v>933</v>
      </c>
      <c r="C142" s="199" t="s">
        <v>934</v>
      </c>
      <c r="D142" s="917" t="s">
        <v>760</v>
      </c>
      <c r="E142" s="198" t="s">
        <v>1831</v>
      </c>
      <c r="F142" s="332">
        <v>1</v>
      </c>
      <c r="G142" s="332"/>
      <c r="H142" s="332">
        <f t="shared" si="12"/>
        <v>0</v>
      </c>
      <c r="I142" s="333">
        <v>0.00168</v>
      </c>
      <c r="J142" s="334">
        <f t="shared" si="13"/>
        <v>0.00168</v>
      </c>
      <c r="K142" s="693">
        <v>0.8</v>
      </c>
      <c r="L142" s="693">
        <v>1.97</v>
      </c>
      <c r="M142" s="693">
        <f>K142*L142</f>
        <v>1.576</v>
      </c>
      <c r="N142" s="693">
        <f>F142*M142</f>
        <v>1.576</v>
      </c>
      <c r="O142" s="693">
        <f>(K142+L142*2)*F142</f>
        <v>4.74</v>
      </c>
      <c r="P142" s="693">
        <v>0</v>
      </c>
      <c r="Q142" s="694" t="s">
        <v>740</v>
      </c>
      <c r="R142" s="509"/>
      <c r="S142" s="509"/>
      <c r="T142" s="509"/>
    </row>
    <row r="143" spans="1:20" s="22" customFormat="1" ht="27.75" customHeight="1">
      <c r="A143" s="196" t="s">
        <v>2146</v>
      </c>
      <c r="B143" s="197" t="s">
        <v>935</v>
      </c>
      <c r="C143" s="199" t="s">
        <v>936</v>
      </c>
      <c r="D143" s="917" t="s">
        <v>937</v>
      </c>
      <c r="E143" s="198" t="s">
        <v>1831</v>
      </c>
      <c r="F143" s="332">
        <v>1</v>
      </c>
      <c r="G143" s="332"/>
      <c r="H143" s="332">
        <f t="shared" si="12"/>
        <v>0</v>
      </c>
      <c r="I143" s="333">
        <v>0.00168</v>
      </c>
      <c r="J143" s="334">
        <f t="shared" si="13"/>
        <v>0.00168</v>
      </c>
      <c r="K143" s="693">
        <v>0.9</v>
      </c>
      <c r="L143" s="693">
        <v>1.97</v>
      </c>
      <c r="M143" s="693">
        <f>K143*L143</f>
        <v>1.773</v>
      </c>
      <c r="N143" s="693">
        <f>F143*M143</f>
        <v>1.773</v>
      </c>
      <c r="O143" s="693">
        <f>(K143+L143*2)*F143</f>
        <v>4.84</v>
      </c>
      <c r="P143" s="693">
        <v>0</v>
      </c>
      <c r="Q143" s="694" t="s">
        <v>740</v>
      </c>
      <c r="R143" s="509"/>
      <c r="S143" s="509"/>
      <c r="T143" s="509"/>
    </row>
    <row r="144" spans="1:20" s="22" customFormat="1" ht="20.25" customHeight="1">
      <c r="A144" s="196"/>
      <c r="B144" s="197"/>
      <c r="C144" s="199"/>
      <c r="D144" s="917"/>
      <c r="E144" s="198"/>
      <c r="F144" s="332"/>
      <c r="G144" s="332"/>
      <c r="H144" s="332"/>
      <c r="I144" s="333"/>
      <c r="J144" s="334"/>
      <c r="K144" s="693"/>
      <c r="L144" s="693"/>
      <c r="M144" s="693"/>
      <c r="N144" s="693"/>
      <c r="O144" s="693"/>
      <c r="P144" s="693"/>
      <c r="Q144" s="694"/>
      <c r="R144" s="509"/>
      <c r="S144" s="509"/>
      <c r="T144" s="509"/>
    </row>
    <row r="145" spans="1:20" s="22" customFormat="1" ht="20.25" customHeight="1">
      <c r="A145" s="196" t="s">
        <v>2149</v>
      </c>
      <c r="B145" s="197" t="s">
        <v>938</v>
      </c>
      <c r="C145" s="197" t="s">
        <v>939</v>
      </c>
      <c r="D145" s="917"/>
      <c r="E145" s="198" t="s">
        <v>1831</v>
      </c>
      <c r="F145" s="332">
        <v>1</v>
      </c>
      <c r="G145" s="519"/>
      <c r="H145" s="332">
        <f>F145*G145</f>
        <v>0</v>
      </c>
      <c r="I145" s="333">
        <v>0.00043</v>
      </c>
      <c r="J145" s="334">
        <f>F145*I145</f>
        <v>0.00043</v>
      </c>
      <c r="K145" s="693"/>
      <c r="L145" s="693"/>
      <c r="M145" s="693"/>
      <c r="N145" s="693"/>
      <c r="O145" s="693"/>
      <c r="P145" s="693"/>
      <c r="Q145" s="694"/>
      <c r="R145" s="509"/>
      <c r="S145" s="509"/>
      <c r="T145" s="509"/>
    </row>
    <row r="146" spans="1:20" s="22" customFormat="1" ht="20.25" customHeight="1">
      <c r="A146" s="196" t="s">
        <v>2152</v>
      </c>
      <c r="B146" s="197" t="s">
        <v>940</v>
      </c>
      <c r="C146" s="197" t="s">
        <v>941</v>
      </c>
      <c r="D146" s="917" t="s">
        <v>942</v>
      </c>
      <c r="E146" s="198" t="s">
        <v>1831</v>
      </c>
      <c r="F146" s="332">
        <v>1</v>
      </c>
      <c r="G146" s="519"/>
      <c r="H146" s="332">
        <f t="shared" si="12"/>
        <v>0</v>
      </c>
      <c r="I146" s="333">
        <v>0.00168</v>
      </c>
      <c r="J146" s="334">
        <f t="shared" si="13"/>
        <v>0.00168</v>
      </c>
      <c r="K146" s="693">
        <v>0.7</v>
      </c>
      <c r="L146" s="693">
        <v>1.5</v>
      </c>
      <c r="M146" s="693">
        <f>K146*L146</f>
        <v>1.0499999999999998</v>
      </c>
      <c r="N146" s="693">
        <f>F146*M146</f>
        <v>1.0499999999999998</v>
      </c>
      <c r="O146" s="693">
        <f>(K146+L146*2)*F146</f>
        <v>3.7</v>
      </c>
      <c r="P146" s="693">
        <v>0</v>
      </c>
      <c r="Q146" s="694"/>
      <c r="R146" s="509"/>
      <c r="S146" s="509"/>
      <c r="T146" s="509"/>
    </row>
    <row r="147" spans="1:20" s="22" customFormat="1" ht="20.25" customHeight="1">
      <c r="A147" s="196"/>
      <c r="B147" s="197"/>
      <c r="C147" s="197"/>
      <c r="D147" s="917"/>
      <c r="E147" s="198"/>
      <c r="F147" s="332"/>
      <c r="G147" s="332"/>
      <c r="H147" s="332"/>
      <c r="I147" s="333"/>
      <c r="J147" s="334"/>
      <c r="K147" s="693"/>
      <c r="L147" s="693"/>
      <c r="M147" s="693"/>
      <c r="N147" s="693"/>
      <c r="O147" s="693"/>
      <c r="P147" s="693"/>
      <c r="Q147" s="694"/>
      <c r="R147" s="509"/>
      <c r="S147" s="509"/>
      <c r="T147" s="509"/>
    </row>
    <row r="148" spans="1:20" s="22" customFormat="1" ht="30" customHeight="1">
      <c r="A148" s="196" t="s">
        <v>2156</v>
      </c>
      <c r="B148" s="197" t="s">
        <v>2280</v>
      </c>
      <c r="C148" s="199" t="s">
        <v>2281</v>
      </c>
      <c r="D148" s="917"/>
      <c r="E148" s="198" t="s">
        <v>1826</v>
      </c>
      <c r="F148" s="332">
        <f>E149</f>
        <v>402.78</v>
      </c>
      <c r="G148" s="332"/>
      <c r="H148" s="332">
        <f>F148*G148</f>
        <v>0</v>
      </c>
      <c r="I148" s="333">
        <v>4E-05</v>
      </c>
      <c r="J148" s="334">
        <f>F148*I148</f>
        <v>0.0161112</v>
      </c>
      <c r="K148" s="693"/>
      <c r="L148" s="693"/>
      <c r="M148" s="693"/>
      <c r="N148" s="693"/>
      <c r="O148" s="693"/>
      <c r="P148" s="693"/>
      <c r="Q148" s="694"/>
      <c r="R148" s="509"/>
      <c r="S148" s="509"/>
      <c r="T148" s="509"/>
    </row>
    <row r="149" spans="1:20" s="130" customFormat="1" ht="30" customHeight="1">
      <c r="A149" s="204"/>
      <c r="B149" s="205"/>
      <c r="C149" s="206" t="s">
        <v>943</v>
      </c>
      <c r="D149" s="916"/>
      <c r="E149" s="207">
        <f>19.5+27+70.2+46.2+9.6+156.6+10.2+13.4+13.8+13.8+2.9+4.2+5.8+4.74+4.84</f>
        <v>402.78</v>
      </c>
      <c r="F149" s="335"/>
      <c r="G149" s="335"/>
      <c r="H149" s="335"/>
      <c r="I149" s="336"/>
      <c r="J149" s="337"/>
      <c r="K149" s="672"/>
      <c r="L149" s="672"/>
      <c r="M149" s="672"/>
      <c r="N149" s="672"/>
      <c r="O149" s="672"/>
      <c r="P149" s="672"/>
      <c r="Q149" s="673"/>
      <c r="R149" s="508"/>
      <c r="S149" s="508"/>
      <c r="T149" s="508"/>
    </row>
    <row r="150" spans="1:20" s="22" customFormat="1" ht="30" customHeight="1">
      <c r="A150" s="196" t="s">
        <v>2160</v>
      </c>
      <c r="B150" s="197" t="s">
        <v>2284</v>
      </c>
      <c r="C150" s="199" t="s">
        <v>2285</v>
      </c>
      <c r="D150" s="917" t="s">
        <v>2761</v>
      </c>
      <c r="E150" s="198" t="s">
        <v>1826</v>
      </c>
      <c r="F150" s="332">
        <f>E151</f>
        <v>144.29999999999998</v>
      </c>
      <c r="G150" s="332"/>
      <c r="H150" s="332">
        <f>F150*G150</f>
        <v>0</v>
      </c>
      <c r="I150" s="333">
        <v>0.00016</v>
      </c>
      <c r="J150" s="334">
        <f>F150*I150</f>
        <v>0.023088</v>
      </c>
      <c r="K150" s="693"/>
      <c r="L150" s="693"/>
      <c r="M150" s="693"/>
      <c r="N150" s="693"/>
      <c r="O150" s="693"/>
      <c r="P150" s="693"/>
      <c r="Q150" s="694"/>
      <c r="R150" s="509"/>
      <c r="S150" s="509"/>
      <c r="T150" s="509"/>
    </row>
    <row r="151" spans="1:20" s="130" customFormat="1" ht="22.5" customHeight="1">
      <c r="A151" s="204"/>
      <c r="B151" s="205"/>
      <c r="C151" s="206" t="s">
        <v>944</v>
      </c>
      <c r="D151" s="916"/>
      <c r="E151" s="207">
        <f>7.8+10.8+16.2+12.6+4.8+69.6+4.2+6+4.2+4.2+2.1+1.8</f>
        <v>144.29999999999998</v>
      </c>
      <c r="F151" s="335"/>
      <c r="G151" s="335"/>
      <c r="H151" s="335"/>
      <c r="I151" s="336"/>
      <c r="J151" s="337"/>
      <c r="K151" s="672"/>
      <c r="L151" s="672"/>
      <c r="M151" s="672"/>
      <c r="N151" s="672"/>
      <c r="O151" s="672"/>
      <c r="P151" s="672"/>
      <c r="Q151" s="673"/>
      <c r="R151" s="508"/>
      <c r="S151" s="508"/>
      <c r="T151" s="508"/>
    </row>
    <row r="152" spans="1:20" s="130" customFormat="1" ht="16.5" customHeight="1">
      <c r="A152" s="204"/>
      <c r="B152" s="205"/>
      <c r="C152" s="206"/>
      <c r="D152" s="916"/>
      <c r="E152" s="207"/>
      <c r="F152" s="335"/>
      <c r="G152" s="335"/>
      <c r="H152" s="335"/>
      <c r="I152" s="336"/>
      <c r="J152" s="337"/>
      <c r="K152" s="672"/>
      <c r="L152" s="672"/>
      <c r="M152" s="672"/>
      <c r="N152" s="672"/>
      <c r="O152" s="672"/>
      <c r="P152" s="672"/>
      <c r="Q152" s="673"/>
      <c r="R152" s="508"/>
      <c r="S152" s="508"/>
      <c r="T152" s="508"/>
    </row>
    <row r="153" spans="1:20" s="22" customFormat="1" ht="20.25" customHeight="1">
      <c r="A153" s="196" t="s">
        <v>2164</v>
      </c>
      <c r="B153" s="197" t="s">
        <v>945</v>
      </c>
      <c r="C153" s="197" t="s">
        <v>946</v>
      </c>
      <c r="D153" s="917"/>
      <c r="E153" s="198" t="s">
        <v>1718</v>
      </c>
      <c r="F153" s="332">
        <v>2</v>
      </c>
      <c r="G153" s="519"/>
      <c r="H153" s="332">
        <f>F153*G153</f>
        <v>0</v>
      </c>
      <c r="I153" s="333">
        <v>0.00112</v>
      </c>
      <c r="J153" s="334">
        <f>F153*I153</f>
        <v>0.00224</v>
      </c>
      <c r="K153" s="693"/>
      <c r="L153" s="693"/>
      <c r="M153" s="693"/>
      <c r="N153" s="693"/>
      <c r="O153" s="693"/>
      <c r="P153" s="693"/>
      <c r="Q153" s="694"/>
      <c r="R153" s="509"/>
      <c r="S153" s="509"/>
      <c r="T153" s="509"/>
    </row>
    <row r="154" spans="1:20" s="22" customFormat="1" ht="20.25" customHeight="1">
      <c r="A154" s="196" t="s">
        <v>2168</v>
      </c>
      <c r="B154" s="197" t="s">
        <v>947</v>
      </c>
      <c r="C154" s="197" t="s">
        <v>948</v>
      </c>
      <c r="D154" s="917" t="s">
        <v>949</v>
      </c>
      <c r="E154" s="198" t="s">
        <v>1831</v>
      </c>
      <c r="F154" s="332">
        <v>2</v>
      </c>
      <c r="G154" s="519"/>
      <c r="H154" s="332">
        <f>F154*G154</f>
        <v>0</v>
      </c>
      <c r="I154" s="333">
        <v>0.00168</v>
      </c>
      <c r="J154" s="334">
        <f>F154*I154</f>
        <v>0.00336</v>
      </c>
      <c r="K154" s="693">
        <v>2.4</v>
      </c>
      <c r="L154" s="693">
        <v>2.25</v>
      </c>
      <c r="M154" s="693">
        <f>K154*L154</f>
        <v>5.3999999999999995</v>
      </c>
      <c r="N154" s="693">
        <f>F154*M154</f>
        <v>10.799999999999999</v>
      </c>
      <c r="O154" s="693">
        <f>(K154+L154*2)*F154</f>
        <v>13.8</v>
      </c>
      <c r="P154" s="693">
        <v>0</v>
      </c>
      <c r="Q154" s="694" t="s">
        <v>740</v>
      </c>
      <c r="R154" s="509"/>
      <c r="S154" s="509"/>
      <c r="T154" s="509"/>
    </row>
    <row r="155" spans="1:20" s="22" customFormat="1" ht="20.25" customHeight="1" thickBot="1">
      <c r="A155" s="255"/>
      <c r="B155" s="256"/>
      <c r="C155" s="256"/>
      <c r="D155" s="968"/>
      <c r="E155" s="257"/>
      <c r="F155" s="368"/>
      <c r="G155" s="368"/>
      <c r="H155" s="368"/>
      <c r="I155" s="369"/>
      <c r="J155" s="370"/>
      <c r="K155" s="693"/>
      <c r="L155" s="693"/>
      <c r="M155" s="693"/>
      <c r="N155" s="693"/>
      <c r="O155" s="693"/>
      <c r="P155" s="693"/>
      <c r="Q155" s="694"/>
      <c r="R155" s="509"/>
      <c r="S155" s="509"/>
      <c r="T155" s="509"/>
    </row>
    <row r="156" spans="1:20" ht="16.5" customHeight="1" thickBot="1">
      <c r="A156" s="266" t="s">
        <v>2322</v>
      </c>
      <c r="B156" s="175" t="s">
        <v>2323</v>
      </c>
      <c r="C156" s="176" t="s">
        <v>2324</v>
      </c>
      <c r="D156" s="1008"/>
      <c r="E156" s="175"/>
      <c r="F156" s="341"/>
      <c r="G156" s="341"/>
      <c r="H156" s="342">
        <f>SUM(H157:H159)</f>
        <v>0</v>
      </c>
      <c r="I156" s="343"/>
      <c r="J156" s="1012">
        <f>SUM(J157:J159)</f>
        <v>0.30572</v>
      </c>
      <c r="K156" s="670"/>
      <c r="L156" s="670"/>
      <c r="M156" s="670"/>
      <c r="N156" s="670"/>
      <c r="O156" s="670"/>
      <c r="P156" s="670"/>
      <c r="Q156" s="670"/>
      <c r="R156" s="670"/>
      <c r="S156" s="670"/>
      <c r="T156" s="670"/>
    </row>
    <row r="157" spans="1:20" s="22" customFormat="1" ht="19.5" customHeight="1">
      <c r="A157" s="196" t="s">
        <v>2325</v>
      </c>
      <c r="B157" s="197" t="s">
        <v>2329</v>
      </c>
      <c r="C157" s="199" t="s">
        <v>763</v>
      </c>
      <c r="D157" s="917" t="s">
        <v>2749</v>
      </c>
      <c r="E157" s="198" t="s">
        <v>2331</v>
      </c>
      <c r="F157" s="332">
        <v>17</v>
      </c>
      <c r="G157" s="332"/>
      <c r="H157" s="332">
        <f>F157*G157</f>
        <v>0</v>
      </c>
      <c r="I157" s="333"/>
      <c r="J157" s="334"/>
      <c r="K157" s="693"/>
      <c r="L157" s="693"/>
      <c r="M157" s="693"/>
      <c r="N157" s="693"/>
      <c r="O157" s="693"/>
      <c r="P157" s="693"/>
      <c r="Q157" s="694"/>
      <c r="R157" s="509"/>
      <c r="S157" s="509"/>
      <c r="T157" s="509"/>
    </row>
    <row r="158" spans="1:59" s="22" customFormat="1" ht="30" customHeight="1">
      <c r="A158" s="196" t="s">
        <v>2328</v>
      </c>
      <c r="B158" s="197" t="s">
        <v>2333</v>
      </c>
      <c r="C158" s="199" t="s">
        <v>2334</v>
      </c>
      <c r="D158" s="917" t="s">
        <v>2749</v>
      </c>
      <c r="E158" s="198" t="s">
        <v>1718</v>
      </c>
      <c r="F158" s="332">
        <v>4</v>
      </c>
      <c r="G158" s="332"/>
      <c r="H158" s="332">
        <f>F158*G158</f>
        <v>0</v>
      </c>
      <c r="I158" s="333">
        <v>0.07643</v>
      </c>
      <c r="J158" s="1030">
        <f>F158*I158</f>
        <v>0.30572</v>
      </c>
      <c r="K158" s="693"/>
      <c r="L158" s="693"/>
      <c r="M158" s="693"/>
      <c r="N158" s="693"/>
      <c r="O158" s="693"/>
      <c r="P158" s="693"/>
      <c r="Q158" s="694"/>
      <c r="R158" s="509"/>
      <c r="S158" s="509"/>
      <c r="T158" s="509"/>
      <c r="AA158" s="22">
        <v>12</v>
      </c>
      <c r="AB158" s="22">
        <v>0</v>
      </c>
      <c r="AC158" s="22">
        <v>30</v>
      </c>
      <c r="BB158" s="22">
        <v>1</v>
      </c>
      <c r="BC158" s="22">
        <f>IF(BB158=1,G158,0)</f>
        <v>0</v>
      </c>
      <c r="BD158" s="22">
        <f>IF(BB158=2,G158,0)</f>
        <v>0</v>
      </c>
      <c r="BE158" s="22">
        <f>IF(BB158=3,G158,0)</f>
        <v>0</v>
      </c>
      <c r="BF158" s="22">
        <f>IF(BB158=4,G158,0)</f>
        <v>0</v>
      </c>
      <c r="BG158" s="22">
        <f>IF(BB158=5,G158,0)</f>
        <v>0</v>
      </c>
    </row>
    <row r="159" spans="1:20" s="22" customFormat="1" ht="30" customHeight="1" thickBot="1">
      <c r="A159" s="196" t="s">
        <v>2332</v>
      </c>
      <c r="B159" s="197" t="s">
        <v>2336</v>
      </c>
      <c r="C159" s="199" t="s">
        <v>2337</v>
      </c>
      <c r="D159" s="917" t="s">
        <v>2749</v>
      </c>
      <c r="E159" s="198" t="s">
        <v>1826</v>
      </c>
      <c r="F159" s="332">
        <v>55</v>
      </c>
      <c r="G159" s="332"/>
      <c r="H159" s="332">
        <f>F159*G159</f>
        <v>0</v>
      </c>
      <c r="I159" s="333"/>
      <c r="J159" s="334"/>
      <c r="K159" s="693"/>
      <c r="L159" s="693"/>
      <c r="M159" s="693"/>
      <c r="N159" s="693"/>
      <c r="O159" s="693"/>
      <c r="P159" s="693"/>
      <c r="Q159" s="694"/>
      <c r="R159" s="509"/>
      <c r="S159" s="509"/>
      <c r="T159" s="509"/>
    </row>
    <row r="160" spans="1:20" ht="16.5" customHeight="1" thickBot="1">
      <c r="A160" s="266" t="s">
        <v>2338</v>
      </c>
      <c r="B160" s="175" t="s">
        <v>2339</v>
      </c>
      <c r="C160" s="176" t="s">
        <v>2340</v>
      </c>
      <c r="D160" s="1008"/>
      <c r="E160" s="175"/>
      <c r="F160" s="341"/>
      <c r="G160" s="341"/>
      <c r="H160" s="342">
        <f>SUM(H161:H169)</f>
        <v>0</v>
      </c>
      <c r="I160" s="343"/>
      <c r="J160" s="344">
        <f>SUM(J161:J168)</f>
        <v>31.994595592</v>
      </c>
      <c r="K160" s="670"/>
      <c r="L160" s="670"/>
      <c r="M160" s="670"/>
      <c r="N160" s="670"/>
      <c r="O160" s="670"/>
      <c r="P160" s="670"/>
      <c r="Q160" s="670"/>
      <c r="R160" s="670"/>
      <c r="S160" s="670"/>
      <c r="T160" s="670"/>
    </row>
    <row r="161" spans="1:20" s="22" customFormat="1" ht="23.25" customHeight="1">
      <c r="A161" s="190" t="s">
        <v>2341</v>
      </c>
      <c r="B161" s="191" t="s">
        <v>2342</v>
      </c>
      <c r="C161" s="265" t="s">
        <v>2343</v>
      </c>
      <c r="D161" s="964"/>
      <c r="E161" s="192" t="s">
        <v>1748</v>
      </c>
      <c r="F161" s="345">
        <f>(1045+215.99)*1.08</f>
        <v>1361.8692</v>
      </c>
      <c r="G161" s="345"/>
      <c r="H161" s="345">
        <f aca="true" t="shared" si="14" ref="H161:H168">F161*G161</f>
        <v>0</v>
      </c>
      <c r="I161" s="346">
        <v>0.01838</v>
      </c>
      <c r="J161" s="347">
        <f aca="true" t="shared" si="15" ref="J161:J168">F161*I161</f>
        <v>25.031155896</v>
      </c>
      <c r="K161" s="693"/>
      <c r="L161" s="693"/>
      <c r="M161" s="693"/>
      <c r="N161" s="693"/>
      <c r="O161" s="693"/>
      <c r="P161" s="693"/>
      <c r="Q161" s="694"/>
      <c r="R161" s="509"/>
      <c r="S161" s="509"/>
      <c r="T161" s="509"/>
    </row>
    <row r="162" spans="1:20" s="22" customFormat="1" ht="23.25" customHeight="1">
      <c r="A162" s="196" t="s">
        <v>2344</v>
      </c>
      <c r="B162" s="197" t="s">
        <v>2345</v>
      </c>
      <c r="C162" s="199" t="s">
        <v>2346</v>
      </c>
      <c r="D162" s="917"/>
      <c r="E162" s="198" t="s">
        <v>1748</v>
      </c>
      <c r="F162" s="332">
        <f>F161*4</f>
        <v>5447.4768</v>
      </c>
      <c r="G162" s="332"/>
      <c r="H162" s="332">
        <f t="shared" si="14"/>
        <v>0</v>
      </c>
      <c r="I162" s="333">
        <v>0.00097</v>
      </c>
      <c r="J162" s="334">
        <f t="shared" si="15"/>
        <v>5.284052496000001</v>
      </c>
      <c r="K162" s="693"/>
      <c r="L162" s="693"/>
      <c r="M162" s="693"/>
      <c r="N162" s="693"/>
      <c r="O162" s="693"/>
      <c r="P162" s="693"/>
      <c r="Q162" s="694"/>
      <c r="R162" s="509"/>
      <c r="S162" s="509"/>
      <c r="T162" s="509"/>
    </row>
    <row r="163" spans="1:20" s="22" customFormat="1" ht="23.25" customHeight="1">
      <c r="A163" s="196" t="s">
        <v>2347</v>
      </c>
      <c r="B163" s="197" t="s">
        <v>2348</v>
      </c>
      <c r="C163" s="199" t="s">
        <v>2349</v>
      </c>
      <c r="D163" s="917"/>
      <c r="E163" s="198" t="s">
        <v>1748</v>
      </c>
      <c r="F163" s="332">
        <f>F161</f>
        <v>1361.8692</v>
      </c>
      <c r="G163" s="332"/>
      <c r="H163" s="332">
        <f t="shared" si="14"/>
        <v>0</v>
      </c>
      <c r="I163" s="333">
        <v>0</v>
      </c>
      <c r="J163" s="334">
        <f t="shared" si="15"/>
        <v>0</v>
      </c>
      <c r="K163" s="693"/>
      <c r="L163" s="693"/>
      <c r="M163" s="693"/>
      <c r="N163" s="693"/>
      <c r="O163" s="693"/>
      <c r="P163" s="693"/>
      <c r="Q163" s="694"/>
      <c r="R163" s="509"/>
      <c r="S163" s="509"/>
      <c r="T163" s="509"/>
    </row>
    <row r="164" spans="1:20" s="22" customFormat="1" ht="23.25" customHeight="1">
      <c r="A164" s="196" t="s">
        <v>2350</v>
      </c>
      <c r="B164" s="197" t="s">
        <v>2351</v>
      </c>
      <c r="C164" s="199" t="s">
        <v>2352</v>
      </c>
      <c r="D164" s="917"/>
      <c r="E164" s="198" t="s">
        <v>1748</v>
      </c>
      <c r="F164" s="332">
        <f>F161</f>
        <v>1361.8692</v>
      </c>
      <c r="G164" s="332"/>
      <c r="H164" s="332">
        <f t="shared" si="14"/>
        <v>0</v>
      </c>
      <c r="I164" s="333">
        <v>0</v>
      </c>
      <c r="J164" s="334">
        <f t="shared" si="15"/>
        <v>0</v>
      </c>
      <c r="K164" s="693"/>
      <c r="L164" s="693"/>
      <c r="M164" s="693"/>
      <c r="N164" s="693"/>
      <c r="O164" s="693"/>
      <c r="P164" s="693"/>
      <c r="Q164" s="694"/>
      <c r="R164" s="509"/>
      <c r="S164" s="509"/>
      <c r="T164" s="509"/>
    </row>
    <row r="165" spans="1:20" s="22" customFormat="1" ht="23.25" customHeight="1">
      <c r="A165" s="196" t="s">
        <v>2353</v>
      </c>
      <c r="B165" s="197" t="s">
        <v>2354</v>
      </c>
      <c r="C165" s="199" t="s">
        <v>2355</v>
      </c>
      <c r="D165" s="917"/>
      <c r="E165" s="198" t="s">
        <v>1748</v>
      </c>
      <c r="F165" s="332">
        <f>F164*4</f>
        <v>5447.4768</v>
      </c>
      <c r="G165" s="332"/>
      <c r="H165" s="332">
        <f t="shared" si="14"/>
        <v>0</v>
      </c>
      <c r="I165" s="333">
        <v>0</v>
      </c>
      <c r="J165" s="334">
        <f t="shared" si="15"/>
        <v>0</v>
      </c>
      <c r="K165" s="693"/>
      <c r="L165" s="693"/>
      <c r="M165" s="693"/>
      <c r="N165" s="693"/>
      <c r="O165" s="693"/>
      <c r="P165" s="693"/>
      <c r="Q165" s="694"/>
      <c r="R165" s="509"/>
      <c r="S165" s="509"/>
      <c r="T165" s="509"/>
    </row>
    <row r="166" spans="1:20" s="22" customFormat="1" ht="23.25" customHeight="1">
      <c r="A166" s="196" t="s">
        <v>2356</v>
      </c>
      <c r="B166" s="197" t="s">
        <v>2357</v>
      </c>
      <c r="C166" s="199" t="s">
        <v>2358</v>
      </c>
      <c r="D166" s="917"/>
      <c r="E166" s="198" t="s">
        <v>1748</v>
      </c>
      <c r="F166" s="332">
        <f>F164</f>
        <v>1361.8692</v>
      </c>
      <c r="G166" s="332"/>
      <c r="H166" s="332">
        <f t="shared" si="14"/>
        <v>0</v>
      </c>
      <c r="I166" s="333">
        <v>0</v>
      </c>
      <c r="J166" s="334">
        <f t="shared" si="15"/>
        <v>0</v>
      </c>
      <c r="K166" s="693"/>
      <c r="L166" s="693"/>
      <c r="M166" s="693"/>
      <c r="N166" s="693"/>
      <c r="O166" s="693"/>
      <c r="P166" s="693"/>
      <c r="Q166" s="694"/>
      <c r="R166" s="509"/>
      <c r="S166" s="509"/>
      <c r="T166" s="509"/>
    </row>
    <row r="167" spans="1:20" s="22" customFormat="1" ht="23.25" customHeight="1">
      <c r="A167" s="196" t="s">
        <v>2359</v>
      </c>
      <c r="B167" s="197" t="s">
        <v>2360</v>
      </c>
      <c r="C167" s="199" t="s">
        <v>2361</v>
      </c>
      <c r="D167" s="917"/>
      <c r="E167" s="198" t="s">
        <v>1748</v>
      </c>
      <c r="F167" s="332">
        <f>144.3*1.2+102</f>
        <v>275.15999999999997</v>
      </c>
      <c r="G167" s="332"/>
      <c r="H167" s="332">
        <f t="shared" si="14"/>
        <v>0</v>
      </c>
      <c r="I167" s="333">
        <v>0.00592</v>
      </c>
      <c r="J167" s="334">
        <f t="shared" si="15"/>
        <v>1.6289471999999998</v>
      </c>
      <c r="K167" s="693"/>
      <c r="L167" s="693"/>
      <c r="M167" s="693"/>
      <c r="N167" s="693"/>
      <c r="O167" s="693"/>
      <c r="P167" s="693"/>
      <c r="Q167" s="694"/>
      <c r="R167" s="509"/>
      <c r="S167" s="509"/>
      <c r="T167" s="509"/>
    </row>
    <row r="168" spans="1:20" s="22" customFormat="1" ht="23.25" customHeight="1">
      <c r="A168" s="196" t="s">
        <v>2362</v>
      </c>
      <c r="B168" s="197" t="s">
        <v>2363</v>
      </c>
      <c r="C168" s="199" t="s">
        <v>2364</v>
      </c>
      <c r="D168" s="917"/>
      <c r="E168" s="198" t="s">
        <v>1748</v>
      </c>
      <c r="F168" s="332">
        <f>(1045+215.99)+0.01</f>
        <v>1261</v>
      </c>
      <c r="G168" s="332"/>
      <c r="H168" s="332">
        <f t="shared" si="14"/>
        <v>0</v>
      </c>
      <c r="I168" s="333">
        <v>4E-05</v>
      </c>
      <c r="J168" s="334">
        <f t="shared" si="15"/>
        <v>0.050440000000000006</v>
      </c>
      <c r="K168" s="693"/>
      <c r="L168" s="693"/>
      <c r="M168" s="693"/>
      <c r="N168" s="693"/>
      <c r="O168" s="693"/>
      <c r="P168" s="693"/>
      <c r="Q168" s="694"/>
      <c r="R168" s="509"/>
      <c r="S168" s="509"/>
      <c r="T168" s="509"/>
    </row>
    <row r="169" spans="1:20" s="22" customFormat="1" ht="23.25" customHeight="1" thickBot="1">
      <c r="A169" s="255" t="s">
        <v>2365</v>
      </c>
      <c r="B169" s="256" t="s">
        <v>2366</v>
      </c>
      <c r="C169" s="264" t="s">
        <v>2367</v>
      </c>
      <c r="D169" s="968"/>
      <c r="E169" s="257" t="s">
        <v>1783</v>
      </c>
      <c r="F169" s="1120">
        <f>J160+J156+J112+J99+J67+J59+J45+J43+J40+J28+J18</f>
        <v>311.245078620125</v>
      </c>
      <c r="G169" s="368"/>
      <c r="H169" s="368">
        <f>F169*G169</f>
        <v>0</v>
      </c>
      <c r="I169" s="369">
        <v>0</v>
      </c>
      <c r="J169" s="370"/>
      <c r="K169" s="693"/>
      <c r="L169" s="693"/>
      <c r="M169" s="693"/>
      <c r="N169" s="693"/>
      <c r="O169" s="693"/>
      <c r="P169" s="693"/>
      <c r="Q169" s="694"/>
      <c r="R169" s="509"/>
      <c r="S169" s="509"/>
      <c r="T169" s="509"/>
    </row>
    <row r="170" spans="1:20" ht="16.5" customHeight="1" thickBot="1">
      <c r="A170" s="266" t="s">
        <v>2368</v>
      </c>
      <c r="B170" s="175" t="s">
        <v>2369</v>
      </c>
      <c r="C170" s="176" t="s">
        <v>2370</v>
      </c>
      <c r="D170" s="1008" t="s">
        <v>2826</v>
      </c>
      <c r="E170" s="175"/>
      <c r="F170" s="341"/>
      <c r="G170" s="341"/>
      <c r="H170" s="1011">
        <f>SUM(H171:H234)</f>
        <v>0</v>
      </c>
      <c r="I170" s="343"/>
      <c r="J170" s="344">
        <f>SUM(J171:J224)</f>
        <v>98.66387999999995</v>
      </c>
      <c r="K170" s="670"/>
      <c r="L170" s="670"/>
      <c r="M170" s="670"/>
      <c r="N170" s="670"/>
      <c r="O170" s="670"/>
      <c r="P170" s="670"/>
      <c r="Q170" s="670"/>
      <c r="R170" s="670"/>
      <c r="S170" s="670"/>
      <c r="T170" s="670"/>
    </row>
    <row r="171" spans="1:60" s="259" customFormat="1" ht="19.5" customHeight="1">
      <c r="A171" s="765" t="s">
        <v>2371</v>
      </c>
      <c r="B171" s="766" t="s">
        <v>2375</v>
      </c>
      <c r="C171" s="767" t="s">
        <v>2376</v>
      </c>
      <c r="D171" s="973" t="s">
        <v>2776</v>
      </c>
      <c r="E171" s="686" t="s">
        <v>1748</v>
      </c>
      <c r="F171" s="678">
        <f>SUM(E172)</f>
        <v>70.652</v>
      </c>
      <c r="G171" s="678"/>
      <c r="H171" s="678">
        <f>F171*G171</f>
        <v>0</v>
      </c>
      <c r="I171" s="768">
        <v>0.059</v>
      </c>
      <c r="J171" s="769">
        <f>F171*I171</f>
        <v>4.168468</v>
      </c>
      <c r="K171" s="258"/>
      <c r="L171" s="258"/>
      <c r="M171" s="214"/>
      <c r="N171" s="691"/>
      <c r="O171" s="691"/>
      <c r="P171" s="258"/>
      <c r="Q171" s="258"/>
      <c r="R171" s="258">
        <v>2</v>
      </c>
      <c r="S171" s="258"/>
      <c r="T171" s="258"/>
      <c r="U171" s="718"/>
      <c r="V171" s="718"/>
      <c r="W171" s="718"/>
      <c r="X171" s="718"/>
      <c r="Y171" s="718"/>
      <c r="Z171" s="718"/>
      <c r="AA171" s="718"/>
      <c r="AB171" s="718">
        <v>12</v>
      </c>
      <c r="AC171" s="718">
        <v>0</v>
      </c>
      <c r="AD171" s="718">
        <v>25</v>
      </c>
      <c r="AE171" s="718"/>
      <c r="AF171" s="718"/>
      <c r="AG171" s="718"/>
      <c r="AH171" s="718"/>
      <c r="AI171" s="718"/>
      <c r="AJ171" s="718"/>
      <c r="AK171" s="718"/>
      <c r="AL171" s="718"/>
      <c r="AM171" s="718"/>
      <c r="AN171" s="718"/>
      <c r="AO171" s="718"/>
      <c r="AP171" s="718"/>
      <c r="AQ171" s="718"/>
      <c r="AR171" s="718"/>
      <c r="AS171" s="718"/>
      <c r="AT171" s="718"/>
      <c r="AU171" s="718"/>
      <c r="AV171" s="718"/>
      <c r="AW171" s="718"/>
      <c r="AX171" s="718"/>
      <c r="AY171" s="718"/>
      <c r="AZ171" s="718"/>
      <c r="BA171" s="718"/>
      <c r="BB171" s="718"/>
      <c r="BC171" s="718">
        <v>1</v>
      </c>
      <c r="BD171" s="718">
        <f>IF(BC171=1,H171,0)</f>
        <v>0</v>
      </c>
      <c r="BE171" s="718">
        <f>IF(BC171=2,H171,0)</f>
        <v>0</v>
      </c>
      <c r="BF171" s="718">
        <f>IF(BC171=3,H171,0)</f>
        <v>0</v>
      </c>
      <c r="BG171" s="718">
        <f>IF(BC171=4,H171,0)</f>
        <v>0</v>
      </c>
      <c r="BH171" s="718">
        <f>IF(BC171=5,H171,0)</f>
        <v>0</v>
      </c>
    </row>
    <row r="172" spans="1:20" s="130" customFormat="1" ht="20.25" customHeight="1">
      <c r="A172" s="204"/>
      <c r="B172" s="205" t="s">
        <v>950</v>
      </c>
      <c r="C172" s="205" t="s">
        <v>951</v>
      </c>
      <c r="D172" s="916"/>
      <c r="E172" s="207">
        <f>(30.59)*1.8+(33.15+14.5)*0.6-13*1*1</f>
        <v>70.652</v>
      </c>
      <c r="F172" s="335"/>
      <c r="G172" s="335"/>
      <c r="H172" s="335"/>
      <c r="I172" s="336"/>
      <c r="J172" s="337"/>
      <c r="K172" s="672"/>
      <c r="L172" s="672"/>
      <c r="M172" s="672"/>
      <c r="N172" s="672"/>
      <c r="O172" s="672"/>
      <c r="P172" s="672"/>
      <c r="Q172" s="673"/>
      <c r="R172" s="508"/>
      <c r="S172" s="508"/>
      <c r="T172" s="508"/>
    </row>
    <row r="173" spans="1:60" s="259" customFormat="1" ht="25.5" customHeight="1">
      <c r="A173" s="692" t="s">
        <v>2374</v>
      </c>
      <c r="B173" s="687" t="s">
        <v>2384</v>
      </c>
      <c r="C173" s="688" t="s">
        <v>2385</v>
      </c>
      <c r="D173" s="974" t="s">
        <v>2776</v>
      </c>
      <c r="E173" s="287" t="s">
        <v>1748</v>
      </c>
      <c r="F173" s="387">
        <f>SUM(E174:E174)</f>
        <v>70.652</v>
      </c>
      <c r="G173" s="387"/>
      <c r="H173" s="387">
        <f>F173*G173</f>
        <v>0</v>
      </c>
      <c r="I173" s="689">
        <v>0.014</v>
      </c>
      <c r="J173" s="690">
        <f>F173*I173</f>
        <v>0.989128</v>
      </c>
      <c r="K173" s="258"/>
      <c r="L173" s="258"/>
      <c r="M173" s="214"/>
      <c r="N173" s="691"/>
      <c r="O173" s="691"/>
      <c r="P173" s="258"/>
      <c r="Q173" s="258"/>
      <c r="R173" s="258">
        <v>2</v>
      </c>
      <c r="S173" s="258"/>
      <c r="T173" s="258"/>
      <c r="U173" s="258"/>
      <c r="V173" s="258"/>
      <c r="W173" s="258"/>
      <c r="X173" s="718"/>
      <c r="Y173" s="718"/>
      <c r="Z173" s="718"/>
      <c r="AA173" s="718"/>
      <c r="AB173" s="718">
        <v>12</v>
      </c>
      <c r="AC173" s="718">
        <v>0</v>
      </c>
      <c r="AD173" s="718">
        <v>9</v>
      </c>
      <c r="AE173" s="718"/>
      <c r="AF173" s="718"/>
      <c r="AG173" s="718"/>
      <c r="AH173" s="718"/>
      <c r="AI173" s="718"/>
      <c r="AJ173" s="718"/>
      <c r="AK173" s="718"/>
      <c r="AL173" s="718"/>
      <c r="AM173" s="718"/>
      <c r="AN173" s="718"/>
      <c r="AO173" s="718"/>
      <c r="AP173" s="718"/>
      <c r="AQ173" s="718"/>
      <c r="AR173" s="718"/>
      <c r="AS173" s="718"/>
      <c r="AT173" s="718"/>
      <c r="AU173" s="718"/>
      <c r="AV173" s="718"/>
      <c r="AW173" s="718"/>
      <c r="AX173" s="718"/>
      <c r="AY173" s="718"/>
      <c r="AZ173" s="718"/>
      <c r="BA173" s="718"/>
      <c r="BB173" s="718"/>
      <c r="BC173" s="718">
        <v>1</v>
      </c>
      <c r="BD173" s="718">
        <f>IF(BC173=1,H173,0)</f>
        <v>0</v>
      </c>
      <c r="BE173" s="718">
        <f>IF(BC173=2,H173,0)</f>
        <v>0</v>
      </c>
      <c r="BF173" s="718">
        <f>IF(BC173=3,H173,0)</f>
        <v>0</v>
      </c>
      <c r="BG173" s="718">
        <f>IF(BC173=4,H173,0)</f>
        <v>0</v>
      </c>
      <c r="BH173" s="718">
        <f>IF(BC173=5,H173,0)</f>
        <v>0</v>
      </c>
    </row>
    <row r="174" spans="1:20" s="130" customFormat="1" ht="20.25" customHeight="1">
      <c r="A174" s="204"/>
      <c r="B174" s="205" t="s">
        <v>950</v>
      </c>
      <c r="C174" s="205" t="s">
        <v>951</v>
      </c>
      <c r="D174" s="916"/>
      <c r="E174" s="207">
        <f>(30.59)*1.8+(33.15+14.5)*0.6-13*1*1</f>
        <v>70.652</v>
      </c>
      <c r="F174" s="335"/>
      <c r="G174" s="335"/>
      <c r="H174" s="335"/>
      <c r="I174" s="336"/>
      <c r="J174" s="337"/>
      <c r="K174" s="672"/>
      <c r="L174" s="672"/>
      <c r="M174" s="672"/>
      <c r="N174" s="672"/>
      <c r="O174" s="672"/>
      <c r="P174" s="672"/>
      <c r="Q174" s="673"/>
      <c r="R174" s="508"/>
      <c r="S174" s="508"/>
      <c r="T174" s="508"/>
    </row>
    <row r="175" spans="1:20" s="22" customFormat="1" ht="21.75" customHeight="1">
      <c r="A175" s="196" t="s">
        <v>2379</v>
      </c>
      <c r="B175" s="197" t="s">
        <v>2387</v>
      </c>
      <c r="C175" s="199" t="s">
        <v>2388</v>
      </c>
      <c r="D175" s="917" t="s">
        <v>2776</v>
      </c>
      <c r="E175" s="198" t="s">
        <v>1748</v>
      </c>
      <c r="F175" s="332">
        <v>1045</v>
      </c>
      <c r="G175" s="332"/>
      <c r="H175" s="332">
        <f aca="true" t="shared" si="16" ref="H175:H233">F175*G175</f>
        <v>0</v>
      </c>
      <c r="I175" s="333">
        <v>0.023</v>
      </c>
      <c r="J175" s="334">
        <f aca="true" t="shared" si="17" ref="J175:J219">F175*I175</f>
        <v>24.035</v>
      </c>
      <c r="K175" s="693"/>
      <c r="L175" s="693"/>
      <c r="M175" s="693"/>
      <c r="N175" s="693"/>
      <c r="O175" s="693"/>
      <c r="P175" s="693"/>
      <c r="Q175" s="694"/>
      <c r="R175" s="509"/>
      <c r="S175" s="509"/>
      <c r="T175" s="509"/>
    </row>
    <row r="176" spans="1:20" s="22" customFormat="1" ht="21.75" customHeight="1">
      <c r="A176" s="196" t="s">
        <v>2383</v>
      </c>
      <c r="B176" s="197" t="s">
        <v>2394</v>
      </c>
      <c r="C176" s="199" t="s">
        <v>2395</v>
      </c>
      <c r="D176" s="917" t="s">
        <v>2776</v>
      </c>
      <c r="E176" s="198" t="s">
        <v>1709</v>
      </c>
      <c r="F176" s="332">
        <f>E177</f>
        <v>9.164</v>
      </c>
      <c r="G176" s="332"/>
      <c r="H176" s="332">
        <f t="shared" si="16"/>
        <v>0</v>
      </c>
      <c r="I176" s="333">
        <v>2.4</v>
      </c>
      <c r="J176" s="334">
        <f t="shared" si="17"/>
        <v>21.993599999999997</v>
      </c>
      <c r="K176" s="693"/>
      <c r="L176" s="693"/>
      <c r="M176" s="693"/>
      <c r="N176" s="693"/>
      <c r="O176" s="693"/>
      <c r="P176" s="693"/>
      <c r="Q176" s="694"/>
      <c r="R176" s="509"/>
      <c r="S176" s="509"/>
      <c r="T176" s="509"/>
    </row>
    <row r="177" spans="1:20" s="130" customFormat="1" ht="22.5" customHeight="1">
      <c r="A177" s="204"/>
      <c r="B177" s="205" t="s">
        <v>1911</v>
      </c>
      <c r="C177" s="206" t="s">
        <v>952</v>
      </c>
      <c r="D177" s="916"/>
      <c r="E177" s="207">
        <f>(11.3+2+0.9*10+13+2+0.9*12)*0.1*1.4+(11.3+13)*1*0.1</f>
        <v>9.164</v>
      </c>
      <c r="F177" s="335"/>
      <c r="G177" s="335"/>
      <c r="H177" s="335"/>
      <c r="I177" s="336"/>
      <c r="J177" s="337"/>
      <c r="K177" s="672"/>
      <c r="L177" s="672"/>
      <c r="M177" s="672"/>
      <c r="N177" s="672"/>
      <c r="O177" s="672"/>
      <c r="P177" s="672"/>
      <c r="Q177" s="673"/>
      <c r="R177" s="508"/>
      <c r="S177" s="508"/>
      <c r="T177" s="508"/>
    </row>
    <row r="178" spans="1:20" s="22" customFormat="1" ht="21.75" customHeight="1">
      <c r="A178" s="196"/>
      <c r="B178" s="197"/>
      <c r="C178" s="199"/>
      <c r="D178" s="917"/>
      <c r="E178" s="198"/>
      <c r="F178" s="332"/>
      <c r="G178" s="332"/>
      <c r="H178" s="332"/>
      <c r="I178" s="333"/>
      <c r="J178" s="334"/>
      <c r="K178" s="693"/>
      <c r="L178" s="693"/>
      <c r="M178" s="693"/>
      <c r="N178" s="693"/>
      <c r="O178" s="693"/>
      <c r="P178" s="693"/>
      <c r="Q178" s="694"/>
      <c r="R178" s="509"/>
      <c r="S178" s="509"/>
      <c r="T178" s="509"/>
    </row>
    <row r="179" spans="1:20" s="22" customFormat="1" ht="21.75" customHeight="1">
      <c r="A179" s="196" t="s">
        <v>2386</v>
      </c>
      <c r="B179" s="197" t="s">
        <v>2406</v>
      </c>
      <c r="C179" s="199" t="s">
        <v>2407</v>
      </c>
      <c r="D179" s="917" t="s">
        <v>2776</v>
      </c>
      <c r="E179" s="198" t="s">
        <v>1826</v>
      </c>
      <c r="F179" s="332">
        <f>1.8*3</f>
        <v>5.4</v>
      </c>
      <c r="G179" s="332"/>
      <c r="H179" s="332">
        <f t="shared" si="16"/>
        <v>0</v>
      </c>
      <c r="I179" s="333">
        <v>0.07</v>
      </c>
      <c r="J179" s="334">
        <f t="shared" si="17"/>
        <v>0.37800000000000006</v>
      </c>
      <c r="K179" s="693"/>
      <c r="L179" s="693"/>
      <c r="M179" s="693"/>
      <c r="N179" s="693"/>
      <c r="O179" s="693"/>
      <c r="P179" s="693"/>
      <c r="Q179" s="694"/>
      <c r="R179" s="509"/>
      <c r="S179" s="509"/>
      <c r="T179" s="509"/>
    </row>
    <row r="180" spans="1:20" s="22" customFormat="1" ht="21.75" customHeight="1">
      <c r="A180" s="196" t="s">
        <v>2389</v>
      </c>
      <c r="B180" s="197" t="s">
        <v>953</v>
      </c>
      <c r="C180" s="199" t="s">
        <v>954</v>
      </c>
      <c r="D180" s="917" t="s">
        <v>2777</v>
      </c>
      <c r="E180" s="198" t="s">
        <v>1709</v>
      </c>
      <c r="F180" s="332">
        <f>SUM(E181:E182)</f>
        <v>1.24355</v>
      </c>
      <c r="G180" s="332"/>
      <c r="H180" s="332">
        <f t="shared" si="16"/>
        <v>0</v>
      </c>
      <c r="I180" s="333">
        <v>2.2</v>
      </c>
      <c r="J180" s="334">
        <f t="shared" si="17"/>
        <v>2.73581</v>
      </c>
      <c r="K180" s="693"/>
      <c r="L180" s="693"/>
      <c r="M180" s="693"/>
      <c r="N180" s="693"/>
      <c r="O180" s="693"/>
      <c r="P180" s="693"/>
      <c r="Q180" s="694"/>
      <c r="R180" s="509"/>
      <c r="S180" s="509"/>
      <c r="T180" s="509"/>
    </row>
    <row r="181" spans="1:20" s="130" customFormat="1" ht="22.5" customHeight="1">
      <c r="A181" s="204"/>
      <c r="B181" s="205" t="s">
        <v>878</v>
      </c>
      <c r="C181" s="206" t="s">
        <v>955</v>
      </c>
      <c r="D181" s="916" t="s">
        <v>878</v>
      </c>
      <c r="E181" s="207">
        <f>(2.86+3.83)*0.095</f>
        <v>0.63555</v>
      </c>
      <c r="F181" s="335"/>
      <c r="G181" s="335"/>
      <c r="H181" s="335"/>
      <c r="I181" s="336"/>
      <c r="J181" s="337"/>
      <c r="K181" s="672"/>
      <c r="L181" s="672"/>
      <c r="M181" s="672"/>
      <c r="N181" s="672"/>
      <c r="O181" s="672"/>
      <c r="P181" s="672"/>
      <c r="Q181" s="673"/>
      <c r="R181" s="508"/>
      <c r="S181" s="508"/>
      <c r="T181" s="508"/>
    </row>
    <row r="182" spans="1:20" s="130" customFormat="1" ht="22.5" customHeight="1">
      <c r="A182" s="204"/>
      <c r="B182" s="205" t="s">
        <v>884</v>
      </c>
      <c r="C182" s="206" t="s">
        <v>956</v>
      </c>
      <c r="D182" s="916" t="s">
        <v>884</v>
      </c>
      <c r="E182" s="207">
        <f>(4.06+2.34)*0.095</f>
        <v>0.608</v>
      </c>
      <c r="F182" s="335"/>
      <c r="G182" s="335"/>
      <c r="H182" s="335"/>
      <c r="I182" s="336"/>
      <c r="J182" s="337"/>
      <c r="K182" s="672"/>
      <c r="L182" s="672"/>
      <c r="M182" s="672"/>
      <c r="N182" s="672"/>
      <c r="O182" s="672"/>
      <c r="P182" s="672"/>
      <c r="Q182" s="673"/>
      <c r="R182" s="508"/>
      <c r="S182" s="508"/>
      <c r="T182" s="508"/>
    </row>
    <row r="183" spans="1:20" s="22" customFormat="1" ht="21.75" customHeight="1">
      <c r="A183" s="196" t="s">
        <v>2393</v>
      </c>
      <c r="B183" s="197" t="s">
        <v>2477</v>
      </c>
      <c r="C183" s="199" t="s">
        <v>773</v>
      </c>
      <c r="D183" s="917" t="s">
        <v>2781</v>
      </c>
      <c r="E183" s="198" t="s">
        <v>1748</v>
      </c>
      <c r="F183" s="332">
        <f>E184</f>
        <v>6.159999999999999</v>
      </c>
      <c r="G183" s="332"/>
      <c r="H183" s="332">
        <f t="shared" si="16"/>
        <v>0</v>
      </c>
      <c r="I183" s="333">
        <v>0.02</v>
      </c>
      <c r="J183" s="334">
        <f t="shared" si="17"/>
        <v>0.12319999999999999</v>
      </c>
      <c r="K183" s="693"/>
      <c r="L183" s="693"/>
      <c r="M183" s="693"/>
      <c r="N183" s="693"/>
      <c r="O183" s="693"/>
      <c r="P183" s="693"/>
      <c r="Q183" s="694"/>
      <c r="R183" s="509"/>
      <c r="S183" s="509"/>
      <c r="T183" s="509"/>
    </row>
    <row r="184" spans="1:20" s="130" customFormat="1" ht="22.5" customHeight="1">
      <c r="A184" s="204"/>
      <c r="B184" s="205"/>
      <c r="C184" s="206" t="s">
        <v>957</v>
      </c>
      <c r="D184" s="916"/>
      <c r="E184" s="207">
        <f>2.1*0.3*2+3.5*0.7*2</f>
        <v>6.159999999999999</v>
      </c>
      <c r="F184" s="335"/>
      <c r="G184" s="335"/>
      <c r="H184" s="335"/>
      <c r="I184" s="336"/>
      <c r="J184" s="337"/>
      <c r="K184" s="672"/>
      <c r="L184" s="672"/>
      <c r="M184" s="672"/>
      <c r="N184" s="672"/>
      <c r="O184" s="672"/>
      <c r="P184" s="672"/>
      <c r="Q184" s="673"/>
      <c r="R184" s="508"/>
      <c r="S184" s="508"/>
      <c r="T184" s="508"/>
    </row>
    <row r="185" spans="1:20" s="22" customFormat="1" ht="21.75" customHeight="1">
      <c r="A185" s="196" t="s">
        <v>2397</v>
      </c>
      <c r="B185" s="197" t="s">
        <v>2415</v>
      </c>
      <c r="C185" s="199" t="s">
        <v>2416</v>
      </c>
      <c r="D185" s="917" t="s">
        <v>2781</v>
      </c>
      <c r="E185" s="198" t="s">
        <v>1831</v>
      </c>
      <c r="F185" s="332">
        <f>E186</f>
        <v>135</v>
      </c>
      <c r="G185" s="332"/>
      <c r="H185" s="332">
        <f t="shared" si="16"/>
        <v>0</v>
      </c>
      <c r="I185" s="333">
        <v>0</v>
      </c>
      <c r="J185" s="334">
        <f t="shared" si="17"/>
        <v>0</v>
      </c>
      <c r="K185" s="693"/>
      <c r="L185" s="693"/>
      <c r="M185" s="693"/>
      <c r="N185" s="693"/>
      <c r="O185" s="693"/>
      <c r="P185" s="693"/>
      <c r="Q185" s="694"/>
      <c r="R185" s="509"/>
      <c r="S185" s="509"/>
      <c r="T185" s="509"/>
    </row>
    <row r="186" spans="1:20" s="130" customFormat="1" ht="22.5" customHeight="1">
      <c r="A186" s="204"/>
      <c r="B186" s="205"/>
      <c r="C186" s="206" t="s">
        <v>958</v>
      </c>
      <c r="D186" s="916"/>
      <c r="E186" s="207">
        <f>18+14+4+58+6+12+12+6+3+2</f>
        <v>135</v>
      </c>
      <c r="F186" s="335"/>
      <c r="G186" s="335"/>
      <c r="H186" s="335"/>
      <c r="I186" s="336"/>
      <c r="J186" s="337"/>
      <c r="K186" s="672"/>
      <c r="L186" s="672"/>
      <c r="M186" s="672"/>
      <c r="N186" s="672"/>
      <c r="O186" s="672"/>
      <c r="P186" s="672"/>
      <c r="Q186" s="673"/>
      <c r="R186" s="508"/>
      <c r="S186" s="508"/>
      <c r="T186" s="508"/>
    </row>
    <row r="187" spans="1:20" s="22" customFormat="1" ht="21.75" customHeight="1">
      <c r="A187" s="196" t="s">
        <v>2401</v>
      </c>
      <c r="B187" s="197" t="s">
        <v>2419</v>
      </c>
      <c r="C187" s="199" t="s">
        <v>2420</v>
      </c>
      <c r="D187" s="917" t="s">
        <v>2781</v>
      </c>
      <c r="E187" s="198" t="s">
        <v>1748</v>
      </c>
      <c r="F187" s="332">
        <f>E188</f>
        <v>41.34</v>
      </c>
      <c r="G187" s="332"/>
      <c r="H187" s="332">
        <f t="shared" si="16"/>
        <v>0</v>
      </c>
      <c r="I187" s="333">
        <v>0.031</v>
      </c>
      <c r="J187" s="334">
        <f t="shared" si="17"/>
        <v>1.2815400000000001</v>
      </c>
      <c r="K187" s="693"/>
      <c r="L187" s="693"/>
      <c r="M187" s="693"/>
      <c r="N187" s="693"/>
      <c r="O187" s="693"/>
      <c r="P187" s="693"/>
      <c r="Q187" s="694"/>
      <c r="R187" s="509"/>
      <c r="S187" s="509"/>
      <c r="T187" s="509"/>
    </row>
    <row r="188" spans="1:20" s="130" customFormat="1" ht="22.5" customHeight="1">
      <c r="A188" s="204"/>
      <c r="B188" s="205"/>
      <c r="C188" s="206" t="s">
        <v>959</v>
      </c>
      <c r="D188" s="916"/>
      <c r="E188" s="207">
        <f>24.3+15.12+0.84+1.08</f>
        <v>41.34</v>
      </c>
      <c r="F188" s="335"/>
      <c r="G188" s="335"/>
      <c r="H188" s="335"/>
      <c r="I188" s="336"/>
      <c r="J188" s="337"/>
      <c r="K188" s="672"/>
      <c r="L188" s="672"/>
      <c r="M188" s="672"/>
      <c r="N188" s="672"/>
      <c r="O188" s="672"/>
      <c r="P188" s="672"/>
      <c r="Q188" s="673"/>
      <c r="R188" s="508"/>
      <c r="S188" s="508"/>
      <c r="T188" s="508"/>
    </row>
    <row r="189" spans="1:20" s="22" customFormat="1" ht="21.75" customHeight="1">
      <c r="A189" s="196" t="s">
        <v>2405</v>
      </c>
      <c r="B189" s="197" t="s">
        <v>2423</v>
      </c>
      <c r="C189" s="199" t="s">
        <v>2424</v>
      </c>
      <c r="D189" s="917" t="s">
        <v>2781</v>
      </c>
      <c r="E189" s="198" t="s">
        <v>1748</v>
      </c>
      <c r="F189" s="332">
        <f>E190</f>
        <v>116.46000000000001</v>
      </c>
      <c r="G189" s="332"/>
      <c r="H189" s="332">
        <f t="shared" si="16"/>
        <v>0</v>
      </c>
      <c r="I189" s="333">
        <v>0.027</v>
      </c>
      <c r="J189" s="334">
        <f t="shared" si="17"/>
        <v>3.14442</v>
      </c>
      <c r="K189" s="693"/>
      <c r="L189" s="693"/>
      <c r="M189" s="693"/>
      <c r="N189" s="693"/>
      <c r="O189" s="693"/>
      <c r="P189" s="693"/>
      <c r="Q189" s="694"/>
      <c r="R189" s="509"/>
      <c r="S189" s="509"/>
      <c r="T189" s="509"/>
    </row>
    <row r="190" spans="1:20" s="130" customFormat="1" ht="22.5" customHeight="1">
      <c r="A190" s="204"/>
      <c r="B190" s="205"/>
      <c r="C190" s="206" t="s">
        <v>960</v>
      </c>
      <c r="D190" s="916"/>
      <c r="E190" s="207">
        <f>5.76+104.4+6.3</f>
        <v>116.46000000000001</v>
      </c>
      <c r="F190" s="335"/>
      <c r="G190" s="335"/>
      <c r="H190" s="335"/>
      <c r="I190" s="336"/>
      <c r="J190" s="337"/>
      <c r="K190" s="672"/>
      <c r="L190" s="672"/>
      <c r="M190" s="672"/>
      <c r="N190" s="672"/>
      <c r="O190" s="672"/>
      <c r="P190" s="672"/>
      <c r="Q190" s="673"/>
      <c r="R190" s="508"/>
      <c r="S190" s="508"/>
      <c r="T190" s="508"/>
    </row>
    <row r="191" spans="1:20" s="22" customFormat="1" ht="21.75" customHeight="1">
      <c r="A191" s="196" t="s">
        <v>2409</v>
      </c>
      <c r="B191" s="197" t="s">
        <v>961</v>
      </c>
      <c r="C191" s="199" t="s">
        <v>962</v>
      </c>
      <c r="D191" s="917" t="s">
        <v>2781</v>
      </c>
      <c r="E191" s="198" t="s">
        <v>1748</v>
      </c>
      <c r="F191" s="332">
        <f>E192</f>
        <v>31.259999999999998</v>
      </c>
      <c r="G191" s="332"/>
      <c r="H191" s="332">
        <f>F191*G191</f>
        <v>0</v>
      </c>
      <c r="I191" s="333">
        <v>0.023</v>
      </c>
      <c r="J191" s="334">
        <f>F191*I191</f>
        <v>0.71898</v>
      </c>
      <c r="K191" s="693"/>
      <c r="L191" s="693"/>
      <c r="M191" s="693"/>
      <c r="N191" s="693"/>
      <c r="O191" s="693"/>
      <c r="P191" s="693"/>
      <c r="Q191" s="694"/>
      <c r="R191" s="509"/>
      <c r="S191" s="509"/>
      <c r="T191" s="509"/>
    </row>
    <row r="192" spans="1:20" s="130" customFormat="1" ht="22.5" customHeight="1">
      <c r="A192" s="204"/>
      <c r="B192" s="205"/>
      <c r="C192" s="206" t="s">
        <v>963</v>
      </c>
      <c r="D192" s="916"/>
      <c r="E192" s="207">
        <f>11.1+10.08+10.08</f>
        <v>31.259999999999998</v>
      </c>
      <c r="F192" s="335"/>
      <c r="G192" s="335"/>
      <c r="H192" s="335"/>
      <c r="I192" s="336"/>
      <c r="J192" s="337"/>
      <c r="K192" s="672"/>
      <c r="L192" s="672"/>
      <c r="M192" s="672"/>
      <c r="N192" s="672"/>
      <c r="O192" s="672"/>
      <c r="P192" s="672"/>
      <c r="Q192" s="673"/>
      <c r="R192" s="508"/>
      <c r="S192" s="508"/>
      <c r="T192" s="508"/>
    </row>
    <row r="193" spans="1:20" s="22" customFormat="1" ht="21.75" customHeight="1">
      <c r="A193" s="196"/>
      <c r="B193" s="197"/>
      <c r="C193" s="199"/>
      <c r="D193" s="917"/>
      <c r="E193" s="198"/>
      <c r="F193" s="332"/>
      <c r="G193" s="332"/>
      <c r="H193" s="332"/>
      <c r="I193" s="333"/>
      <c r="J193" s="334"/>
      <c r="K193" s="693"/>
      <c r="L193" s="693"/>
      <c r="M193" s="693"/>
      <c r="N193" s="693"/>
      <c r="O193" s="693"/>
      <c r="P193" s="693"/>
      <c r="Q193" s="694"/>
      <c r="R193" s="509"/>
      <c r="S193" s="509"/>
      <c r="T193" s="509"/>
    </row>
    <row r="194" spans="1:20" s="22" customFormat="1" ht="21.75" customHeight="1">
      <c r="A194" s="196" t="s">
        <v>2412</v>
      </c>
      <c r="B194" s="197" t="s">
        <v>2439</v>
      </c>
      <c r="C194" s="199" t="s">
        <v>2440</v>
      </c>
      <c r="D194" s="917" t="s">
        <v>2781</v>
      </c>
      <c r="E194" s="198" t="s">
        <v>1718</v>
      </c>
      <c r="F194" s="332">
        <v>5</v>
      </c>
      <c r="G194" s="332"/>
      <c r="H194" s="332">
        <f>F194*G194</f>
        <v>0</v>
      </c>
      <c r="I194" s="333">
        <v>0</v>
      </c>
      <c r="J194" s="334">
        <f>F194*I194</f>
        <v>0</v>
      </c>
      <c r="K194" s="693"/>
      <c r="L194" s="693"/>
      <c r="M194" s="693"/>
      <c r="N194" s="693"/>
      <c r="O194" s="693"/>
      <c r="P194" s="693"/>
      <c r="Q194" s="694"/>
      <c r="R194" s="509"/>
      <c r="S194" s="509"/>
      <c r="T194" s="509"/>
    </row>
    <row r="195" spans="1:20" s="22" customFormat="1" ht="21.75" customHeight="1">
      <c r="A195" s="196" t="s">
        <v>2414</v>
      </c>
      <c r="B195" s="197" t="s">
        <v>2442</v>
      </c>
      <c r="C195" s="199" t="s">
        <v>2443</v>
      </c>
      <c r="D195" s="917" t="s">
        <v>2781</v>
      </c>
      <c r="E195" s="198" t="s">
        <v>1748</v>
      </c>
      <c r="F195" s="332">
        <f>E196</f>
        <v>4.399</v>
      </c>
      <c r="G195" s="332"/>
      <c r="H195" s="332">
        <f>F195*G195</f>
        <v>0</v>
      </c>
      <c r="I195" s="333">
        <v>0.088</v>
      </c>
      <c r="J195" s="334">
        <f>F195*I195</f>
        <v>0.38711199999999996</v>
      </c>
      <c r="K195" s="693"/>
      <c r="L195" s="693"/>
      <c r="M195" s="693"/>
      <c r="N195" s="693"/>
      <c r="O195" s="693"/>
      <c r="P195" s="693"/>
      <c r="Q195" s="694"/>
      <c r="R195" s="509"/>
      <c r="S195" s="509"/>
      <c r="T195" s="509"/>
    </row>
    <row r="196" spans="1:20" s="130" customFormat="1" ht="22.5" customHeight="1">
      <c r="A196" s="204"/>
      <c r="B196" s="205"/>
      <c r="C196" s="206" t="s">
        <v>964</v>
      </c>
      <c r="D196" s="916"/>
      <c r="E196" s="207">
        <f>0.8*1.97+0.9*1.97+0.7*1.5</f>
        <v>4.399</v>
      </c>
      <c r="F196" s="335"/>
      <c r="G196" s="335"/>
      <c r="H196" s="335"/>
      <c r="I196" s="336"/>
      <c r="J196" s="337"/>
      <c r="K196" s="672"/>
      <c r="L196" s="672"/>
      <c r="M196" s="672"/>
      <c r="N196" s="672"/>
      <c r="O196" s="672"/>
      <c r="P196" s="672"/>
      <c r="Q196" s="673"/>
      <c r="R196" s="508"/>
      <c r="S196" s="508"/>
      <c r="T196" s="508"/>
    </row>
    <row r="197" spans="1:20" s="22" customFormat="1" ht="21.75" customHeight="1">
      <c r="A197" s="196" t="s">
        <v>2418</v>
      </c>
      <c r="B197" s="197" t="s">
        <v>2445</v>
      </c>
      <c r="C197" s="199" t="s">
        <v>2446</v>
      </c>
      <c r="D197" s="917" t="s">
        <v>2781</v>
      </c>
      <c r="E197" s="198" t="s">
        <v>1748</v>
      </c>
      <c r="F197" s="332">
        <f>E198</f>
        <v>3.3600000000000003</v>
      </c>
      <c r="G197" s="332"/>
      <c r="H197" s="332">
        <f>F197*G197</f>
        <v>0</v>
      </c>
      <c r="I197" s="333">
        <v>0.067</v>
      </c>
      <c r="J197" s="334">
        <f>F197*I197</f>
        <v>0.22512000000000004</v>
      </c>
      <c r="K197" s="693"/>
      <c r="L197" s="693"/>
      <c r="M197" s="693"/>
      <c r="N197" s="693"/>
      <c r="O197" s="693"/>
      <c r="P197" s="693"/>
      <c r="Q197" s="694"/>
      <c r="R197" s="509"/>
      <c r="S197" s="509"/>
      <c r="T197" s="509"/>
    </row>
    <row r="198" spans="1:20" s="130" customFormat="1" ht="22.5" customHeight="1">
      <c r="A198" s="204"/>
      <c r="B198" s="205"/>
      <c r="C198" s="206" t="s">
        <v>965</v>
      </c>
      <c r="D198" s="916"/>
      <c r="E198" s="207">
        <f>1.6*2.1</f>
        <v>3.3600000000000003</v>
      </c>
      <c r="F198" s="335"/>
      <c r="G198" s="335"/>
      <c r="H198" s="335"/>
      <c r="I198" s="336"/>
      <c r="J198" s="337"/>
      <c r="K198" s="672"/>
      <c r="L198" s="672"/>
      <c r="M198" s="672"/>
      <c r="N198" s="672"/>
      <c r="O198" s="672"/>
      <c r="P198" s="672"/>
      <c r="Q198" s="673"/>
      <c r="R198" s="508"/>
      <c r="S198" s="508"/>
      <c r="T198" s="508"/>
    </row>
    <row r="199" spans="1:20" s="22" customFormat="1" ht="16.5" customHeight="1">
      <c r="A199" s="196"/>
      <c r="B199" s="197"/>
      <c r="C199" s="199"/>
      <c r="D199" s="917"/>
      <c r="E199" s="198"/>
      <c r="F199" s="332"/>
      <c r="G199" s="332"/>
      <c r="H199" s="332"/>
      <c r="I199" s="333"/>
      <c r="J199" s="334"/>
      <c r="K199" s="693"/>
      <c r="L199" s="693"/>
      <c r="M199" s="693"/>
      <c r="N199" s="693"/>
      <c r="O199" s="693"/>
      <c r="P199" s="693"/>
      <c r="Q199" s="694"/>
      <c r="R199" s="509"/>
      <c r="S199" s="509"/>
      <c r="T199" s="509"/>
    </row>
    <row r="200" spans="1:20" s="22" customFormat="1" ht="21.75" customHeight="1">
      <c r="A200" s="196" t="s">
        <v>2422</v>
      </c>
      <c r="B200" s="197" t="s">
        <v>966</v>
      </c>
      <c r="C200" s="199" t="s">
        <v>967</v>
      </c>
      <c r="D200" s="917" t="s">
        <v>2776</v>
      </c>
      <c r="E200" s="198" t="s">
        <v>1718</v>
      </c>
      <c r="F200" s="332">
        <v>2</v>
      </c>
      <c r="G200" s="332"/>
      <c r="H200" s="332">
        <f>F200*G200</f>
        <v>0</v>
      </c>
      <c r="I200" s="333">
        <v>0</v>
      </c>
      <c r="J200" s="334">
        <f>F200*I200</f>
        <v>0</v>
      </c>
      <c r="K200" s="693"/>
      <c r="L200" s="693"/>
      <c r="M200" s="693"/>
      <c r="N200" s="693"/>
      <c r="O200" s="693"/>
      <c r="P200" s="693"/>
      <c r="Q200" s="694"/>
      <c r="R200" s="509"/>
      <c r="S200" s="509"/>
      <c r="T200" s="509"/>
    </row>
    <row r="201" spans="1:20" s="22" customFormat="1" ht="21.75" customHeight="1">
      <c r="A201" s="196" t="s">
        <v>2426</v>
      </c>
      <c r="B201" s="197" t="s">
        <v>968</v>
      </c>
      <c r="C201" s="199" t="s">
        <v>969</v>
      </c>
      <c r="D201" s="917" t="s">
        <v>2776</v>
      </c>
      <c r="E201" s="198" t="s">
        <v>1748</v>
      </c>
      <c r="F201" s="332">
        <f>E202</f>
        <v>5.3999999999999995</v>
      </c>
      <c r="G201" s="332"/>
      <c r="H201" s="332">
        <f>F201*G201</f>
        <v>0</v>
      </c>
      <c r="I201" s="333">
        <v>0.052</v>
      </c>
      <c r="J201" s="334">
        <f>F201*I201</f>
        <v>0.28079999999999994</v>
      </c>
      <c r="K201" s="693"/>
      <c r="L201" s="693"/>
      <c r="M201" s="693"/>
      <c r="N201" s="693"/>
      <c r="O201" s="693"/>
      <c r="P201" s="693"/>
      <c r="Q201" s="694"/>
      <c r="R201" s="509"/>
      <c r="S201" s="509"/>
      <c r="T201" s="509"/>
    </row>
    <row r="202" spans="1:20" s="130" customFormat="1" ht="22.5" customHeight="1">
      <c r="A202" s="204"/>
      <c r="B202" s="205"/>
      <c r="C202" s="206" t="s">
        <v>970</v>
      </c>
      <c r="D202" s="916"/>
      <c r="E202" s="207">
        <f>2.4*2.25</f>
        <v>5.3999999999999995</v>
      </c>
      <c r="F202" s="335"/>
      <c r="G202" s="335"/>
      <c r="H202" s="335"/>
      <c r="I202" s="336"/>
      <c r="J202" s="337"/>
      <c r="K202" s="672"/>
      <c r="L202" s="672"/>
      <c r="M202" s="672"/>
      <c r="N202" s="672"/>
      <c r="O202" s="672"/>
      <c r="P202" s="672"/>
      <c r="Q202" s="673"/>
      <c r="R202" s="508"/>
      <c r="S202" s="508"/>
      <c r="T202" s="508"/>
    </row>
    <row r="203" spans="1:20" s="22" customFormat="1" ht="16.5" customHeight="1">
      <c r="A203" s="196"/>
      <c r="B203" s="197"/>
      <c r="C203" s="199"/>
      <c r="D203" s="917"/>
      <c r="E203" s="198"/>
      <c r="F203" s="332"/>
      <c r="G203" s="332"/>
      <c r="H203" s="332"/>
      <c r="I203" s="333"/>
      <c r="J203" s="334"/>
      <c r="K203" s="693"/>
      <c r="L203" s="693"/>
      <c r="M203" s="693"/>
      <c r="N203" s="693"/>
      <c r="O203" s="693"/>
      <c r="P203" s="693"/>
      <c r="Q203" s="694"/>
      <c r="R203" s="509"/>
      <c r="S203" s="509"/>
      <c r="T203" s="509"/>
    </row>
    <row r="204" spans="1:20" s="22" customFormat="1" ht="26.25" customHeight="1">
      <c r="A204" s="196" t="s">
        <v>2430</v>
      </c>
      <c r="B204" s="197" t="s">
        <v>2449</v>
      </c>
      <c r="C204" s="199" t="s">
        <v>2450</v>
      </c>
      <c r="D204" s="917" t="s">
        <v>2776</v>
      </c>
      <c r="E204" s="198" t="s">
        <v>1748</v>
      </c>
      <c r="F204" s="332">
        <f>E205</f>
        <v>8.370000000000001</v>
      </c>
      <c r="G204" s="332"/>
      <c r="H204" s="332">
        <f>F204*G204</f>
        <v>0</v>
      </c>
      <c r="I204" s="333">
        <v>0.065</v>
      </c>
      <c r="J204" s="334">
        <f>F204*I204</f>
        <v>0.54405</v>
      </c>
      <c r="K204" s="693"/>
      <c r="L204" s="693"/>
      <c r="M204" s="693"/>
      <c r="N204" s="693"/>
      <c r="O204" s="693"/>
      <c r="P204" s="693"/>
      <c r="Q204" s="694"/>
      <c r="R204" s="509"/>
      <c r="S204" s="509"/>
      <c r="T204" s="509"/>
    </row>
    <row r="205" spans="1:20" s="130" customFormat="1" ht="22.5" customHeight="1">
      <c r="A205" s="204"/>
      <c r="B205" s="205"/>
      <c r="C205" s="206" t="s">
        <v>2451</v>
      </c>
      <c r="D205" s="916"/>
      <c r="E205" s="207">
        <f>3.51+4.86</f>
        <v>8.370000000000001</v>
      </c>
      <c r="F205" s="335"/>
      <c r="G205" s="335"/>
      <c r="H205" s="335"/>
      <c r="I205" s="336"/>
      <c r="J205" s="337"/>
      <c r="K205" s="672"/>
      <c r="L205" s="672"/>
      <c r="M205" s="672"/>
      <c r="N205" s="672"/>
      <c r="O205" s="672"/>
      <c r="P205" s="672"/>
      <c r="Q205" s="673"/>
      <c r="R205" s="508"/>
      <c r="S205" s="508"/>
      <c r="T205" s="508"/>
    </row>
    <row r="206" spans="1:20" s="22" customFormat="1" ht="21.75" customHeight="1">
      <c r="A206" s="196" t="s">
        <v>2434</v>
      </c>
      <c r="B206" s="197" t="s">
        <v>971</v>
      </c>
      <c r="C206" s="199" t="s">
        <v>972</v>
      </c>
      <c r="D206" s="917" t="s">
        <v>2776</v>
      </c>
      <c r="E206" s="198" t="s">
        <v>1826</v>
      </c>
      <c r="F206" s="332">
        <v>16.9</v>
      </c>
      <c r="G206" s="332"/>
      <c r="H206" s="332">
        <f t="shared" si="16"/>
        <v>0</v>
      </c>
      <c r="I206" s="333">
        <v>0</v>
      </c>
      <c r="J206" s="334">
        <f t="shared" si="17"/>
        <v>0</v>
      </c>
      <c r="K206" s="693"/>
      <c r="L206" s="693"/>
      <c r="M206" s="693"/>
      <c r="N206" s="693"/>
      <c r="O206" s="693"/>
      <c r="P206" s="693"/>
      <c r="Q206" s="694"/>
      <c r="R206" s="509"/>
      <c r="S206" s="509"/>
      <c r="T206" s="509"/>
    </row>
    <row r="207" spans="1:20" s="22" customFormat="1" ht="21.75" customHeight="1">
      <c r="A207" s="196" t="s">
        <v>2438</v>
      </c>
      <c r="B207" s="197" t="s">
        <v>973</v>
      </c>
      <c r="C207" s="199" t="s">
        <v>974</v>
      </c>
      <c r="D207" s="917" t="s">
        <v>2776</v>
      </c>
      <c r="E207" s="198" t="s">
        <v>1748</v>
      </c>
      <c r="F207" s="332">
        <f>55.4</f>
        <v>55.4</v>
      </c>
      <c r="G207" s="332"/>
      <c r="H207" s="332">
        <f t="shared" si="16"/>
        <v>0</v>
      </c>
      <c r="I207" s="333">
        <v>0.181</v>
      </c>
      <c r="J207" s="334">
        <f t="shared" si="17"/>
        <v>10.0274</v>
      </c>
      <c r="K207" s="693"/>
      <c r="L207" s="693"/>
      <c r="M207" s="693"/>
      <c r="N207" s="693"/>
      <c r="O207" s="693"/>
      <c r="P207" s="693"/>
      <c r="Q207" s="694"/>
      <c r="R207" s="509"/>
      <c r="S207" s="509"/>
      <c r="T207" s="509"/>
    </row>
    <row r="208" spans="1:20" s="22" customFormat="1" ht="21.75" customHeight="1">
      <c r="A208" s="196" t="s">
        <v>2441</v>
      </c>
      <c r="B208" s="197" t="s">
        <v>2406</v>
      </c>
      <c r="C208" s="199" t="s">
        <v>2407</v>
      </c>
      <c r="D208" s="917" t="s">
        <v>2776</v>
      </c>
      <c r="E208" s="198" t="s">
        <v>1826</v>
      </c>
      <c r="F208" s="332">
        <v>8.7</v>
      </c>
      <c r="G208" s="332"/>
      <c r="H208" s="332">
        <f t="shared" si="16"/>
        <v>0</v>
      </c>
      <c r="I208" s="333">
        <v>0.07</v>
      </c>
      <c r="J208" s="334">
        <f t="shared" si="17"/>
        <v>0.609</v>
      </c>
      <c r="K208" s="693"/>
      <c r="L208" s="693"/>
      <c r="M208" s="693"/>
      <c r="N208" s="693"/>
      <c r="O208" s="693"/>
      <c r="P208" s="693"/>
      <c r="Q208" s="694"/>
      <c r="R208" s="509"/>
      <c r="S208" s="509"/>
      <c r="T208" s="509"/>
    </row>
    <row r="209" spans="1:20" s="22" customFormat="1" ht="21.75" customHeight="1">
      <c r="A209" s="196" t="s">
        <v>2444</v>
      </c>
      <c r="B209" s="197" t="s">
        <v>975</v>
      </c>
      <c r="C209" s="199" t="s">
        <v>976</v>
      </c>
      <c r="D209" s="917" t="s">
        <v>2776</v>
      </c>
      <c r="E209" s="198" t="s">
        <v>1826</v>
      </c>
      <c r="F209" s="332">
        <v>45.44</v>
      </c>
      <c r="G209" s="332"/>
      <c r="H209" s="332">
        <f t="shared" si="16"/>
        <v>0</v>
      </c>
      <c r="I209" s="333">
        <v>0.037</v>
      </c>
      <c r="J209" s="334">
        <f t="shared" si="17"/>
        <v>1.6812799999999999</v>
      </c>
      <c r="K209" s="693"/>
      <c r="L209" s="693"/>
      <c r="M209" s="693"/>
      <c r="N209" s="693"/>
      <c r="O209" s="693"/>
      <c r="P209" s="693"/>
      <c r="Q209" s="694"/>
      <c r="R209" s="509"/>
      <c r="S209" s="509"/>
      <c r="T209" s="509"/>
    </row>
    <row r="210" spans="1:20" s="22" customFormat="1" ht="21.75" customHeight="1">
      <c r="A210" s="196" t="s">
        <v>2448</v>
      </c>
      <c r="B210" s="197" t="s">
        <v>2483</v>
      </c>
      <c r="C210" s="199" t="s">
        <v>2484</v>
      </c>
      <c r="D210" s="917" t="s">
        <v>2776</v>
      </c>
      <c r="E210" s="198" t="s">
        <v>1831</v>
      </c>
      <c r="F210" s="332">
        <v>4</v>
      </c>
      <c r="G210" s="332"/>
      <c r="H210" s="332">
        <f t="shared" si="16"/>
        <v>0</v>
      </c>
      <c r="I210" s="333">
        <v>0.037</v>
      </c>
      <c r="J210" s="334">
        <f t="shared" si="17"/>
        <v>0.148</v>
      </c>
      <c r="K210" s="693"/>
      <c r="L210" s="693"/>
      <c r="M210" s="693"/>
      <c r="N210" s="693"/>
      <c r="O210" s="693"/>
      <c r="P210" s="693"/>
      <c r="Q210" s="694"/>
      <c r="R210" s="509"/>
      <c r="S210" s="509"/>
      <c r="T210" s="509"/>
    </row>
    <row r="211" spans="1:20" s="22" customFormat="1" ht="21.75" customHeight="1">
      <c r="A211" s="196" t="s">
        <v>2452</v>
      </c>
      <c r="B211" s="197" t="s">
        <v>2486</v>
      </c>
      <c r="C211" s="199" t="s">
        <v>2487</v>
      </c>
      <c r="D211" s="917" t="s">
        <v>2776</v>
      </c>
      <c r="E211" s="198" t="s">
        <v>2488</v>
      </c>
      <c r="F211" s="332">
        <v>142</v>
      </c>
      <c r="G211" s="332"/>
      <c r="H211" s="332">
        <f t="shared" si="16"/>
        <v>0</v>
      </c>
      <c r="I211" s="333">
        <v>0.001</v>
      </c>
      <c r="J211" s="334">
        <f t="shared" si="17"/>
        <v>0.14200000000000002</v>
      </c>
      <c r="K211" s="693"/>
      <c r="L211" s="693"/>
      <c r="M211" s="693"/>
      <c r="N211" s="693"/>
      <c r="O211" s="693"/>
      <c r="P211" s="693"/>
      <c r="Q211" s="694"/>
      <c r="R211" s="509"/>
      <c r="S211" s="509"/>
      <c r="T211" s="509"/>
    </row>
    <row r="212" spans="1:20" s="22" customFormat="1" ht="21.75" customHeight="1">
      <c r="A212" s="196" t="s">
        <v>2455</v>
      </c>
      <c r="B212" s="197" t="s">
        <v>2490</v>
      </c>
      <c r="C212" s="199" t="s">
        <v>2491</v>
      </c>
      <c r="D212" s="917" t="s">
        <v>2761</v>
      </c>
      <c r="E212" s="198" t="s">
        <v>1826</v>
      </c>
      <c r="F212" s="332">
        <f>129.1</f>
        <v>129.1</v>
      </c>
      <c r="G212" s="332"/>
      <c r="H212" s="332">
        <f t="shared" si="16"/>
        <v>0</v>
      </c>
      <c r="I212" s="333">
        <v>0.00135</v>
      </c>
      <c r="J212" s="334">
        <f t="shared" si="17"/>
        <v>0.174285</v>
      </c>
      <c r="K212" s="693"/>
      <c r="L212" s="693"/>
      <c r="M212" s="693"/>
      <c r="N212" s="693"/>
      <c r="O212" s="693"/>
      <c r="P212" s="693"/>
      <c r="Q212" s="694"/>
      <c r="R212" s="509"/>
      <c r="S212" s="509"/>
      <c r="T212" s="509"/>
    </row>
    <row r="213" spans="1:20" s="22" customFormat="1" ht="21.75" customHeight="1">
      <c r="A213" s="196" t="s">
        <v>2465</v>
      </c>
      <c r="B213" s="197" t="s">
        <v>2493</v>
      </c>
      <c r="C213" s="199" t="s">
        <v>2494</v>
      </c>
      <c r="D213" s="917" t="s">
        <v>2761</v>
      </c>
      <c r="E213" s="198" t="s">
        <v>1826</v>
      </c>
      <c r="F213" s="332">
        <f>68.8+102.4+6+16.2</f>
        <v>193.39999999999998</v>
      </c>
      <c r="G213" s="332"/>
      <c r="H213" s="332">
        <f t="shared" si="16"/>
        <v>0</v>
      </c>
      <c r="I213" s="333">
        <v>0.00175</v>
      </c>
      <c r="J213" s="334">
        <f t="shared" si="17"/>
        <v>0.33845</v>
      </c>
      <c r="K213" s="693"/>
      <c r="L213" s="693"/>
      <c r="M213" s="693"/>
      <c r="N213" s="693"/>
      <c r="O213" s="693"/>
      <c r="P213" s="693"/>
      <c r="Q213" s="694"/>
      <c r="R213" s="509"/>
      <c r="S213" s="509"/>
      <c r="T213" s="509"/>
    </row>
    <row r="214" spans="1:20" s="22" customFormat="1" ht="21.75" customHeight="1">
      <c r="A214" s="196" t="s">
        <v>2468</v>
      </c>
      <c r="B214" s="197" t="s">
        <v>2496</v>
      </c>
      <c r="C214" s="199" t="s">
        <v>2497</v>
      </c>
      <c r="D214" s="917" t="s">
        <v>2761</v>
      </c>
      <c r="E214" s="198" t="s">
        <v>1826</v>
      </c>
      <c r="F214" s="332">
        <v>21.5</v>
      </c>
      <c r="G214" s="332"/>
      <c r="H214" s="332">
        <f t="shared" si="16"/>
        <v>0</v>
      </c>
      <c r="I214" s="333">
        <v>0.00395</v>
      </c>
      <c r="J214" s="334">
        <f t="shared" si="17"/>
        <v>0.08492500000000001</v>
      </c>
      <c r="K214" s="693"/>
      <c r="L214" s="693"/>
      <c r="M214" s="693"/>
      <c r="N214" s="693"/>
      <c r="O214" s="693"/>
      <c r="P214" s="693"/>
      <c r="Q214" s="694"/>
      <c r="R214" s="509"/>
      <c r="S214" s="509"/>
      <c r="T214" s="509"/>
    </row>
    <row r="215" spans="1:20" s="22" customFormat="1" ht="21.75" customHeight="1">
      <c r="A215" s="196" t="s">
        <v>2473</v>
      </c>
      <c r="B215" s="197" t="s">
        <v>2499</v>
      </c>
      <c r="C215" s="199" t="s">
        <v>2500</v>
      </c>
      <c r="D215" s="917" t="s">
        <v>2761</v>
      </c>
      <c r="E215" s="198" t="s">
        <v>1826</v>
      </c>
      <c r="F215" s="332">
        <f>7.5+5.8+86.5+83.5+63.5</f>
        <v>246.8</v>
      </c>
      <c r="G215" s="332"/>
      <c r="H215" s="332">
        <f t="shared" si="16"/>
        <v>0</v>
      </c>
      <c r="I215" s="333">
        <v>0.0023</v>
      </c>
      <c r="J215" s="334">
        <f t="shared" si="17"/>
        <v>0.56764</v>
      </c>
      <c r="K215" s="693"/>
      <c r="L215" s="693"/>
      <c r="M215" s="693"/>
      <c r="N215" s="693"/>
      <c r="O215" s="693"/>
      <c r="P215" s="693"/>
      <c r="Q215" s="694"/>
      <c r="R215" s="509"/>
      <c r="S215" s="509"/>
      <c r="T215" s="509"/>
    </row>
    <row r="216" spans="1:20" s="22" customFormat="1" ht="21.75" customHeight="1">
      <c r="A216" s="196" t="s">
        <v>2476</v>
      </c>
      <c r="B216" s="197" t="s">
        <v>782</v>
      </c>
      <c r="C216" s="199" t="s">
        <v>783</v>
      </c>
      <c r="D216" s="917" t="s">
        <v>2761</v>
      </c>
      <c r="E216" s="198" t="s">
        <v>1826</v>
      </c>
      <c r="F216" s="332">
        <v>66.5</v>
      </c>
      <c r="G216" s="332"/>
      <c r="H216" s="332">
        <f t="shared" si="16"/>
        <v>0</v>
      </c>
      <c r="I216" s="333">
        <v>0.00392</v>
      </c>
      <c r="J216" s="334">
        <f t="shared" si="17"/>
        <v>0.26067999999999997</v>
      </c>
      <c r="K216" s="693"/>
      <c r="L216" s="693"/>
      <c r="M216" s="693"/>
      <c r="N216" s="693"/>
      <c r="O216" s="693"/>
      <c r="P216" s="693"/>
      <c r="Q216" s="694"/>
      <c r="R216" s="509"/>
      <c r="S216" s="509"/>
      <c r="T216" s="509"/>
    </row>
    <row r="217" spans="1:20" s="22" customFormat="1" ht="21.75" customHeight="1">
      <c r="A217" s="196" t="s">
        <v>2482</v>
      </c>
      <c r="B217" s="197" t="s">
        <v>2508</v>
      </c>
      <c r="C217" s="199" t="s">
        <v>2509</v>
      </c>
      <c r="D217" s="917" t="s">
        <v>2761</v>
      </c>
      <c r="E217" s="198" t="s">
        <v>1826</v>
      </c>
      <c r="F217" s="332">
        <f>3+26.2</f>
        <v>29.2</v>
      </c>
      <c r="G217" s="332"/>
      <c r="H217" s="332">
        <f t="shared" si="16"/>
        <v>0</v>
      </c>
      <c r="I217" s="333">
        <v>0.00324</v>
      </c>
      <c r="J217" s="334">
        <f t="shared" si="17"/>
        <v>0.094608</v>
      </c>
      <c r="K217" s="693"/>
      <c r="L217" s="693"/>
      <c r="M217" s="693"/>
      <c r="N217" s="693"/>
      <c r="O217" s="693"/>
      <c r="P217" s="693"/>
      <c r="Q217" s="694"/>
      <c r="R217" s="509"/>
      <c r="S217" s="509"/>
      <c r="T217" s="509"/>
    </row>
    <row r="218" spans="1:20" s="22" customFormat="1" ht="21.75" customHeight="1">
      <c r="A218" s="196" t="s">
        <v>2485</v>
      </c>
      <c r="B218" s="197" t="s">
        <v>2511</v>
      </c>
      <c r="C218" s="199" t="s">
        <v>2512</v>
      </c>
      <c r="D218" s="917" t="s">
        <v>2761</v>
      </c>
      <c r="E218" s="198" t="s">
        <v>2513</v>
      </c>
      <c r="F218" s="332">
        <v>54</v>
      </c>
      <c r="G218" s="332"/>
      <c r="H218" s="332">
        <f t="shared" si="16"/>
        <v>0</v>
      </c>
      <c r="I218" s="333">
        <v>0.00285</v>
      </c>
      <c r="J218" s="334">
        <f t="shared" si="17"/>
        <v>0.1539</v>
      </c>
      <c r="K218" s="693"/>
      <c r="L218" s="693"/>
      <c r="M218" s="693"/>
      <c r="N218" s="693"/>
      <c r="O218" s="693"/>
      <c r="P218" s="693"/>
      <c r="Q218" s="694"/>
      <c r="R218" s="509"/>
      <c r="S218" s="509"/>
      <c r="T218" s="509"/>
    </row>
    <row r="219" spans="1:20" s="22" customFormat="1" ht="21.75" customHeight="1">
      <c r="A219" s="196" t="s">
        <v>2489</v>
      </c>
      <c r="B219" s="197" t="s">
        <v>2515</v>
      </c>
      <c r="C219" s="199" t="s">
        <v>2516</v>
      </c>
      <c r="D219" s="917" t="s">
        <v>2779</v>
      </c>
      <c r="E219" s="198" t="s">
        <v>1831</v>
      </c>
      <c r="F219" s="332">
        <v>4</v>
      </c>
      <c r="G219" s="332"/>
      <c r="H219" s="332">
        <f t="shared" si="16"/>
        <v>0</v>
      </c>
      <c r="I219" s="333">
        <v>0.03522</v>
      </c>
      <c r="J219" s="334">
        <f t="shared" si="17"/>
        <v>0.14088</v>
      </c>
      <c r="K219" s="693"/>
      <c r="L219" s="693"/>
      <c r="M219" s="693"/>
      <c r="N219" s="693"/>
      <c r="O219" s="693"/>
      <c r="P219" s="693"/>
      <c r="Q219" s="694"/>
      <c r="R219" s="509"/>
      <c r="S219" s="509"/>
      <c r="T219" s="509"/>
    </row>
    <row r="220" spans="1:20" s="22" customFormat="1" ht="18.75" customHeight="1">
      <c r="A220" s="196" t="s">
        <v>2492</v>
      </c>
      <c r="B220" s="197" t="s">
        <v>2523</v>
      </c>
      <c r="C220" s="199" t="s">
        <v>2524</v>
      </c>
      <c r="D220" s="917" t="s">
        <v>2525</v>
      </c>
      <c r="E220" s="198" t="s">
        <v>1831</v>
      </c>
      <c r="F220" s="332">
        <v>4</v>
      </c>
      <c r="G220" s="332"/>
      <c r="H220" s="332">
        <f>F220*G220</f>
        <v>0</v>
      </c>
      <c r="I220" s="333">
        <v>0.00463</v>
      </c>
      <c r="J220" s="334">
        <f>F220*I220</f>
        <v>0.01852</v>
      </c>
      <c r="K220" s="509"/>
      <c r="L220" s="509"/>
      <c r="M220" s="509"/>
      <c r="N220" s="509"/>
      <c r="O220" s="509"/>
      <c r="P220" s="509"/>
      <c r="Q220" s="509"/>
      <c r="R220" s="509"/>
      <c r="S220" s="509"/>
      <c r="T220" s="509"/>
    </row>
    <row r="221" spans="1:20" s="22" customFormat="1" ht="21.75" customHeight="1">
      <c r="A221" s="196" t="s">
        <v>2495</v>
      </c>
      <c r="B221" s="197" t="s">
        <v>2518</v>
      </c>
      <c r="C221" s="199" t="s">
        <v>2519</v>
      </c>
      <c r="D221" s="917" t="s">
        <v>2779</v>
      </c>
      <c r="E221" s="198" t="s">
        <v>1748</v>
      </c>
      <c r="F221" s="332">
        <f>E222</f>
        <v>522.45</v>
      </c>
      <c r="G221" s="332"/>
      <c r="H221" s="332">
        <f>F221*G221</f>
        <v>0</v>
      </c>
      <c r="I221" s="333">
        <v>0.00732</v>
      </c>
      <c r="J221" s="334">
        <f>F221*I221</f>
        <v>3.8243340000000003</v>
      </c>
      <c r="K221" s="509"/>
      <c r="L221" s="509"/>
      <c r="M221" s="509"/>
      <c r="N221" s="509"/>
      <c r="O221" s="509"/>
      <c r="P221" s="509"/>
      <c r="Q221" s="509"/>
      <c r="R221" s="509"/>
      <c r="S221" s="509"/>
      <c r="T221" s="509"/>
    </row>
    <row r="222" spans="1:20" s="130" customFormat="1" ht="21.75" customHeight="1">
      <c r="A222" s="204"/>
      <c r="B222" s="205"/>
      <c r="C222" s="206" t="s">
        <v>977</v>
      </c>
      <c r="D222" s="916"/>
      <c r="E222" s="207">
        <f>475.45+47</f>
        <v>522.45</v>
      </c>
      <c r="F222" s="335"/>
      <c r="G222" s="335"/>
      <c r="H222" s="335"/>
      <c r="I222" s="336"/>
      <c r="J222" s="337"/>
      <c r="K222" s="508"/>
      <c r="L222" s="508"/>
      <c r="M222" s="508"/>
      <c r="N222" s="508"/>
      <c r="O222" s="508"/>
      <c r="P222" s="508"/>
      <c r="Q222" s="508"/>
      <c r="R222" s="508"/>
      <c r="S222" s="508"/>
      <c r="T222" s="508"/>
    </row>
    <row r="223" spans="1:20" s="22" customFormat="1" ht="20.25" customHeight="1">
      <c r="A223" s="196" t="s">
        <v>2498</v>
      </c>
      <c r="B223" s="197" t="s">
        <v>2474</v>
      </c>
      <c r="C223" s="199" t="s">
        <v>2475</v>
      </c>
      <c r="D223" s="917" t="s">
        <v>2778</v>
      </c>
      <c r="E223" s="198" t="s">
        <v>1748</v>
      </c>
      <c r="F223" s="332">
        <f>SUM(E224)</f>
        <v>430.95</v>
      </c>
      <c r="G223" s="332"/>
      <c r="H223" s="332">
        <f>F223*G223</f>
        <v>0</v>
      </c>
      <c r="I223" s="333">
        <v>0.045</v>
      </c>
      <c r="J223" s="334">
        <f>F223*I223</f>
        <v>19.39275</v>
      </c>
      <c r="K223" s="509"/>
      <c r="L223" s="509"/>
      <c r="M223" s="509"/>
      <c r="N223" s="509"/>
      <c r="O223" s="509"/>
      <c r="P223" s="509"/>
      <c r="Q223" s="509"/>
      <c r="R223" s="509"/>
      <c r="S223" s="509"/>
      <c r="T223" s="509"/>
    </row>
    <row r="224" spans="1:20" s="130" customFormat="1" ht="18.75" customHeight="1">
      <c r="A224" s="204"/>
      <c r="B224" s="205"/>
      <c r="C224" s="206" t="s">
        <v>892</v>
      </c>
      <c r="D224" s="916"/>
      <c r="E224" s="207">
        <v>430.95</v>
      </c>
      <c r="F224" s="335"/>
      <c r="G224" s="335"/>
      <c r="H224" s="335"/>
      <c r="I224" s="336"/>
      <c r="J224" s="337"/>
      <c r="K224" s="672"/>
      <c r="L224" s="672"/>
      <c r="M224" s="672"/>
      <c r="N224" s="672"/>
      <c r="O224" s="672"/>
      <c r="P224" s="672"/>
      <c r="Q224" s="673"/>
      <c r="R224" s="508"/>
      <c r="S224" s="672"/>
      <c r="T224" s="508"/>
    </row>
    <row r="225" spans="1:20" s="22" customFormat="1" ht="21.75" customHeight="1">
      <c r="A225" s="196" t="s">
        <v>2501</v>
      </c>
      <c r="B225" s="197" t="s">
        <v>2527</v>
      </c>
      <c r="C225" s="199" t="s">
        <v>2528</v>
      </c>
      <c r="D225" s="917"/>
      <c r="E225" s="198" t="s">
        <v>1783</v>
      </c>
      <c r="F225" s="332">
        <f>F226*0.8</f>
        <v>78.93110399999996</v>
      </c>
      <c r="G225" s="332"/>
      <c r="H225" s="332">
        <f t="shared" si="16"/>
        <v>0</v>
      </c>
      <c r="I225" s="333">
        <v>0</v>
      </c>
      <c r="J225" s="334"/>
      <c r="K225" s="693"/>
      <c r="L225" s="693"/>
      <c r="M225" s="693"/>
      <c r="N225" s="693"/>
      <c r="O225" s="693"/>
      <c r="P225" s="693"/>
      <c r="Q225" s="694"/>
      <c r="R225" s="509"/>
      <c r="S225" s="509"/>
      <c r="T225" s="509"/>
    </row>
    <row r="226" spans="1:20" s="22" customFormat="1" ht="21.75" customHeight="1">
      <c r="A226" s="196" t="s">
        <v>2504</v>
      </c>
      <c r="B226" s="197" t="s">
        <v>2530</v>
      </c>
      <c r="C226" s="199" t="s">
        <v>2531</v>
      </c>
      <c r="D226" s="917"/>
      <c r="E226" s="198" t="s">
        <v>1783</v>
      </c>
      <c r="F226" s="332">
        <f>J170</f>
        <v>98.66387999999995</v>
      </c>
      <c r="G226" s="332"/>
      <c r="H226" s="332">
        <f t="shared" si="16"/>
        <v>0</v>
      </c>
      <c r="I226" s="333">
        <v>0</v>
      </c>
      <c r="J226" s="334"/>
      <c r="K226" s="693"/>
      <c r="L226" s="693"/>
      <c r="M226" s="693"/>
      <c r="N226" s="693"/>
      <c r="O226" s="693"/>
      <c r="P226" s="693"/>
      <c r="Q226" s="694"/>
      <c r="R226" s="509"/>
      <c r="S226" s="509"/>
      <c r="T226" s="509"/>
    </row>
    <row r="227" spans="1:20" s="22" customFormat="1" ht="21.75" customHeight="1">
      <c r="A227" s="196" t="s">
        <v>2507</v>
      </c>
      <c r="B227" s="197" t="s">
        <v>2533</v>
      </c>
      <c r="C227" s="199" t="s">
        <v>2534</v>
      </c>
      <c r="D227" s="917"/>
      <c r="E227" s="198" t="s">
        <v>1783</v>
      </c>
      <c r="F227" s="332">
        <f>F226</f>
        <v>98.66387999999995</v>
      </c>
      <c r="G227" s="332"/>
      <c r="H227" s="332">
        <f t="shared" si="16"/>
        <v>0</v>
      </c>
      <c r="I227" s="333">
        <v>0</v>
      </c>
      <c r="J227" s="334"/>
      <c r="K227" s="693"/>
      <c r="L227" s="693"/>
      <c r="M227" s="693"/>
      <c r="N227" s="693"/>
      <c r="O227" s="693"/>
      <c r="P227" s="693"/>
      <c r="Q227" s="694"/>
      <c r="R227" s="509"/>
      <c r="S227" s="509"/>
      <c r="T227" s="509"/>
    </row>
    <row r="228" spans="1:20" s="22" customFormat="1" ht="21.75" customHeight="1">
      <c r="A228" s="196" t="s">
        <v>2510</v>
      </c>
      <c r="B228" s="197" t="s">
        <v>2536</v>
      </c>
      <c r="C228" s="199" t="s">
        <v>2537</v>
      </c>
      <c r="D228" s="917"/>
      <c r="E228" s="198" t="s">
        <v>1783</v>
      </c>
      <c r="F228" s="332">
        <f>F226</f>
        <v>98.66387999999995</v>
      </c>
      <c r="G228" s="332"/>
      <c r="H228" s="332">
        <f t="shared" si="16"/>
        <v>0</v>
      </c>
      <c r="I228" s="333">
        <v>0</v>
      </c>
      <c r="J228" s="334"/>
      <c r="K228" s="693"/>
      <c r="L228" s="693"/>
      <c r="M228" s="693"/>
      <c r="N228" s="693"/>
      <c r="O228" s="693"/>
      <c r="P228" s="693"/>
      <c r="Q228" s="694"/>
      <c r="R228" s="509"/>
      <c r="S228" s="509"/>
      <c r="T228" s="509"/>
    </row>
    <row r="229" spans="1:20" s="22" customFormat="1" ht="21.75" customHeight="1">
      <c r="A229" s="196" t="s">
        <v>2514</v>
      </c>
      <c r="B229" s="197" t="s">
        <v>2539</v>
      </c>
      <c r="C229" s="199" t="s">
        <v>2540</v>
      </c>
      <c r="D229" s="917"/>
      <c r="E229" s="198" t="s">
        <v>1783</v>
      </c>
      <c r="F229" s="332">
        <f>F226*14</f>
        <v>1381.2943199999993</v>
      </c>
      <c r="G229" s="332"/>
      <c r="H229" s="332">
        <f t="shared" si="16"/>
        <v>0</v>
      </c>
      <c r="I229" s="333">
        <v>0</v>
      </c>
      <c r="J229" s="334"/>
      <c r="K229" s="693"/>
      <c r="L229" s="693"/>
      <c r="M229" s="693"/>
      <c r="N229" s="693"/>
      <c r="O229" s="693"/>
      <c r="P229" s="693"/>
      <c r="Q229" s="694"/>
      <c r="R229" s="509"/>
      <c r="S229" s="509"/>
      <c r="T229" s="509"/>
    </row>
    <row r="230" spans="1:20" s="22" customFormat="1" ht="21.75" customHeight="1">
      <c r="A230" s="196" t="s">
        <v>2517</v>
      </c>
      <c r="B230" s="197" t="s">
        <v>2542</v>
      </c>
      <c r="C230" s="199" t="s">
        <v>2543</v>
      </c>
      <c r="D230" s="917"/>
      <c r="E230" s="198" t="s">
        <v>1783</v>
      </c>
      <c r="F230" s="332">
        <f>F227-F231-F232+F233</f>
        <v>74.42495599999995</v>
      </c>
      <c r="G230" s="332"/>
      <c r="H230" s="332">
        <f t="shared" si="16"/>
        <v>0</v>
      </c>
      <c r="I230" s="333">
        <v>0</v>
      </c>
      <c r="J230" s="334"/>
      <c r="K230" s="693"/>
      <c r="L230" s="693"/>
      <c r="M230" s="693"/>
      <c r="N230" s="693"/>
      <c r="O230" s="693"/>
      <c r="P230" s="693"/>
      <c r="Q230" s="694"/>
      <c r="R230" s="509"/>
      <c r="S230" s="509"/>
      <c r="T230" s="509"/>
    </row>
    <row r="231" spans="1:20" s="22" customFormat="1" ht="21.75" customHeight="1">
      <c r="A231" s="854" t="s">
        <v>2522</v>
      </c>
      <c r="B231" s="855" t="s">
        <v>2545</v>
      </c>
      <c r="C231" s="856" t="s">
        <v>2546</v>
      </c>
      <c r="D231" s="975"/>
      <c r="E231" s="857" t="s">
        <v>1783</v>
      </c>
      <c r="F231" s="858">
        <f>J207</f>
        <v>10.0274</v>
      </c>
      <c r="G231" s="858"/>
      <c r="H231" s="858">
        <f t="shared" si="16"/>
        <v>0</v>
      </c>
      <c r="I231" s="859">
        <v>0</v>
      </c>
      <c r="J231" s="860"/>
      <c r="K231" s="693"/>
      <c r="L231" s="693"/>
      <c r="M231" s="693"/>
      <c r="N231" s="693"/>
      <c r="O231" s="693"/>
      <c r="P231" s="693"/>
      <c r="Q231" s="694"/>
      <c r="R231" s="509"/>
      <c r="S231" s="509"/>
      <c r="T231" s="509"/>
    </row>
    <row r="232" spans="1:10" s="847" customFormat="1" ht="21.75" customHeight="1">
      <c r="A232" s="868" t="s">
        <v>2526</v>
      </c>
      <c r="B232" s="869" t="s">
        <v>2743</v>
      </c>
      <c r="C232" s="870" t="s">
        <v>2744</v>
      </c>
      <c r="D232" s="990"/>
      <c r="E232" s="871" t="s">
        <v>1783</v>
      </c>
      <c r="F232" s="872">
        <f>J187+J189+J191+J194+J195+J197+J201+J204*0.5</f>
        <v>6.309997000000001</v>
      </c>
      <c r="G232" s="872"/>
      <c r="H232" s="872">
        <f t="shared" si="16"/>
        <v>0</v>
      </c>
      <c r="I232" s="873"/>
      <c r="J232" s="874"/>
    </row>
    <row r="233" spans="1:10" s="847" customFormat="1" ht="21.75" customHeight="1">
      <c r="A233" s="868" t="s">
        <v>2529</v>
      </c>
      <c r="B233" s="862" t="s">
        <v>2745</v>
      </c>
      <c r="C233" s="863" t="s">
        <v>2746</v>
      </c>
      <c r="D233" s="976"/>
      <c r="E233" s="864" t="s">
        <v>1783</v>
      </c>
      <c r="F233" s="865">
        <f>(J204*0.5+J209+J210+J211+J212+J213+J214+J215+J216+J217+J218+J219+J220+J221)*-1</f>
        <v>-7.901527</v>
      </c>
      <c r="G233" s="865"/>
      <c r="H233" s="865">
        <f t="shared" si="16"/>
        <v>0</v>
      </c>
      <c r="I233" s="866"/>
      <c r="J233" s="867"/>
    </row>
    <row r="234" spans="1:20" s="22" customFormat="1" ht="14.25" customHeight="1" thickBot="1">
      <c r="A234" s="255"/>
      <c r="B234" s="256"/>
      <c r="C234" s="264"/>
      <c r="D234" s="968"/>
      <c r="E234" s="257"/>
      <c r="F234" s="368"/>
      <c r="G234" s="368"/>
      <c r="H234" s="368"/>
      <c r="I234" s="369"/>
      <c r="J234" s="370"/>
      <c r="K234" s="509"/>
      <c r="L234" s="509"/>
      <c r="M234" s="509"/>
      <c r="N234" s="509"/>
      <c r="O234" s="509"/>
      <c r="P234" s="509"/>
      <c r="Q234" s="509"/>
      <c r="R234" s="509"/>
      <c r="S234" s="509"/>
      <c r="T234" s="509"/>
    </row>
    <row r="235" spans="1:20" ht="16.5" customHeight="1" thickBot="1">
      <c r="A235" s="266" t="s">
        <v>2547</v>
      </c>
      <c r="B235" s="175" t="s">
        <v>2548</v>
      </c>
      <c r="C235" s="176" t="s">
        <v>2549</v>
      </c>
      <c r="D235" s="1007" t="s">
        <v>2776</v>
      </c>
      <c r="E235" s="175"/>
      <c r="F235" s="341"/>
      <c r="G235" s="341"/>
      <c r="H235" s="342">
        <f>SUM(H236:H267)</f>
        <v>0</v>
      </c>
      <c r="I235" s="343"/>
      <c r="J235" s="344">
        <f>SUM(J236:J264)</f>
        <v>0.70868142</v>
      </c>
      <c r="K235" s="670"/>
      <c r="L235" s="670"/>
      <c r="M235" s="670"/>
      <c r="N235" s="670"/>
      <c r="O235" s="670"/>
      <c r="P235" s="670"/>
      <c r="Q235" s="670"/>
      <c r="R235" s="670"/>
      <c r="S235" s="670"/>
      <c r="T235" s="670"/>
    </row>
    <row r="236" spans="1:20" s="22" customFormat="1" ht="29.25" customHeight="1">
      <c r="A236" s="190" t="s">
        <v>2550</v>
      </c>
      <c r="B236" s="191" t="s">
        <v>2551</v>
      </c>
      <c r="C236" s="265" t="s">
        <v>2552</v>
      </c>
      <c r="D236" s="964" t="s">
        <v>2776</v>
      </c>
      <c r="E236" s="192" t="s">
        <v>1748</v>
      </c>
      <c r="F236" s="345">
        <f>E237</f>
        <v>70.652</v>
      </c>
      <c r="G236" s="345"/>
      <c r="H236" s="345">
        <f>F236*G236</f>
        <v>0</v>
      </c>
      <c r="I236" s="346">
        <v>0.00052</v>
      </c>
      <c r="J236" s="347">
        <f>F236*I236</f>
        <v>0.03673904</v>
      </c>
      <c r="K236" s="509"/>
      <c r="L236" s="509"/>
      <c r="M236" s="509"/>
      <c r="N236" s="509"/>
      <c r="O236" s="509"/>
      <c r="P236" s="509"/>
      <c r="Q236" s="509"/>
      <c r="R236" s="509"/>
      <c r="S236" s="509"/>
      <c r="T236" s="509"/>
    </row>
    <row r="237" spans="1:20" s="130" customFormat="1" ht="20.25" customHeight="1">
      <c r="A237" s="204"/>
      <c r="B237" s="224" t="s">
        <v>1749</v>
      </c>
      <c r="C237" s="205" t="s">
        <v>951</v>
      </c>
      <c r="D237" s="916"/>
      <c r="E237" s="207">
        <f>(30.59)*1.8+(33.15+14.5)*0.6-13*1*1</f>
        <v>70.652</v>
      </c>
      <c r="F237" s="335"/>
      <c r="G237" s="335"/>
      <c r="H237" s="335"/>
      <c r="I237" s="336"/>
      <c r="J237" s="337"/>
      <c r="K237" s="672"/>
      <c r="L237" s="672"/>
      <c r="M237" s="672"/>
      <c r="N237" s="672"/>
      <c r="O237" s="672"/>
      <c r="P237" s="672"/>
      <c r="Q237" s="673"/>
      <c r="R237" s="508"/>
      <c r="S237" s="508"/>
      <c r="T237" s="508"/>
    </row>
    <row r="238" spans="1:20" s="22" customFormat="1" ht="22.5" customHeight="1">
      <c r="A238" s="196" t="s">
        <v>2554</v>
      </c>
      <c r="B238" s="197" t="s">
        <v>2555</v>
      </c>
      <c r="C238" s="199" t="s">
        <v>2556</v>
      </c>
      <c r="D238" s="917" t="s">
        <v>2776</v>
      </c>
      <c r="E238" s="198" t="s">
        <v>1748</v>
      </c>
      <c r="F238" s="332">
        <f>E239</f>
        <v>70.652</v>
      </c>
      <c r="G238" s="332"/>
      <c r="H238" s="332">
        <f>F238*G238</f>
        <v>0</v>
      </c>
      <c r="I238" s="333">
        <v>0.00058</v>
      </c>
      <c r="J238" s="334">
        <f>F238*I238</f>
        <v>0.04097816</v>
      </c>
      <c r="K238" s="693"/>
      <c r="L238" s="693"/>
      <c r="M238" s="693"/>
      <c r="N238" s="693"/>
      <c r="O238" s="693"/>
      <c r="P238" s="693"/>
      <c r="Q238" s="694"/>
      <c r="R238" s="509"/>
      <c r="S238" s="509"/>
      <c r="T238" s="509"/>
    </row>
    <row r="239" spans="1:20" s="130" customFormat="1" ht="20.25" customHeight="1">
      <c r="A239" s="204"/>
      <c r="B239" s="224" t="s">
        <v>1749</v>
      </c>
      <c r="C239" s="205" t="s">
        <v>951</v>
      </c>
      <c r="D239" s="916"/>
      <c r="E239" s="207">
        <f>(30.59)*1.8+(33.15+14.5)*0.6-13*1*1</f>
        <v>70.652</v>
      </c>
      <c r="F239" s="335"/>
      <c r="G239" s="335"/>
      <c r="H239" s="335"/>
      <c r="I239" s="336"/>
      <c r="J239" s="337"/>
      <c r="K239" s="672"/>
      <c r="L239" s="672"/>
      <c r="M239" s="672"/>
      <c r="N239" s="672"/>
      <c r="O239" s="672"/>
      <c r="P239" s="672"/>
      <c r="Q239" s="673"/>
      <c r="R239" s="508"/>
      <c r="S239" s="508"/>
      <c r="T239" s="508"/>
    </row>
    <row r="240" spans="1:20" s="22" customFormat="1" ht="22.5" customHeight="1">
      <c r="A240" s="196" t="s">
        <v>2557</v>
      </c>
      <c r="B240" s="197" t="s">
        <v>2558</v>
      </c>
      <c r="C240" s="199" t="s">
        <v>2559</v>
      </c>
      <c r="D240" s="1177" t="s">
        <v>2776</v>
      </c>
      <c r="E240" s="198" t="s">
        <v>1748</v>
      </c>
      <c r="F240" s="1028">
        <f>E241</f>
        <v>97.99728</v>
      </c>
      <c r="G240" s="332"/>
      <c r="H240" s="332">
        <f>F240*G240</f>
        <v>0</v>
      </c>
      <c r="I240" s="333">
        <v>0.0045</v>
      </c>
      <c r="J240" s="334">
        <f>F240*I240</f>
        <v>0.44098776</v>
      </c>
      <c r="K240" s="693"/>
      <c r="L240" s="693"/>
      <c r="M240" s="693"/>
      <c r="N240" s="693"/>
      <c r="O240" s="693"/>
      <c r="P240" s="693"/>
      <c r="Q240" s="694"/>
      <c r="R240" s="509"/>
      <c r="S240" s="509"/>
      <c r="T240" s="509"/>
    </row>
    <row r="241" spans="1:20" s="130" customFormat="1" ht="20.25" customHeight="1">
      <c r="A241" s="204"/>
      <c r="B241" s="224" t="s">
        <v>1749</v>
      </c>
      <c r="C241" s="205" t="s">
        <v>2853</v>
      </c>
      <c r="D241" s="1176"/>
      <c r="E241" s="207">
        <f>((30.59)*1.8*1.2+(33.15+14.5)*0.6-13*1*1)*1.2</f>
        <v>97.99728</v>
      </c>
      <c r="F241" s="335"/>
      <c r="G241" s="335"/>
      <c r="H241" s="335"/>
      <c r="I241" s="336"/>
      <c r="J241" s="337"/>
      <c r="K241" s="672"/>
      <c r="L241" s="672"/>
      <c r="M241" s="672"/>
      <c r="N241" s="672"/>
      <c r="O241" s="672"/>
      <c r="P241" s="672"/>
      <c r="Q241" s="673"/>
      <c r="R241" s="508"/>
      <c r="S241" s="508"/>
      <c r="T241" s="508"/>
    </row>
    <row r="242" spans="1:20" s="22" customFormat="1" ht="15" customHeight="1">
      <c r="A242" s="196"/>
      <c r="B242" s="197"/>
      <c r="C242" s="199"/>
      <c r="D242" s="917"/>
      <c r="E242" s="198"/>
      <c r="F242" s="332"/>
      <c r="G242" s="332"/>
      <c r="H242" s="332"/>
      <c r="I242" s="333"/>
      <c r="J242" s="334"/>
      <c r="K242" s="693"/>
      <c r="L242" s="693"/>
      <c r="M242" s="693"/>
      <c r="N242" s="693"/>
      <c r="O242" s="693"/>
      <c r="P242" s="693"/>
      <c r="Q242" s="694"/>
      <c r="R242" s="509"/>
      <c r="S242" s="509"/>
      <c r="T242" s="509"/>
    </row>
    <row r="243" spans="1:20" s="22" customFormat="1" ht="26.25" customHeight="1">
      <c r="A243" s="196" t="s">
        <v>2560</v>
      </c>
      <c r="B243" s="197" t="s">
        <v>978</v>
      </c>
      <c r="C243" s="199" t="s">
        <v>979</v>
      </c>
      <c r="D243" s="917" t="s">
        <v>2776</v>
      </c>
      <c r="E243" s="198" t="s">
        <v>1748</v>
      </c>
      <c r="F243" s="332">
        <f>SUM(E244:E245)</f>
        <v>12.199000000000002</v>
      </c>
      <c r="G243" s="332"/>
      <c r="H243" s="332">
        <f>F243*G243</f>
        <v>0</v>
      </c>
      <c r="I243" s="333">
        <v>0.00017</v>
      </c>
      <c r="J243" s="334">
        <f>F243*I243</f>
        <v>0.0020738300000000005</v>
      </c>
      <c r="K243" s="693"/>
      <c r="L243" s="693"/>
      <c r="M243" s="693"/>
      <c r="N243" s="693"/>
      <c r="O243" s="693"/>
      <c r="P243" s="693"/>
      <c r="Q243" s="694"/>
      <c r="R243" s="509"/>
      <c r="S243" s="509"/>
      <c r="T243" s="509"/>
    </row>
    <row r="244" spans="1:20" s="130" customFormat="1" ht="22.5" customHeight="1">
      <c r="A244" s="204"/>
      <c r="B244" s="205" t="s">
        <v>878</v>
      </c>
      <c r="C244" s="206" t="s">
        <v>980</v>
      </c>
      <c r="D244" s="1176"/>
      <c r="E244" s="207">
        <f>(2.36+3.33)*1.1</f>
        <v>6.259</v>
      </c>
      <c r="F244" s="335"/>
      <c r="G244" s="335"/>
      <c r="H244" s="335"/>
      <c r="I244" s="336"/>
      <c r="J244" s="337"/>
      <c r="K244" s="672"/>
      <c r="L244" s="672"/>
      <c r="M244" s="672"/>
      <c r="N244" s="672"/>
      <c r="O244" s="672"/>
      <c r="P244" s="672"/>
      <c r="Q244" s="673"/>
      <c r="R244" s="508"/>
      <c r="S244" s="508"/>
      <c r="T244" s="508"/>
    </row>
    <row r="245" spans="1:20" s="130" customFormat="1" ht="22.5" customHeight="1">
      <c r="A245" s="204"/>
      <c r="B245" s="205" t="s">
        <v>884</v>
      </c>
      <c r="C245" s="206" t="s">
        <v>981</v>
      </c>
      <c r="D245" s="916"/>
      <c r="E245" s="207">
        <f>(3.56+1.84)*1.1</f>
        <v>5.940000000000001</v>
      </c>
      <c r="F245" s="335"/>
      <c r="G245" s="335"/>
      <c r="H245" s="335"/>
      <c r="I245" s="336"/>
      <c r="J245" s="337"/>
      <c r="K245" s="672"/>
      <c r="L245" s="672"/>
      <c r="M245" s="672"/>
      <c r="N245" s="672"/>
      <c r="O245" s="672"/>
      <c r="P245" s="672"/>
      <c r="Q245" s="673"/>
      <c r="R245" s="508"/>
      <c r="S245" s="508"/>
      <c r="T245" s="508"/>
    </row>
    <row r="246" spans="1:20" s="22" customFormat="1" ht="14.25" customHeight="1">
      <c r="A246" s="196"/>
      <c r="B246" s="197"/>
      <c r="C246" s="199"/>
      <c r="D246" s="917"/>
      <c r="E246" s="198"/>
      <c r="F246" s="332"/>
      <c r="G246" s="332"/>
      <c r="H246" s="332"/>
      <c r="I246" s="333"/>
      <c r="J246" s="334"/>
      <c r="K246" s="693"/>
      <c r="L246" s="693"/>
      <c r="M246" s="693"/>
      <c r="N246" s="693"/>
      <c r="O246" s="693"/>
      <c r="P246" s="693"/>
      <c r="Q246" s="694"/>
      <c r="R246" s="509"/>
      <c r="S246" s="509"/>
      <c r="T246" s="509"/>
    </row>
    <row r="247" spans="1:20" s="22" customFormat="1" ht="22.5" customHeight="1">
      <c r="A247" s="196" t="s">
        <v>2563</v>
      </c>
      <c r="B247" s="197" t="s">
        <v>982</v>
      </c>
      <c r="C247" s="199" t="s">
        <v>983</v>
      </c>
      <c r="D247" s="917" t="s">
        <v>2776</v>
      </c>
      <c r="E247" s="198" t="s">
        <v>1748</v>
      </c>
      <c r="F247" s="332">
        <f>SUM(E248:E249)</f>
        <v>12.199000000000002</v>
      </c>
      <c r="G247" s="332"/>
      <c r="H247" s="332">
        <f>F247*G247</f>
        <v>0</v>
      </c>
      <c r="I247" s="333">
        <v>0.00041</v>
      </c>
      <c r="J247" s="334">
        <f>F247*I247</f>
        <v>0.00500159</v>
      </c>
      <c r="K247" s="693"/>
      <c r="L247" s="693"/>
      <c r="M247" s="693"/>
      <c r="N247" s="693"/>
      <c r="O247" s="693"/>
      <c r="P247" s="693"/>
      <c r="Q247" s="694"/>
      <c r="R247" s="509"/>
      <c r="S247" s="509"/>
      <c r="T247" s="509"/>
    </row>
    <row r="248" spans="1:20" s="130" customFormat="1" ht="22.5" customHeight="1">
      <c r="A248" s="204"/>
      <c r="B248" s="205" t="s">
        <v>878</v>
      </c>
      <c r="C248" s="206" t="s">
        <v>980</v>
      </c>
      <c r="D248" s="916"/>
      <c r="E248" s="207">
        <f>(2.36+3.33)*1.1</f>
        <v>6.259</v>
      </c>
      <c r="F248" s="335"/>
      <c r="G248" s="335"/>
      <c r="H248" s="335"/>
      <c r="I248" s="336"/>
      <c r="J248" s="337"/>
      <c r="K248" s="672"/>
      <c r="L248" s="672"/>
      <c r="M248" s="672"/>
      <c r="N248" s="672"/>
      <c r="O248" s="672"/>
      <c r="P248" s="672"/>
      <c r="Q248" s="673"/>
      <c r="R248" s="508"/>
      <c r="S248" s="508"/>
      <c r="T248" s="508"/>
    </row>
    <row r="249" spans="1:20" s="130" customFormat="1" ht="22.5" customHeight="1">
      <c r="A249" s="204"/>
      <c r="B249" s="205" t="s">
        <v>884</v>
      </c>
      <c r="C249" s="206" t="s">
        <v>981</v>
      </c>
      <c r="D249" s="916"/>
      <c r="E249" s="207">
        <f>(3.56+1.84)*1.1</f>
        <v>5.940000000000001</v>
      </c>
      <c r="F249" s="335"/>
      <c r="G249" s="335"/>
      <c r="H249" s="335"/>
      <c r="I249" s="336"/>
      <c r="J249" s="337"/>
      <c r="K249" s="672"/>
      <c r="L249" s="672"/>
      <c r="M249" s="672"/>
      <c r="N249" s="672"/>
      <c r="O249" s="672"/>
      <c r="P249" s="672"/>
      <c r="Q249" s="673"/>
      <c r="R249" s="508"/>
      <c r="S249" s="508"/>
      <c r="T249" s="508"/>
    </row>
    <row r="250" spans="1:20" s="22" customFormat="1" ht="22.5" customHeight="1">
      <c r="A250" s="196" t="s">
        <v>2566</v>
      </c>
      <c r="B250" s="197" t="s">
        <v>2619</v>
      </c>
      <c r="C250" s="199" t="s">
        <v>984</v>
      </c>
      <c r="D250" s="1177" t="s">
        <v>2776</v>
      </c>
      <c r="E250" s="198" t="s">
        <v>1748</v>
      </c>
      <c r="F250" s="1028">
        <f>SUM(E251:E252)</f>
        <v>13.862499999999999</v>
      </c>
      <c r="G250" s="332"/>
      <c r="H250" s="332">
        <f>F250*G250</f>
        <v>0</v>
      </c>
      <c r="I250" s="333">
        <v>0.004</v>
      </c>
      <c r="J250" s="334">
        <f>F250*I250</f>
        <v>0.05545</v>
      </c>
      <c r="K250" s="693"/>
      <c r="L250" s="693"/>
      <c r="M250" s="693"/>
      <c r="N250" s="693"/>
      <c r="O250" s="693"/>
      <c r="P250" s="693"/>
      <c r="Q250" s="694"/>
      <c r="R250" s="509"/>
      <c r="S250" s="509"/>
      <c r="T250" s="509"/>
    </row>
    <row r="251" spans="1:20" s="130" customFormat="1" ht="22.5" customHeight="1">
      <c r="A251" s="204"/>
      <c r="B251" s="205" t="s">
        <v>878</v>
      </c>
      <c r="C251" s="206" t="s">
        <v>2857</v>
      </c>
      <c r="D251" s="1176"/>
      <c r="E251" s="207">
        <f>(2.36+3.33)*1.25</f>
        <v>7.112499999999999</v>
      </c>
      <c r="F251" s="335"/>
      <c r="G251" s="335"/>
      <c r="H251" s="335"/>
      <c r="I251" s="336"/>
      <c r="J251" s="337"/>
      <c r="K251" s="672"/>
      <c r="L251" s="672"/>
      <c r="M251" s="672"/>
      <c r="N251" s="672"/>
      <c r="O251" s="672"/>
      <c r="P251" s="672"/>
      <c r="Q251" s="673"/>
      <c r="R251" s="508"/>
      <c r="S251" s="508"/>
      <c r="T251" s="508"/>
    </row>
    <row r="252" spans="1:20" s="130" customFormat="1" ht="22.5" customHeight="1">
      <c r="A252" s="204"/>
      <c r="B252" s="205" t="s">
        <v>884</v>
      </c>
      <c r="C252" s="206" t="s">
        <v>2858</v>
      </c>
      <c r="D252" s="1176"/>
      <c r="E252" s="207">
        <f>(3.56+1.84)*1.25</f>
        <v>6.75</v>
      </c>
      <c r="F252" s="335"/>
      <c r="G252" s="335"/>
      <c r="H252" s="335"/>
      <c r="I252" s="336"/>
      <c r="J252" s="337"/>
      <c r="K252" s="672"/>
      <c r="L252" s="672"/>
      <c r="M252" s="672"/>
      <c r="N252" s="672"/>
      <c r="O252" s="672"/>
      <c r="P252" s="672"/>
      <c r="Q252" s="673"/>
      <c r="R252" s="508"/>
      <c r="S252" s="508"/>
      <c r="T252" s="508"/>
    </row>
    <row r="253" spans="1:20" s="1034" customFormat="1" ht="18.75" customHeight="1">
      <c r="A253" s="1023" t="s">
        <v>2861</v>
      </c>
      <c r="B253" s="1024" t="s">
        <v>2859</v>
      </c>
      <c r="C253" s="1025" t="s">
        <v>2860</v>
      </c>
      <c r="D253" s="1109"/>
      <c r="E253" s="1027" t="s">
        <v>1748</v>
      </c>
      <c r="F253" s="1028">
        <f>F254</f>
        <v>12.199000000000002</v>
      </c>
      <c r="G253" s="1028"/>
      <c r="H253" s="1028">
        <f>F253*G253</f>
        <v>0</v>
      </c>
      <c r="I253" s="1029">
        <v>0.00021</v>
      </c>
      <c r="J253" s="1090">
        <f>F253*I253</f>
        <v>0.0025617900000000004</v>
      </c>
      <c r="K253" s="1033"/>
      <c r="L253" s="1033"/>
      <c r="M253" s="1033"/>
      <c r="N253" s="1033"/>
      <c r="O253" s="1033"/>
      <c r="P253" s="1033"/>
      <c r="Q253" s="1033"/>
      <c r="R253" s="1033"/>
      <c r="S253" s="1033"/>
      <c r="T253" s="1033"/>
    </row>
    <row r="254" spans="1:20" s="22" customFormat="1" ht="22.5" customHeight="1">
      <c r="A254" s="196" t="s">
        <v>2569</v>
      </c>
      <c r="B254" s="197" t="s">
        <v>2570</v>
      </c>
      <c r="C254" s="199" t="s">
        <v>2571</v>
      </c>
      <c r="D254" s="917"/>
      <c r="E254" s="198" t="s">
        <v>1748</v>
      </c>
      <c r="F254" s="332">
        <f>SUM(E255:E256)</f>
        <v>12.199000000000002</v>
      </c>
      <c r="G254" s="332"/>
      <c r="H254" s="332">
        <f>F254*G254</f>
        <v>0</v>
      </c>
      <c r="I254" s="333">
        <v>0.003</v>
      </c>
      <c r="J254" s="334">
        <f>F254*I254</f>
        <v>0.036597000000000005</v>
      </c>
      <c r="K254" s="693"/>
      <c r="L254" s="693"/>
      <c r="M254" s="693"/>
      <c r="N254" s="693"/>
      <c r="O254" s="693"/>
      <c r="P254" s="693"/>
      <c r="Q254" s="694"/>
      <c r="R254" s="509"/>
      <c r="S254" s="509"/>
      <c r="T254" s="509"/>
    </row>
    <row r="255" spans="1:20" s="130" customFormat="1" ht="22.5" customHeight="1">
      <c r="A255" s="204"/>
      <c r="B255" s="205" t="s">
        <v>878</v>
      </c>
      <c r="C255" s="206" t="s">
        <v>980</v>
      </c>
      <c r="D255" s="916" t="s">
        <v>878</v>
      </c>
      <c r="E255" s="207">
        <f>(2.36+3.33)*1.1</f>
        <v>6.259</v>
      </c>
      <c r="F255" s="335"/>
      <c r="G255" s="335"/>
      <c r="H255" s="335"/>
      <c r="I255" s="336"/>
      <c r="J255" s="337"/>
      <c r="K255" s="672"/>
      <c r="L255" s="672"/>
      <c r="M255" s="672"/>
      <c r="N255" s="672"/>
      <c r="O255" s="672"/>
      <c r="P255" s="672"/>
      <c r="Q255" s="673"/>
      <c r="R255" s="508"/>
      <c r="S255" s="508"/>
      <c r="T255" s="508"/>
    </row>
    <row r="256" spans="1:20" s="130" customFormat="1" ht="22.5" customHeight="1">
      <c r="A256" s="204"/>
      <c r="B256" s="205" t="s">
        <v>884</v>
      </c>
      <c r="C256" s="206" t="s">
        <v>981</v>
      </c>
      <c r="D256" s="916" t="s">
        <v>884</v>
      </c>
      <c r="E256" s="207">
        <f>(3.56+1.84)*1.1</f>
        <v>5.940000000000001</v>
      </c>
      <c r="F256" s="335"/>
      <c r="G256" s="335"/>
      <c r="H256" s="335"/>
      <c r="I256" s="336"/>
      <c r="J256" s="337"/>
      <c r="K256" s="672"/>
      <c r="L256" s="672"/>
      <c r="M256" s="672"/>
      <c r="N256" s="672"/>
      <c r="O256" s="672"/>
      <c r="P256" s="672"/>
      <c r="Q256" s="673"/>
      <c r="R256" s="508"/>
      <c r="S256" s="508"/>
      <c r="T256" s="508"/>
    </row>
    <row r="257" spans="1:20" s="22" customFormat="1" ht="30" customHeight="1">
      <c r="A257" s="196" t="s">
        <v>2573</v>
      </c>
      <c r="B257" s="197" t="s">
        <v>1720</v>
      </c>
      <c r="C257" s="199" t="s">
        <v>2574</v>
      </c>
      <c r="D257" s="917"/>
      <c r="E257" s="198" t="s">
        <v>1748</v>
      </c>
      <c r="F257" s="332">
        <f>SUM(E258:E259)</f>
        <v>12.199000000000002</v>
      </c>
      <c r="G257" s="332"/>
      <c r="H257" s="332">
        <f>F257*G257</f>
        <v>0</v>
      </c>
      <c r="I257" s="333">
        <v>0.003</v>
      </c>
      <c r="J257" s="334">
        <f>F257*I257</f>
        <v>0.036597000000000005</v>
      </c>
      <c r="K257" s="693"/>
      <c r="L257" s="693"/>
      <c r="M257" s="693"/>
      <c r="N257" s="693"/>
      <c r="O257" s="693"/>
      <c r="P257" s="693"/>
      <c r="Q257" s="694"/>
      <c r="R257" s="509"/>
      <c r="S257" s="509"/>
      <c r="T257" s="509"/>
    </row>
    <row r="258" spans="1:20" s="130" customFormat="1" ht="22.5" customHeight="1">
      <c r="A258" s="204"/>
      <c r="B258" s="205" t="s">
        <v>878</v>
      </c>
      <c r="C258" s="206" t="s">
        <v>980</v>
      </c>
      <c r="D258" s="916" t="s">
        <v>878</v>
      </c>
      <c r="E258" s="207">
        <f>(2.36+3.33)*1.1</f>
        <v>6.259</v>
      </c>
      <c r="F258" s="335"/>
      <c r="G258" s="335"/>
      <c r="H258" s="335"/>
      <c r="I258" s="336"/>
      <c r="J258" s="337"/>
      <c r="K258" s="672"/>
      <c r="L258" s="672"/>
      <c r="M258" s="672"/>
      <c r="N258" s="672"/>
      <c r="O258" s="672"/>
      <c r="P258" s="672"/>
      <c r="Q258" s="673"/>
      <c r="R258" s="508"/>
      <c r="S258" s="508"/>
      <c r="T258" s="508"/>
    </row>
    <row r="259" spans="1:20" s="130" customFormat="1" ht="22.5" customHeight="1">
      <c r="A259" s="204"/>
      <c r="B259" s="205" t="s">
        <v>884</v>
      </c>
      <c r="C259" s="206" t="s">
        <v>981</v>
      </c>
      <c r="D259" s="916" t="s">
        <v>884</v>
      </c>
      <c r="E259" s="207">
        <f>(3.56+1.84)*1.1</f>
        <v>5.940000000000001</v>
      </c>
      <c r="F259" s="335"/>
      <c r="G259" s="335"/>
      <c r="H259" s="335"/>
      <c r="I259" s="336"/>
      <c r="J259" s="337"/>
      <c r="K259" s="672"/>
      <c r="L259" s="672"/>
      <c r="M259" s="672"/>
      <c r="N259" s="672"/>
      <c r="O259" s="672"/>
      <c r="P259" s="672"/>
      <c r="Q259" s="673"/>
      <c r="R259" s="508"/>
      <c r="S259" s="508"/>
      <c r="T259" s="508"/>
    </row>
    <row r="260" spans="1:20" s="22" customFormat="1" ht="22.5" customHeight="1">
      <c r="A260" s="196" t="s">
        <v>2575</v>
      </c>
      <c r="B260" s="197" t="s">
        <v>2576</v>
      </c>
      <c r="C260" s="199" t="s">
        <v>2577</v>
      </c>
      <c r="D260" s="917"/>
      <c r="E260" s="198" t="s">
        <v>1826</v>
      </c>
      <c r="F260" s="332">
        <v>16.4</v>
      </c>
      <c r="G260" s="332"/>
      <c r="H260" s="332">
        <f>F260*G260</f>
        <v>0</v>
      </c>
      <c r="I260" s="333">
        <v>0.003</v>
      </c>
      <c r="J260" s="334">
        <f>F260*I260</f>
        <v>0.049199999999999994</v>
      </c>
      <c r="K260" s="693"/>
      <c r="L260" s="693"/>
      <c r="M260" s="693"/>
      <c r="N260" s="693"/>
      <c r="O260" s="693"/>
      <c r="P260" s="693"/>
      <c r="Q260" s="694"/>
      <c r="R260" s="509"/>
      <c r="S260" s="509"/>
      <c r="T260" s="509"/>
    </row>
    <row r="261" spans="1:20" s="22" customFormat="1" ht="22.5" customHeight="1">
      <c r="A261" s="196" t="s">
        <v>2578</v>
      </c>
      <c r="B261" s="197" t="s">
        <v>2579</v>
      </c>
      <c r="C261" s="199" t="s">
        <v>2580</v>
      </c>
      <c r="D261" s="917"/>
      <c r="E261" s="198" t="s">
        <v>1748</v>
      </c>
      <c r="F261" s="332">
        <f>SUM(E262:E263)</f>
        <v>12.199000000000002</v>
      </c>
      <c r="G261" s="332"/>
      <c r="H261" s="332">
        <f>F261*G261</f>
        <v>0</v>
      </c>
      <c r="I261" s="333">
        <v>0</v>
      </c>
      <c r="J261" s="334">
        <f>F261*I261</f>
        <v>0</v>
      </c>
      <c r="K261" s="693"/>
      <c r="L261" s="693"/>
      <c r="M261" s="693"/>
      <c r="N261" s="693"/>
      <c r="O261" s="693"/>
      <c r="P261" s="693"/>
      <c r="Q261" s="694"/>
      <c r="R261" s="509"/>
      <c r="S261" s="509"/>
      <c r="T261" s="509"/>
    </row>
    <row r="262" spans="1:20" s="130" customFormat="1" ht="22.5" customHeight="1">
      <c r="A262" s="204"/>
      <c r="B262" s="205" t="s">
        <v>878</v>
      </c>
      <c r="C262" s="206" t="s">
        <v>980</v>
      </c>
      <c r="D262" s="916" t="s">
        <v>878</v>
      </c>
      <c r="E262" s="207">
        <f>(2.36+3.33)*1.1</f>
        <v>6.259</v>
      </c>
      <c r="F262" s="335"/>
      <c r="G262" s="335"/>
      <c r="H262" s="335"/>
      <c r="I262" s="336"/>
      <c r="J262" s="337"/>
      <c r="K262" s="672"/>
      <c r="L262" s="672"/>
      <c r="M262" s="672"/>
      <c r="N262" s="672"/>
      <c r="O262" s="672"/>
      <c r="P262" s="672"/>
      <c r="Q262" s="673"/>
      <c r="R262" s="508"/>
      <c r="S262" s="508"/>
      <c r="T262" s="508"/>
    </row>
    <row r="263" spans="1:20" s="130" customFormat="1" ht="22.5" customHeight="1">
      <c r="A263" s="204"/>
      <c r="B263" s="205" t="s">
        <v>884</v>
      </c>
      <c r="C263" s="206" t="s">
        <v>981</v>
      </c>
      <c r="D263" s="916" t="s">
        <v>884</v>
      </c>
      <c r="E263" s="207">
        <f>(3.56+1.84)*1.1</f>
        <v>5.940000000000001</v>
      </c>
      <c r="F263" s="335"/>
      <c r="G263" s="335"/>
      <c r="H263" s="335"/>
      <c r="I263" s="336"/>
      <c r="J263" s="337"/>
      <c r="K263" s="672"/>
      <c r="L263" s="672"/>
      <c r="M263" s="672"/>
      <c r="N263" s="672"/>
      <c r="O263" s="672"/>
      <c r="P263" s="672"/>
      <c r="Q263" s="673"/>
      <c r="R263" s="508"/>
      <c r="S263" s="508"/>
      <c r="T263" s="508"/>
    </row>
    <row r="264" spans="1:20" s="22" customFormat="1" ht="22.5" customHeight="1">
      <c r="A264" s="196" t="s">
        <v>2581</v>
      </c>
      <c r="B264" s="197" t="s">
        <v>2582</v>
      </c>
      <c r="C264" s="199" t="s">
        <v>2583</v>
      </c>
      <c r="D264" s="1177"/>
      <c r="E264" s="198" t="s">
        <v>1748</v>
      </c>
      <c r="F264" s="1028">
        <f>SUM(E265:E266)</f>
        <v>13.862499999999999</v>
      </c>
      <c r="G264" s="332"/>
      <c r="H264" s="332">
        <f>F264*G264</f>
        <v>0</v>
      </c>
      <c r="I264" s="333">
        <v>0.00018</v>
      </c>
      <c r="J264" s="334">
        <f>F264*I264</f>
        <v>0.00249525</v>
      </c>
      <c r="K264" s="693"/>
      <c r="L264" s="693"/>
      <c r="M264" s="693"/>
      <c r="N264" s="693"/>
      <c r="O264" s="693"/>
      <c r="P264" s="693"/>
      <c r="Q264" s="694"/>
      <c r="R264" s="509"/>
      <c r="S264" s="509"/>
      <c r="T264" s="509"/>
    </row>
    <row r="265" spans="1:20" s="130" customFormat="1" ht="22.5" customHeight="1">
      <c r="A265" s="204"/>
      <c r="B265" s="205" t="s">
        <v>878</v>
      </c>
      <c r="C265" s="206" t="s">
        <v>2857</v>
      </c>
      <c r="D265" s="1176" t="s">
        <v>878</v>
      </c>
      <c r="E265" s="207">
        <f>(2.36+3.33)*1.25</f>
        <v>7.112499999999999</v>
      </c>
      <c r="F265" s="335"/>
      <c r="G265" s="335"/>
      <c r="H265" s="335"/>
      <c r="I265" s="336"/>
      <c r="J265" s="337"/>
      <c r="K265" s="672"/>
      <c r="L265" s="672"/>
      <c r="M265" s="672"/>
      <c r="N265" s="672"/>
      <c r="O265" s="672"/>
      <c r="P265" s="672"/>
      <c r="Q265" s="673"/>
      <c r="R265" s="508"/>
      <c r="S265" s="508"/>
      <c r="T265" s="508"/>
    </row>
    <row r="266" spans="1:20" s="130" customFormat="1" ht="22.5" customHeight="1">
      <c r="A266" s="204"/>
      <c r="B266" s="205" t="s">
        <v>884</v>
      </c>
      <c r="C266" s="206" t="s">
        <v>2858</v>
      </c>
      <c r="D266" s="1176" t="s">
        <v>884</v>
      </c>
      <c r="E266" s="207">
        <f>(3.56+1.84)*1.25</f>
        <v>6.75</v>
      </c>
      <c r="F266" s="335"/>
      <c r="G266" s="335"/>
      <c r="H266" s="335"/>
      <c r="I266" s="336"/>
      <c r="J266" s="337"/>
      <c r="K266" s="672"/>
      <c r="L266" s="672"/>
      <c r="M266" s="672"/>
      <c r="N266" s="672"/>
      <c r="O266" s="672"/>
      <c r="P266" s="672"/>
      <c r="Q266" s="673"/>
      <c r="R266" s="508"/>
      <c r="S266" s="508"/>
      <c r="T266" s="508"/>
    </row>
    <row r="267" spans="1:20" s="22" customFormat="1" ht="22.5" customHeight="1" thickBot="1">
      <c r="A267" s="255" t="s">
        <v>2586</v>
      </c>
      <c r="B267" s="256" t="s">
        <v>2587</v>
      </c>
      <c r="C267" s="264" t="s">
        <v>2588</v>
      </c>
      <c r="D267" s="968"/>
      <c r="E267" s="257" t="s">
        <v>1783</v>
      </c>
      <c r="F267" s="1120">
        <f>J235</f>
        <v>0.70868142</v>
      </c>
      <c r="G267" s="368"/>
      <c r="H267" s="368">
        <f>F267*G267</f>
        <v>0</v>
      </c>
      <c r="I267" s="369">
        <v>0</v>
      </c>
      <c r="J267" s="370"/>
      <c r="K267" s="693"/>
      <c r="L267" s="693"/>
      <c r="M267" s="693"/>
      <c r="N267" s="693"/>
      <c r="O267" s="693"/>
      <c r="P267" s="693"/>
      <c r="Q267" s="694"/>
      <c r="R267" s="509"/>
      <c r="S267" s="509"/>
      <c r="T267" s="509"/>
    </row>
    <row r="268" spans="1:20" ht="16.5" customHeight="1" thickBot="1">
      <c r="A268" s="266" t="s">
        <v>2589</v>
      </c>
      <c r="B268" s="175" t="s">
        <v>2590</v>
      </c>
      <c r="C268" s="176" t="s">
        <v>2591</v>
      </c>
      <c r="D268" s="1007" t="s">
        <v>2779</v>
      </c>
      <c r="E268" s="175"/>
      <c r="F268" s="341"/>
      <c r="G268" s="341"/>
      <c r="H268" s="342">
        <f>SUM(H269:H287)</f>
        <v>0</v>
      </c>
      <c r="I268" s="343"/>
      <c r="J268" s="344">
        <f>SUM(J269:J283)</f>
        <v>7.78349925</v>
      </c>
      <c r="K268" s="670"/>
      <c r="L268" s="670"/>
      <c r="M268" s="670"/>
      <c r="N268" s="670"/>
      <c r="O268" s="670"/>
      <c r="P268" s="670"/>
      <c r="Q268" s="670"/>
      <c r="R268" s="670"/>
      <c r="S268" s="670"/>
      <c r="T268" s="670"/>
    </row>
    <row r="269" spans="1:20" s="22" customFormat="1" ht="17.25" customHeight="1">
      <c r="A269" s="190"/>
      <c r="B269" s="191"/>
      <c r="C269" s="265"/>
      <c r="D269" s="964"/>
      <c r="E269" s="192"/>
      <c r="F269" s="345"/>
      <c r="G269" s="345"/>
      <c r="H269" s="345"/>
      <c r="I269" s="346"/>
      <c r="J269" s="347"/>
      <c r="K269" s="693"/>
      <c r="L269" s="693"/>
      <c r="M269" s="693"/>
      <c r="N269" s="693"/>
      <c r="O269" s="693"/>
      <c r="P269" s="693"/>
      <c r="Q269" s="694"/>
      <c r="R269" s="509"/>
      <c r="S269" s="509"/>
      <c r="T269" s="509"/>
    </row>
    <row r="270" spans="1:20" s="22" customFormat="1" ht="30.75" customHeight="1">
      <c r="A270" s="196" t="s">
        <v>2592</v>
      </c>
      <c r="B270" s="197" t="s">
        <v>2593</v>
      </c>
      <c r="C270" s="199" t="s">
        <v>2594</v>
      </c>
      <c r="D270" s="917" t="s">
        <v>2779</v>
      </c>
      <c r="E270" s="198" t="s">
        <v>1748</v>
      </c>
      <c r="F270" s="332">
        <f>E271</f>
        <v>430.95</v>
      </c>
      <c r="G270" s="332"/>
      <c r="H270" s="332">
        <f>F270*G270</f>
        <v>0</v>
      </c>
      <c r="I270" s="333">
        <v>0</v>
      </c>
      <c r="J270" s="334">
        <f>F270*I270</f>
        <v>0</v>
      </c>
      <c r="K270" s="509"/>
      <c r="L270" s="509"/>
      <c r="M270" s="509"/>
      <c r="N270" s="509"/>
      <c r="O270" s="509"/>
      <c r="P270" s="509"/>
      <c r="Q270" s="509"/>
      <c r="R270" s="509"/>
      <c r="S270" s="509"/>
      <c r="T270" s="509"/>
    </row>
    <row r="271" spans="1:20" s="130" customFormat="1" ht="24" customHeight="1">
      <c r="A271" s="204"/>
      <c r="B271" s="205" t="s">
        <v>985</v>
      </c>
      <c r="C271" s="206" t="s">
        <v>892</v>
      </c>
      <c r="D271" s="916"/>
      <c r="E271" s="207">
        <v>430.95</v>
      </c>
      <c r="F271" s="335"/>
      <c r="G271" s="335"/>
      <c r="H271" s="335"/>
      <c r="I271" s="336"/>
      <c r="J271" s="337"/>
      <c r="K271" s="508"/>
      <c r="L271" s="508"/>
      <c r="M271" s="508"/>
      <c r="N271" s="508"/>
      <c r="O271" s="508"/>
      <c r="P271" s="508"/>
      <c r="Q271" s="508"/>
      <c r="R271" s="508"/>
      <c r="S271" s="508"/>
      <c r="T271" s="508"/>
    </row>
    <row r="272" spans="1:20" s="22" customFormat="1" ht="17.25" customHeight="1">
      <c r="A272" s="196"/>
      <c r="B272" s="197"/>
      <c r="C272" s="199"/>
      <c r="D272" s="917"/>
      <c r="E272" s="198"/>
      <c r="F272" s="332"/>
      <c r="G272" s="332"/>
      <c r="H272" s="332"/>
      <c r="I272" s="333"/>
      <c r="J272" s="334"/>
      <c r="K272" s="693"/>
      <c r="L272" s="693"/>
      <c r="M272" s="693"/>
      <c r="N272" s="693"/>
      <c r="O272" s="693"/>
      <c r="P272" s="693"/>
      <c r="Q272" s="694"/>
      <c r="R272" s="509"/>
      <c r="S272" s="509"/>
      <c r="T272" s="509"/>
    </row>
    <row r="273" spans="1:20" s="22" customFormat="1" ht="28.5" customHeight="1">
      <c r="A273" s="196" t="s">
        <v>2598</v>
      </c>
      <c r="B273" s="197" t="s">
        <v>2599</v>
      </c>
      <c r="C273" s="199" t="s">
        <v>986</v>
      </c>
      <c r="D273" s="917" t="s">
        <v>2779</v>
      </c>
      <c r="E273" s="198" t="s">
        <v>1748</v>
      </c>
      <c r="F273" s="332">
        <f>E274</f>
        <v>522.45</v>
      </c>
      <c r="G273" s="332"/>
      <c r="H273" s="332">
        <f aca="true" t="shared" si="18" ref="H273:H281">F273*G273</f>
        <v>0</v>
      </c>
      <c r="I273" s="333">
        <v>0</v>
      </c>
      <c r="J273" s="334">
        <f aca="true" t="shared" si="19" ref="J273:J281">F273*I273</f>
        <v>0</v>
      </c>
      <c r="K273" s="693"/>
      <c r="L273" s="693"/>
      <c r="M273" s="693"/>
      <c r="N273" s="693"/>
      <c r="O273" s="693"/>
      <c r="P273" s="693"/>
      <c r="Q273" s="694"/>
      <c r="R273" s="509"/>
      <c r="S273" s="509"/>
      <c r="T273" s="509"/>
    </row>
    <row r="274" spans="1:20" s="130" customFormat="1" ht="24" customHeight="1">
      <c r="A274" s="204"/>
      <c r="B274" s="205" t="s">
        <v>987</v>
      </c>
      <c r="C274" s="206" t="s">
        <v>977</v>
      </c>
      <c r="D274" s="916"/>
      <c r="E274" s="207">
        <f>475.45+47</f>
        <v>522.45</v>
      </c>
      <c r="F274" s="335"/>
      <c r="G274" s="335"/>
      <c r="H274" s="335"/>
      <c r="I274" s="336"/>
      <c r="J274" s="337"/>
      <c r="K274" s="508"/>
      <c r="L274" s="508"/>
      <c r="M274" s="508"/>
      <c r="N274" s="508"/>
      <c r="O274" s="508"/>
      <c r="P274" s="508"/>
      <c r="Q274" s="508"/>
      <c r="R274" s="508"/>
      <c r="S274" s="508"/>
      <c r="T274" s="508"/>
    </row>
    <row r="275" spans="1:20" s="22" customFormat="1" ht="18" customHeight="1">
      <c r="A275" s="196" t="s">
        <v>2601</v>
      </c>
      <c r="B275" s="197" t="s">
        <v>2602</v>
      </c>
      <c r="C275" s="199" t="s">
        <v>2603</v>
      </c>
      <c r="D275" s="917" t="s">
        <v>2779</v>
      </c>
      <c r="E275" s="198" t="s">
        <v>1748</v>
      </c>
      <c r="F275" s="1028">
        <f>E276</f>
        <v>600.8175</v>
      </c>
      <c r="G275" s="332"/>
      <c r="H275" s="332">
        <f t="shared" si="18"/>
        <v>0</v>
      </c>
      <c r="I275" s="333">
        <v>0.0047</v>
      </c>
      <c r="J275" s="334">
        <f t="shared" si="19"/>
        <v>2.82384225</v>
      </c>
      <c r="K275" s="693"/>
      <c r="L275" s="693"/>
      <c r="M275" s="693"/>
      <c r="N275" s="693"/>
      <c r="O275" s="693"/>
      <c r="P275" s="693"/>
      <c r="Q275" s="694"/>
      <c r="R275" s="509"/>
      <c r="S275" s="509"/>
      <c r="T275" s="509"/>
    </row>
    <row r="276" spans="1:20" s="130" customFormat="1" ht="24" customHeight="1">
      <c r="A276" s="204"/>
      <c r="B276" s="205" t="s">
        <v>987</v>
      </c>
      <c r="C276" s="206" t="s">
        <v>2943</v>
      </c>
      <c r="D276" s="916"/>
      <c r="E276" s="207">
        <f>(475.45+47)*1.15</f>
        <v>600.8175</v>
      </c>
      <c r="F276" s="335"/>
      <c r="G276" s="335"/>
      <c r="H276" s="335"/>
      <c r="I276" s="336"/>
      <c r="J276" s="337"/>
      <c r="K276" s="508"/>
      <c r="L276" s="508"/>
      <c r="M276" s="508"/>
      <c r="N276" s="508"/>
      <c r="O276" s="508"/>
      <c r="P276" s="508"/>
      <c r="Q276" s="508"/>
      <c r="R276" s="508"/>
      <c r="S276" s="508"/>
      <c r="T276" s="508"/>
    </row>
    <row r="277" spans="1:20" s="22" customFormat="1" ht="24" customHeight="1">
      <c r="A277" s="196" t="s">
        <v>2607</v>
      </c>
      <c r="B277" s="197" t="s">
        <v>2611</v>
      </c>
      <c r="C277" s="199" t="s">
        <v>2612</v>
      </c>
      <c r="D277" s="917" t="s">
        <v>2779</v>
      </c>
      <c r="E277" s="198" t="s">
        <v>1748</v>
      </c>
      <c r="F277" s="332">
        <f>E278</f>
        <v>522.45</v>
      </c>
      <c r="G277" s="332"/>
      <c r="H277" s="332">
        <f t="shared" si="18"/>
        <v>0</v>
      </c>
      <c r="I277" s="333">
        <v>0.00035</v>
      </c>
      <c r="J277" s="334">
        <f t="shared" si="19"/>
        <v>0.1828575</v>
      </c>
      <c r="K277" s="693"/>
      <c r="L277" s="693"/>
      <c r="M277" s="693"/>
      <c r="N277" s="693"/>
      <c r="O277" s="693"/>
      <c r="P277" s="693"/>
      <c r="Q277" s="694"/>
      <c r="R277" s="509"/>
      <c r="S277" s="509"/>
      <c r="T277" s="509"/>
    </row>
    <row r="278" spans="1:20" s="130" customFormat="1" ht="24" customHeight="1">
      <c r="A278" s="204"/>
      <c r="B278" s="205" t="s">
        <v>987</v>
      </c>
      <c r="C278" s="206" t="s">
        <v>977</v>
      </c>
      <c r="D278" s="916"/>
      <c r="E278" s="207">
        <f>475.45+47</f>
        <v>522.45</v>
      </c>
      <c r="F278" s="335"/>
      <c r="G278" s="335"/>
      <c r="H278" s="335"/>
      <c r="I278" s="336"/>
      <c r="J278" s="337"/>
      <c r="K278" s="508"/>
      <c r="L278" s="508"/>
      <c r="M278" s="508"/>
      <c r="N278" s="508"/>
      <c r="O278" s="508"/>
      <c r="P278" s="508"/>
      <c r="Q278" s="508"/>
      <c r="R278" s="508"/>
      <c r="S278" s="508"/>
      <c r="T278" s="508"/>
    </row>
    <row r="279" spans="1:20" s="22" customFormat="1" ht="24" customHeight="1">
      <c r="A279" s="196" t="s">
        <v>2610</v>
      </c>
      <c r="B279" s="197" t="s">
        <v>2614</v>
      </c>
      <c r="C279" s="199" t="s">
        <v>2615</v>
      </c>
      <c r="D279" s="917" t="s">
        <v>2779</v>
      </c>
      <c r="E279" s="198" t="s">
        <v>1748</v>
      </c>
      <c r="F279" s="1028">
        <f>E280</f>
        <v>600.8175</v>
      </c>
      <c r="G279" s="332"/>
      <c r="H279" s="332">
        <f t="shared" si="18"/>
        <v>0</v>
      </c>
      <c r="I279" s="333">
        <v>0.0044</v>
      </c>
      <c r="J279" s="334">
        <f t="shared" si="19"/>
        <v>2.643597</v>
      </c>
      <c r="K279" s="693"/>
      <c r="L279" s="693"/>
      <c r="M279" s="693"/>
      <c r="N279" s="693"/>
      <c r="O279" s="693"/>
      <c r="P279" s="693"/>
      <c r="Q279" s="694"/>
      <c r="R279" s="509"/>
      <c r="S279" s="509"/>
      <c r="T279" s="509"/>
    </row>
    <row r="280" spans="1:20" s="130" customFormat="1" ht="24" customHeight="1">
      <c r="A280" s="204"/>
      <c r="B280" s="205" t="s">
        <v>987</v>
      </c>
      <c r="C280" s="206" t="s">
        <v>2943</v>
      </c>
      <c r="D280" s="916"/>
      <c r="E280" s="207">
        <f>(475.45+47)*1.15</f>
        <v>600.8175</v>
      </c>
      <c r="F280" s="335"/>
      <c r="G280" s="335"/>
      <c r="H280" s="335"/>
      <c r="I280" s="336"/>
      <c r="J280" s="337"/>
      <c r="K280" s="508"/>
      <c r="L280" s="508"/>
      <c r="M280" s="508"/>
      <c r="N280" s="508"/>
      <c r="O280" s="508"/>
      <c r="P280" s="508"/>
      <c r="Q280" s="508"/>
      <c r="R280" s="508"/>
      <c r="S280" s="508"/>
      <c r="T280" s="508"/>
    </row>
    <row r="281" spans="1:20" s="22" customFormat="1" ht="24" customHeight="1">
      <c r="A281" s="196" t="s">
        <v>2613</v>
      </c>
      <c r="B281" s="197" t="s">
        <v>2611</v>
      </c>
      <c r="C281" s="199" t="s">
        <v>2617</v>
      </c>
      <c r="D281" s="917" t="s">
        <v>2779</v>
      </c>
      <c r="E281" s="198" t="s">
        <v>1748</v>
      </c>
      <c r="F281" s="332">
        <f>SUM(E282:E282)</f>
        <v>430.95</v>
      </c>
      <c r="G281" s="332"/>
      <c r="H281" s="332">
        <f t="shared" si="18"/>
        <v>0</v>
      </c>
      <c r="I281" s="333">
        <v>0.00035</v>
      </c>
      <c r="J281" s="334">
        <f t="shared" si="19"/>
        <v>0.1508325</v>
      </c>
      <c r="K281" s="693"/>
      <c r="L281" s="693"/>
      <c r="M281" s="693"/>
      <c r="N281" s="693"/>
      <c r="O281" s="693"/>
      <c r="P281" s="693"/>
      <c r="Q281" s="694"/>
      <c r="R281" s="509"/>
      <c r="S281" s="509"/>
      <c r="T281" s="509"/>
    </row>
    <row r="282" spans="1:20" s="130" customFormat="1" ht="24" customHeight="1">
      <c r="A282" s="204"/>
      <c r="B282" s="205" t="s">
        <v>985</v>
      </c>
      <c r="C282" s="206" t="s">
        <v>892</v>
      </c>
      <c r="D282" s="916"/>
      <c r="E282" s="207">
        <v>430.95</v>
      </c>
      <c r="F282" s="335"/>
      <c r="G282" s="335"/>
      <c r="H282" s="335"/>
      <c r="I282" s="336"/>
      <c r="J282" s="337"/>
      <c r="K282" s="508"/>
      <c r="L282" s="508"/>
      <c r="M282" s="508"/>
      <c r="N282" s="508"/>
      <c r="O282" s="508"/>
      <c r="P282" s="508"/>
      <c r="Q282" s="508"/>
      <c r="R282" s="508"/>
      <c r="S282" s="508"/>
      <c r="T282" s="508"/>
    </row>
    <row r="283" spans="1:20" s="22" customFormat="1" ht="19.5" customHeight="1">
      <c r="A283" s="196" t="s">
        <v>2616</v>
      </c>
      <c r="B283" s="197" t="s">
        <v>2619</v>
      </c>
      <c r="C283" s="199" t="s">
        <v>2620</v>
      </c>
      <c r="D283" s="1177" t="s">
        <v>2779</v>
      </c>
      <c r="E283" s="198" t="s">
        <v>1748</v>
      </c>
      <c r="F283" s="1028">
        <f>F281*1.15</f>
        <v>495.5925</v>
      </c>
      <c r="G283" s="332"/>
      <c r="H283" s="332">
        <f>F283*G283</f>
        <v>0</v>
      </c>
      <c r="I283" s="333">
        <v>0.004</v>
      </c>
      <c r="J283" s="334">
        <f>F283*I283</f>
        <v>1.98237</v>
      </c>
      <c r="K283" s="693"/>
      <c r="L283" s="693"/>
      <c r="M283" s="693"/>
      <c r="N283" s="693"/>
      <c r="O283" s="693"/>
      <c r="P283" s="693"/>
      <c r="Q283" s="694"/>
      <c r="R283" s="509"/>
      <c r="S283" s="509"/>
      <c r="T283" s="509"/>
    </row>
    <row r="284" spans="1:20" s="22" customFormat="1" ht="14.25" customHeight="1">
      <c r="A284" s="196"/>
      <c r="B284" s="197"/>
      <c r="C284" s="199"/>
      <c r="D284" s="917"/>
      <c r="E284" s="198"/>
      <c r="F284" s="332"/>
      <c r="G284" s="332"/>
      <c r="H284" s="332"/>
      <c r="I284" s="333"/>
      <c r="J284" s="334"/>
      <c r="K284" s="693"/>
      <c r="L284" s="693"/>
      <c r="M284" s="693"/>
      <c r="N284" s="693"/>
      <c r="O284" s="693"/>
      <c r="P284" s="693"/>
      <c r="Q284" s="694"/>
      <c r="R284" s="509"/>
      <c r="S284" s="509"/>
      <c r="T284" s="509"/>
    </row>
    <row r="285" spans="1:20" s="1034" customFormat="1" ht="17.25" customHeight="1">
      <c r="A285" s="1023" t="s">
        <v>2878</v>
      </c>
      <c r="B285" s="1024" t="s">
        <v>2876</v>
      </c>
      <c r="C285" s="1025" t="s">
        <v>2877</v>
      </c>
      <c r="D285" s="1177"/>
      <c r="E285" s="1027" t="s">
        <v>1748</v>
      </c>
      <c r="F285" s="1028">
        <f>F283</f>
        <v>495.5925</v>
      </c>
      <c r="G285" s="1028"/>
      <c r="H285" s="1028">
        <f>F285*G285</f>
        <v>0</v>
      </c>
      <c r="I285" s="1029">
        <v>0.00013</v>
      </c>
      <c r="J285" s="1030">
        <f>F285*I285</f>
        <v>0.06442702499999998</v>
      </c>
      <c r="K285" s="1031"/>
      <c r="L285" s="1031"/>
      <c r="M285" s="1031"/>
      <c r="N285" s="1031"/>
      <c r="O285" s="1031"/>
      <c r="P285" s="1031"/>
      <c r="Q285" s="1032"/>
      <c r="R285" s="1033"/>
      <c r="S285" s="1033"/>
      <c r="T285" s="1033"/>
    </row>
    <row r="286" spans="1:20" s="22" customFormat="1" ht="15" customHeight="1">
      <c r="A286" s="196"/>
      <c r="B286" s="445"/>
      <c r="C286" s="446"/>
      <c r="D286" s="1099"/>
      <c r="E286" s="447"/>
      <c r="F286" s="448"/>
      <c r="G286" s="448"/>
      <c r="H286" s="448"/>
      <c r="I286" s="449"/>
      <c r="J286" s="450"/>
      <c r="K286" s="693"/>
      <c r="L286" s="693"/>
      <c r="M286" s="693"/>
      <c r="N286" s="693"/>
      <c r="O286" s="693"/>
      <c r="P286" s="693"/>
      <c r="Q286" s="694"/>
      <c r="R286" s="509"/>
      <c r="S286" s="509"/>
      <c r="T286" s="509"/>
    </row>
    <row r="287" spans="1:20" s="22" customFormat="1" ht="19.5" customHeight="1" thickBot="1">
      <c r="A287" s="196" t="s">
        <v>2618</v>
      </c>
      <c r="B287" s="256" t="s">
        <v>2625</v>
      </c>
      <c r="C287" s="264" t="s">
        <v>2626</v>
      </c>
      <c r="D287" s="968"/>
      <c r="E287" s="257" t="s">
        <v>1783</v>
      </c>
      <c r="F287" s="1120">
        <f>J268</f>
        <v>7.78349925</v>
      </c>
      <c r="G287" s="368"/>
      <c r="H287" s="368">
        <f>F287*G287</f>
        <v>0</v>
      </c>
      <c r="I287" s="369">
        <v>0</v>
      </c>
      <c r="J287" s="370">
        <f>F287*I287</f>
        <v>0</v>
      </c>
      <c r="K287" s="693"/>
      <c r="L287" s="693"/>
      <c r="M287" s="693"/>
      <c r="N287" s="693"/>
      <c r="O287" s="693"/>
      <c r="P287" s="693"/>
      <c r="Q287" s="694"/>
      <c r="R287" s="509"/>
      <c r="S287" s="509"/>
      <c r="T287" s="509"/>
    </row>
    <row r="288" spans="1:20" ht="16.5" customHeight="1" thickBot="1">
      <c r="A288" s="266" t="s">
        <v>2627</v>
      </c>
      <c r="B288" s="175" t="s">
        <v>2628</v>
      </c>
      <c r="C288" s="176" t="s">
        <v>2629</v>
      </c>
      <c r="D288" s="1007" t="s">
        <v>2827</v>
      </c>
      <c r="E288" s="175"/>
      <c r="F288" s="341"/>
      <c r="G288" s="341"/>
      <c r="H288" s="342">
        <f>SUM(H289:H310)</f>
        <v>0</v>
      </c>
      <c r="I288" s="343"/>
      <c r="J288" s="344">
        <f>SUM(J289:J309)</f>
        <v>2.7276396317000002</v>
      </c>
      <c r="K288" s="670"/>
      <c r="L288" s="670"/>
      <c r="M288" s="670"/>
      <c r="N288" s="670"/>
      <c r="O288" s="670"/>
      <c r="P288" s="670"/>
      <c r="Q288" s="670"/>
      <c r="R288" s="670"/>
      <c r="S288" s="670"/>
      <c r="T288" s="670"/>
    </row>
    <row r="289" spans="1:20" s="22" customFormat="1" ht="18.75" customHeight="1">
      <c r="A289" s="190" t="s">
        <v>2630</v>
      </c>
      <c r="B289" s="191" t="s">
        <v>988</v>
      </c>
      <c r="C289" s="265" t="s">
        <v>989</v>
      </c>
      <c r="D289" s="964" t="s">
        <v>2785</v>
      </c>
      <c r="E289" s="192" t="s">
        <v>1748</v>
      </c>
      <c r="F289" s="345">
        <f>E290</f>
        <v>102</v>
      </c>
      <c r="G289" s="345"/>
      <c r="H289" s="345">
        <f>F289*G289</f>
        <v>0</v>
      </c>
      <c r="I289" s="346">
        <v>0.00083</v>
      </c>
      <c r="J289" s="347">
        <f>F289*I289</f>
        <v>0.08466</v>
      </c>
      <c r="K289" s="693"/>
      <c r="L289" s="693"/>
      <c r="M289" s="693"/>
      <c r="N289" s="693"/>
      <c r="O289" s="693"/>
      <c r="P289" s="693"/>
      <c r="Q289" s="694"/>
      <c r="R289" s="509"/>
      <c r="S289" s="509"/>
      <c r="T289" s="509"/>
    </row>
    <row r="290" spans="1:20" s="130" customFormat="1" ht="20.25" customHeight="1">
      <c r="A290" s="204"/>
      <c r="B290" s="205" t="s">
        <v>990</v>
      </c>
      <c r="C290" s="205" t="s">
        <v>866</v>
      </c>
      <c r="D290" s="916"/>
      <c r="E290" s="260">
        <f>45.4+56.6</f>
        <v>102</v>
      </c>
      <c r="F290" s="335"/>
      <c r="G290" s="335"/>
      <c r="H290" s="335"/>
      <c r="I290" s="336"/>
      <c r="J290" s="337"/>
      <c r="K290" s="672"/>
      <c r="L290" s="672"/>
      <c r="M290" s="672"/>
      <c r="N290" s="672"/>
      <c r="O290" s="672"/>
      <c r="P290" s="672"/>
      <c r="Q290" s="673"/>
      <c r="R290" s="508"/>
      <c r="S290" s="508"/>
      <c r="T290" s="508"/>
    </row>
    <row r="291" spans="1:20" s="22" customFormat="1" ht="18.75" customHeight="1">
      <c r="A291" s="196" t="s">
        <v>2633</v>
      </c>
      <c r="B291" s="197" t="s">
        <v>2673</v>
      </c>
      <c r="C291" s="199" t="s">
        <v>2674</v>
      </c>
      <c r="D291" s="917" t="s">
        <v>2776</v>
      </c>
      <c r="E291" s="198" t="s">
        <v>1748</v>
      </c>
      <c r="F291" s="332">
        <f>E292</f>
        <v>104.04</v>
      </c>
      <c r="G291" s="332"/>
      <c r="H291" s="332">
        <f>F291*G291</f>
        <v>0</v>
      </c>
      <c r="I291" s="333">
        <v>0.0042</v>
      </c>
      <c r="J291" s="334">
        <f>F291*I291</f>
        <v>0.436968</v>
      </c>
      <c r="K291" s="693"/>
      <c r="L291" s="693"/>
      <c r="M291" s="693"/>
      <c r="N291" s="693"/>
      <c r="O291" s="693"/>
      <c r="P291" s="693"/>
      <c r="Q291" s="694"/>
      <c r="R291" s="509"/>
      <c r="S291" s="509"/>
      <c r="T291" s="509"/>
    </row>
    <row r="292" spans="1:20" s="130" customFormat="1" ht="20.25" customHeight="1">
      <c r="A292" s="204"/>
      <c r="B292" s="205" t="s">
        <v>990</v>
      </c>
      <c r="C292" s="205" t="s">
        <v>991</v>
      </c>
      <c r="D292" s="916"/>
      <c r="E292" s="260">
        <f>(45.4+56.6)*1.02</f>
        <v>104.04</v>
      </c>
      <c r="F292" s="335"/>
      <c r="G292" s="335"/>
      <c r="H292" s="335"/>
      <c r="I292" s="336"/>
      <c r="J292" s="337"/>
      <c r="K292" s="672"/>
      <c r="L292" s="672"/>
      <c r="M292" s="672"/>
      <c r="N292" s="672"/>
      <c r="O292" s="672"/>
      <c r="P292" s="672"/>
      <c r="Q292" s="673"/>
      <c r="R292" s="508"/>
      <c r="S292" s="508"/>
      <c r="T292" s="508"/>
    </row>
    <row r="293" spans="1:20" s="22" customFormat="1" ht="26.25" customHeight="1">
      <c r="A293" s="196" t="s">
        <v>2637</v>
      </c>
      <c r="B293" s="197" t="s">
        <v>2677</v>
      </c>
      <c r="C293" s="199" t="s">
        <v>2947</v>
      </c>
      <c r="D293" s="917" t="s">
        <v>2776</v>
      </c>
      <c r="E293" s="198" t="s">
        <v>1748</v>
      </c>
      <c r="F293" s="332">
        <f>E294</f>
        <v>112.2</v>
      </c>
      <c r="G293" s="332"/>
      <c r="H293" s="332">
        <f>F293*G293</f>
        <v>0</v>
      </c>
      <c r="I293" s="333">
        <v>0.00014</v>
      </c>
      <c r="J293" s="334">
        <f>F293*I293</f>
        <v>0.015708</v>
      </c>
      <c r="K293" s="693"/>
      <c r="L293" s="693"/>
      <c r="M293" s="693"/>
      <c r="N293" s="693"/>
      <c r="O293" s="693"/>
      <c r="P293" s="693"/>
      <c r="Q293" s="694"/>
      <c r="R293" s="509"/>
      <c r="S293" s="509"/>
      <c r="T293" s="509"/>
    </row>
    <row r="294" spans="1:20" s="130" customFormat="1" ht="20.25" customHeight="1">
      <c r="A294" s="204"/>
      <c r="B294" s="205" t="s">
        <v>990</v>
      </c>
      <c r="C294" s="205" t="s">
        <v>992</v>
      </c>
      <c r="D294" s="916"/>
      <c r="E294" s="260">
        <f>(45.4+56.6)*1.1</f>
        <v>112.2</v>
      </c>
      <c r="F294" s="335"/>
      <c r="G294" s="335"/>
      <c r="H294" s="335"/>
      <c r="I294" s="336"/>
      <c r="J294" s="337"/>
      <c r="K294" s="672"/>
      <c r="L294" s="672"/>
      <c r="M294" s="672"/>
      <c r="N294" s="672"/>
      <c r="O294" s="672"/>
      <c r="P294" s="672"/>
      <c r="Q294" s="673"/>
      <c r="R294" s="508"/>
      <c r="S294" s="508"/>
      <c r="T294" s="508"/>
    </row>
    <row r="295" spans="1:20" s="22" customFormat="1" ht="18.75" customHeight="1">
      <c r="A295" s="196" t="s">
        <v>2641</v>
      </c>
      <c r="B295" s="197" t="s">
        <v>2631</v>
      </c>
      <c r="C295" s="199" t="s">
        <v>2632</v>
      </c>
      <c r="D295" s="917" t="s">
        <v>2778</v>
      </c>
      <c r="E295" s="198" t="s">
        <v>1748</v>
      </c>
      <c r="F295" s="332">
        <f>E296</f>
        <v>430.95</v>
      </c>
      <c r="G295" s="332"/>
      <c r="H295" s="332">
        <f>F295*G295</f>
        <v>0</v>
      </c>
      <c r="I295" s="333">
        <v>0</v>
      </c>
      <c r="J295" s="334">
        <f>F295*I295</f>
        <v>0</v>
      </c>
      <c r="K295" s="693"/>
      <c r="L295" s="693"/>
      <c r="M295" s="693"/>
      <c r="N295" s="693"/>
      <c r="O295" s="693"/>
      <c r="P295" s="693"/>
      <c r="Q295" s="694"/>
      <c r="R295" s="509"/>
      <c r="S295" s="509"/>
      <c r="T295" s="509"/>
    </row>
    <row r="296" spans="1:20" s="130" customFormat="1" ht="20.25" customHeight="1">
      <c r="A296" s="204"/>
      <c r="B296" s="205" t="s">
        <v>993</v>
      </c>
      <c r="C296" s="205" t="s">
        <v>892</v>
      </c>
      <c r="D296" s="916"/>
      <c r="E296" s="260">
        <v>430.95</v>
      </c>
      <c r="F296" s="335"/>
      <c r="G296" s="335"/>
      <c r="H296" s="335"/>
      <c r="I296" s="336"/>
      <c r="J296" s="337"/>
      <c r="K296" s="672"/>
      <c r="L296" s="672"/>
      <c r="M296" s="672"/>
      <c r="N296" s="672"/>
      <c r="O296" s="672"/>
      <c r="P296" s="672"/>
      <c r="Q296" s="673"/>
      <c r="R296" s="508"/>
      <c r="S296" s="508"/>
      <c r="T296" s="508"/>
    </row>
    <row r="297" spans="1:20" s="22" customFormat="1" ht="18.75" customHeight="1">
      <c r="A297" s="196" t="s">
        <v>2645</v>
      </c>
      <c r="B297" s="197" t="s">
        <v>2646</v>
      </c>
      <c r="C297" s="199" t="s">
        <v>2647</v>
      </c>
      <c r="D297" s="917" t="s">
        <v>2778</v>
      </c>
      <c r="E297" s="198" t="s">
        <v>1748</v>
      </c>
      <c r="F297" s="332">
        <f>E298</f>
        <v>879.138</v>
      </c>
      <c r="G297" s="332"/>
      <c r="H297" s="332">
        <f>F297*G297</f>
        <v>0</v>
      </c>
      <c r="I297" s="333">
        <v>0.0024</v>
      </c>
      <c r="J297" s="334">
        <f>F297*I297</f>
        <v>2.1099312</v>
      </c>
      <c r="K297" s="693"/>
      <c r="L297" s="693"/>
      <c r="M297" s="693"/>
      <c r="N297" s="693"/>
      <c r="O297" s="693"/>
      <c r="P297" s="693"/>
      <c r="Q297" s="694"/>
      <c r="R297" s="509"/>
      <c r="S297" s="509"/>
      <c r="T297" s="509"/>
    </row>
    <row r="298" spans="1:20" s="130" customFormat="1" ht="20.25" customHeight="1">
      <c r="A298" s="204"/>
      <c r="B298" s="205" t="s">
        <v>993</v>
      </c>
      <c r="C298" s="205" t="s">
        <v>994</v>
      </c>
      <c r="D298" s="916"/>
      <c r="E298" s="260">
        <f>(430.95*2)*1.02</f>
        <v>879.138</v>
      </c>
      <c r="F298" s="335"/>
      <c r="G298" s="335"/>
      <c r="H298" s="335"/>
      <c r="I298" s="336"/>
      <c r="J298" s="337"/>
      <c r="K298" s="672"/>
      <c r="L298" s="672"/>
      <c r="M298" s="672"/>
      <c r="N298" s="672"/>
      <c r="O298" s="672"/>
      <c r="P298" s="672"/>
      <c r="Q298" s="673"/>
      <c r="R298" s="508"/>
      <c r="S298" s="508"/>
      <c r="T298" s="508"/>
    </row>
    <row r="299" spans="1:20" s="22" customFormat="1" ht="18.75" customHeight="1">
      <c r="A299" s="196" t="s">
        <v>2648</v>
      </c>
      <c r="B299" s="197" t="s">
        <v>787</v>
      </c>
      <c r="C299" s="1025" t="s">
        <v>2946</v>
      </c>
      <c r="D299" s="917" t="s">
        <v>2779</v>
      </c>
      <c r="E299" s="198" t="s">
        <v>1748</v>
      </c>
      <c r="F299" s="332">
        <f>SUM(E300:E301)</f>
        <v>13.09</v>
      </c>
      <c r="G299" s="332"/>
      <c r="H299" s="332">
        <f>F299*G299</f>
        <v>0</v>
      </c>
      <c r="I299" s="333">
        <v>0.001185</v>
      </c>
      <c r="J299" s="334">
        <f>F299*I299</f>
        <v>0.01551165</v>
      </c>
      <c r="K299" s="693"/>
      <c r="L299" s="693"/>
      <c r="M299" s="693"/>
      <c r="N299" s="693"/>
      <c r="O299" s="693"/>
      <c r="P299" s="693"/>
      <c r="Q299" s="694"/>
      <c r="R299" s="509"/>
      <c r="S299" s="509"/>
      <c r="T299" s="509"/>
    </row>
    <row r="300" spans="1:20" s="130" customFormat="1" ht="22.5" customHeight="1">
      <c r="A300" s="204"/>
      <c r="B300" s="205" t="s">
        <v>878</v>
      </c>
      <c r="C300" s="206" t="s">
        <v>879</v>
      </c>
      <c r="D300" s="916" t="s">
        <v>995</v>
      </c>
      <c r="E300" s="207">
        <f>(2.86+3.83)</f>
        <v>6.6899999999999995</v>
      </c>
      <c r="F300" s="335"/>
      <c r="G300" s="335"/>
      <c r="H300" s="335"/>
      <c r="I300" s="336"/>
      <c r="J300" s="337"/>
      <c r="K300" s="672"/>
      <c r="L300" s="672"/>
      <c r="M300" s="672"/>
      <c r="N300" s="672"/>
      <c r="O300" s="672"/>
      <c r="P300" s="672"/>
      <c r="Q300" s="673"/>
      <c r="R300" s="508"/>
      <c r="S300" s="508"/>
      <c r="T300" s="508"/>
    </row>
    <row r="301" spans="1:20" s="130" customFormat="1" ht="22.5" customHeight="1">
      <c r="A301" s="204"/>
      <c r="B301" s="205" t="s">
        <v>884</v>
      </c>
      <c r="C301" s="206" t="s">
        <v>885</v>
      </c>
      <c r="D301" s="916" t="s">
        <v>995</v>
      </c>
      <c r="E301" s="207">
        <f>(4.06+2.34)</f>
        <v>6.3999999999999995</v>
      </c>
      <c r="F301" s="335"/>
      <c r="G301" s="335"/>
      <c r="H301" s="335"/>
      <c r="I301" s="336"/>
      <c r="J301" s="337"/>
      <c r="K301" s="672"/>
      <c r="L301" s="672"/>
      <c r="M301" s="672"/>
      <c r="N301" s="672"/>
      <c r="O301" s="672"/>
      <c r="P301" s="672"/>
      <c r="Q301" s="673"/>
      <c r="R301" s="508"/>
      <c r="S301" s="508"/>
      <c r="T301" s="508"/>
    </row>
    <row r="302" spans="1:20" s="22" customFormat="1" ht="20.25" customHeight="1">
      <c r="A302" s="196" t="s">
        <v>2658</v>
      </c>
      <c r="B302" s="197" t="s">
        <v>996</v>
      </c>
      <c r="C302" s="197" t="s">
        <v>997</v>
      </c>
      <c r="D302" s="1177" t="s">
        <v>883</v>
      </c>
      <c r="E302" s="198" t="s">
        <v>1709</v>
      </c>
      <c r="F302" s="1028">
        <f>SUM(E303:E304)</f>
        <v>0.6675900000000001</v>
      </c>
      <c r="G302" s="332"/>
      <c r="H302" s="332">
        <f>F302*G302</f>
        <v>0</v>
      </c>
      <c r="I302" s="333">
        <v>0.00463</v>
      </c>
      <c r="J302" s="334">
        <f>F302*I302</f>
        <v>0.0030909417000000005</v>
      </c>
      <c r="K302" s="693"/>
      <c r="L302" s="693"/>
      <c r="M302" s="693"/>
      <c r="N302" s="693"/>
      <c r="O302" s="693"/>
      <c r="P302" s="693"/>
      <c r="Q302" s="694"/>
      <c r="R302" s="509"/>
      <c r="S302" s="509"/>
      <c r="T302" s="509"/>
    </row>
    <row r="303" spans="1:20" s="130" customFormat="1" ht="22.5" customHeight="1">
      <c r="A303" s="204"/>
      <c r="B303" s="205" t="s">
        <v>878</v>
      </c>
      <c r="C303" s="206" t="s">
        <v>2862</v>
      </c>
      <c r="D303" s="1176" t="s">
        <v>995</v>
      </c>
      <c r="E303" s="207">
        <f>(2.86+3.83)*0.05*1.02</f>
        <v>0.34119000000000005</v>
      </c>
      <c r="F303" s="335"/>
      <c r="G303" s="335"/>
      <c r="H303" s="335"/>
      <c r="I303" s="336"/>
      <c r="J303" s="337"/>
      <c r="K303" s="672"/>
      <c r="L303" s="672"/>
      <c r="M303" s="672"/>
      <c r="N303" s="672"/>
      <c r="O303" s="672"/>
      <c r="P303" s="672"/>
      <c r="Q303" s="673"/>
      <c r="R303" s="508"/>
      <c r="S303" s="508"/>
      <c r="T303" s="508"/>
    </row>
    <row r="304" spans="1:20" s="130" customFormat="1" ht="22.5" customHeight="1">
      <c r="A304" s="204"/>
      <c r="B304" s="205" t="s">
        <v>884</v>
      </c>
      <c r="C304" s="206" t="s">
        <v>2863</v>
      </c>
      <c r="D304" s="1176" t="s">
        <v>995</v>
      </c>
      <c r="E304" s="207">
        <f>(4.06+2.34)*0.05*1.02</f>
        <v>0.3264</v>
      </c>
      <c r="F304" s="335"/>
      <c r="G304" s="335"/>
      <c r="H304" s="335"/>
      <c r="I304" s="336"/>
      <c r="J304" s="337"/>
      <c r="K304" s="672"/>
      <c r="L304" s="672"/>
      <c r="M304" s="672"/>
      <c r="N304" s="672"/>
      <c r="O304" s="672"/>
      <c r="P304" s="672"/>
      <c r="Q304" s="673"/>
      <c r="R304" s="508"/>
      <c r="S304" s="508"/>
      <c r="T304" s="508"/>
    </row>
    <row r="305" spans="1:20" s="22" customFormat="1" ht="18.75" customHeight="1">
      <c r="A305" s="196" t="s">
        <v>2664</v>
      </c>
      <c r="B305" s="197" t="s">
        <v>998</v>
      </c>
      <c r="C305" s="199" t="s">
        <v>2955</v>
      </c>
      <c r="D305" s="917"/>
      <c r="E305" s="198" t="s">
        <v>1748</v>
      </c>
      <c r="F305" s="332">
        <f>E306</f>
        <v>474.045</v>
      </c>
      <c r="G305" s="332"/>
      <c r="H305" s="332">
        <f aca="true" t="shared" si="20" ref="H305:H310">F305*G305</f>
        <v>0</v>
      </c>
      <c r="I305" s="333">
        <v>0.00013</v>
      </c>
      <c r="J305" s="334">
        <f aca="true" t="shared" si="21" ref="J305:J310">F305*I305</f>
        <v>0.061625849999999996</v>
      </c>
      <c r="K305" s="693"/>
      <c r="L305" s="693"/>
      <c r="M305" s="693"/>
      <c r="N305" s="693"/>
      <c r="O305" s="693"/>
      <c r="P305" s="693"/>
      <c r="Q305" s="694"/>
      <c r="R305" s="509"/>
      <c r="S305" s="509"/>
      <c r="T305" s="509"/>
    </row>
    <row r="306" spans="1:20" s="130" customFormat="1" ht="20.25" customHeight="1">
      <c r="A306" s="204"/>
      <c r="B306" s="205" t="s">
        <v>993</v>
      </c>
      <c r="C306" s="205" t="s">
        <v>1000</v>
      </c>
      <c r="D306" s="916"/>
      <c r="E306" s="260">
        <f>430.95*1.1</f>
        <v>474.045</v>
      </c>
      <c r="F306" s="335"/>
      <c r="G306" s="335"/>
      <c r="H306" s="335"/>
      <c r="I306" s="336"/>
      <c r="J306" s="337"/>
      <c r="K306" s="672"/>
      <c r="L306" s="672"/>
      <c r="M306" s="672"/>
      <c r="N306" s="672"/>
      <c r="O306" s="672"/>
      <c r="P306" s="672"/>
      <c r="Q306" s="673"/>
      <c r="R306" s="508"/>
      <c r="S306" s="508"/>
      <c r="T306" s="508"/>
    </row>
    <row r="307" spans="1:20" s="22" customFormat="1" ht="18.75" customHeight="1">
      <c r="A307" s="196" t="s">
        <v>2668</v>
      </c>
      <c r="B307" s="197" t="s">
        <v>2665</v>
      </c>
      <c r="C307" s="199" t="s">
        <v>2666</v>
      </c>
      <c r="D307" s="917"/>
      <c r="E307" s="198" t="s">
        <v>1748</v>
      </c>
      <c r="F307" s="332">
        <f>SUM(E308:E309)</f>
        <v>14.399000000000001</v>
      </c>
      <c r="G307" s="332"/>
      <c r="H307" s="332">
        <f t="shared" si="20"/>
        <v>0</v>
      </c>
      <c r="I307" s="333">
        <v>1E-05</v>
      </c>
      <c r="J307" s="334">
        <f t="shared" si="21"/>
        <v>0.00014399</v>
      </c>
      <c r="K307" s="693"/>
      <c r="L307" s="693"/>
      <c r="M307" s="693"/>
      <c r="N307" s="693"/>
      <c r="O307" s="693"/>
      <c r="P307" s="693"/>
      <c r="Q307" s="694"/>
      <c r="R307" s="509"/>
      <c r="S307" s="509"/>
      <c r="T307" s="509"/>
    </row>
    <row r="308" spans="1:20" s="130" customFormat="1" ht="22.5" customHeight="1">
      <c r="A308" s="204"/>
      <c r="B308" s="205" t="s">
        <v>878</v>
      </c>
      <c r="C308" s="206" t="s">
        <v>1001</v>
      </c>
      <c r="D308" s="916" t="s">
        <v>878</v>
      </c>
      <c r="E308" s="207">
        <f>(2.86+3.83)*1.1</f>
        <v>7.359</v>
      </c>
      <c r="F308" s="335"/>
      <c r="G308" s="335"/>
      <c r="H308" s="335"/>
      <c r="I308" s="336"/>
      <c r="J308" s="337"/>
      <c r="K308" s="672"/>
      <c r="L308" s="672"/>
      <c r="M308" s="672"/>
      <c r="N308" s="672"/>
      <c r="O308" s="672"/>
      <c r="P308" s="672"/>
      <c r="Q308" s="673"/>
      <c r="R308" s="508"/>
      <c r="S308" s="508"/>
      <c r="T308" s="508"/>
    </row>
    <row r="309" spans="1:20" s="130" customFormat="1" ht="22.5" customHeight="1">
      <c r="A309" s="204"/>
      <c r="B309" s="205" t="s">
        <v>884</v>
      </c>
      <c r="C309" s="206" t="s">
        <v>1002</v>
      </c>
      <c r="D309" s="916" t="s">
        <v>884</v>
      </c>
      <c r="E309" s="207">
        <f>(4.06+2.34)*1.1</f>
        <v>7.04</v>
      </c>
      <c r="F309" s="335"/>
      <c r="G309" s="335"/>
      <c r="H309" s="335"/>
      <c r="I309" s="336"/>
      <c r="J309" s="337"/>
      <c r="K309" s="672"/>
      <c r="L309" s="672"/>
      <c r="M309" s="672"/>
      <c r="N309" s="672"/>
      <c r="O309" s="672"/>
      <c r="P309" s="672"/>
      <c r="Q309" s="673"/>
      <c r="R309" s="508"/>
      <c r="S309" s="508"/>
      <c r="T309" s="508"/>
    </row>
    <row r="310" spans="1:20" s="22" customFormat="1" ht="18.75" customHeight="1" thickBot="1">
      <c r="A310" s="255" t="s">
        <v>2672</v>
      </c>
      <c r="B310" s="256" t="s">
        <v>2681</v>
      </c>
      <c r="C310" s="264" t="s">
        <v>2682</v>
      </c>
      <c r="D310" s="968"/>
      <c r="E310" s="257" t="s">
        <v>1783</v>
      </c>
      <c r="F310" s="368">
        <f>J288</f>
        <v>2.7276396317000002</v>
      </c>
      <c r="G310" s="368"/>
      <c r="H310" s="368">
        <f t="shared" si="20"/>
        <v>0</v>
      </c>
      <c r="I310" s="369">
        <v>0</v>
      </c>
      <c r="J310" s="370">
        <f t="shared" si="21"/>
        <v>0</v>
      </c>
      <c r="K310" s="693"/>
      <c r="L310" s="693"/>
      <c r="M310" s="693"/>
      <c r="N310" s="693"/>
      <c r="O310" s="693"/>
      <c r="P310" s="693"/>
      <c r="Q310" s="694"/>
      <c r="R310" s="509"/>
      <c r="S310" s="509"/>
      <c r="T310" s="509"/>
    </row>
    <row r="311" spans="1:20" ht="16.5" customHeight="1" thickBot="1">
      <c r="A311" s="266" t="s">
        <v>2683</v>
      </c>
      <c r="B311" s="175" t="s">
        <v>2684</v>
      </c>
      <c r="C311" s="176" t="s">
        <v>2685</v>
      </c>
      <c r="D311" s="1008"/>
      <c r="E311" s="175"/>
      <c r="F311" s="341"/>
      <c r="G311" s="341"/>
      <c r="H311" s="342">
        <f>SUM(H312)</f>
        <v>0</v>
      </c>
      <c r="I311" s="343"/>
      <c r="J311" s="344">
        <f>SUM(J312)</f>
        <v>0</v>
      </c>
      <c r="K311" s="670"/>
      <c r="L311" s="670"/>
      <c r="M311" s="670"/>
      <c r="N311" s="670"/>
      <c r="O311" s="670"/>
      <c r="P311" s="670"/>
      <c r="Q311" s="670"/>
      <c r="R311" s="670"/>
      <c r="S311" s="670"/>
      <c r="T311" s="670"/>
    </row>
    <row r="312" spans="1:20" s="22" customFormat="1" ht="18.75" customHeight="1" thickBot="1">
      <c r="A312" s="196"/>
      <c r="B312" s="197"/>
      <c r="C312" s="199"/>
      <c r="D312" s="917"/>
      <c r="E312" s="198"/>
      <c r="F312" s="332"/>
      <c r="G312" s="332"/>
      <c r="H312" s="332"/>
      <c r="I312" s="333"/>
      <c r="J312" s="334"/>
      <c r="K312" s="693"/>
      <c r="L312" s="693"/>
      <c r="M312" s="693"/>
      <c r="N312" s="693"/>
      <c r="O312" s="693"/>
      <c r="P312" s="693"/>
      <c r="Q312" s="694"/>
      <c r="R312" s="509"/>
      <c r="S312" s="509"/>
      <c r="T312" s="509"/>
    </row>
    <row r="313" spans="1:20" ht="16.5" customHeight="1" thickBot="1">
      <c r="A313" s="266" t="s">
        <v>2686</v>
      </c>
      <c r="B313" s="175" t="s">
        <v>2687</v>
      </c>
      <c r="C313" s="176" t="s">
        <v>2688</v>
      </c>
      <c r="D313" s="1008"/>
      <c r="E313" s="175"/>
      <c r="F313" s="341"/>
      <c r="G313" s="341"/>
      <c r="H313" s="342">
        <f>SUM(H314:H317)</f>
        <v>0</v>
      </c>
      <c r="I313" s="343"/>
      <c r="J313" s="344">
        <f>SUM(J314:J317)</f>
        <v>0</v>
      </c>
      <c r="K313" s="670"/>
      <c r="L313" s="670"/>
      <c r="M313" s="670"/>
      <c r="N313" s="670"/>
      <c r="O313" s="670"/>
      <c r="P313" s="670"/>
      <c r="Q313" s="670"/>
      <c r="R313" s="670"/>
      <c r="S313" s="670"/>
      <c r="T313" s="670"/>
    </row>
    <row r="314" spans="1:20" s="586" customFormat="1" ht="60.75" customHeight="1">
      <c r="A314" s="770"/>
      <c r="B314" s="771" t="s">
        <v>1676</v>
      </c>
      <c r="C314" s="772" t="s">
        <v>2689</v>
      </c>
      <c r="D314" s="979" t="s">
        <v>2749</v>
      </c>
      <c r="E314" s="773"/>
      <c r="F314" s="774"/>
      <c r="G314" s="774"/>
      <c r="H314" s="774"/>
      <c r="I314" s="775"/>
      <c r="J314" s="776"/>
      <c r="K314" s="597"/>
      <c r="L314" s="597"/>
      <c r="M314" s="597"/>
      <c r="N314" s="597"/>
      <c r="O314" s="597"/>
      <c r="P314" s="597"/>
      <c r="Q314" s="597"/>
      <c r="R314" s="597"/>
      <c r="S314" s="597"/>
      <c r="T314" s="597"/>
    </row>
    <row r="315" spans="1:20" s="22" customFormat="1" ht="20.25" customHeight="1">
      <c r="A315" s="196" t="s">
        <v>2690</v>
      </c>
      <c r="B315" s="197" t="s">
        <v>2691</v>
      </c>
      <c r="C315" s="453" t="s">
        <v>1003</v>
      </c>
      <c r="D315" s="917" t="s">
        <v>2749</v>
      </c>
      <c r="E315" s="198" t="s">
        <v>1831</v>
      </c>
      <c r="F315" s="332">
        <v>51</v>
      </c>
      <c r="G315" s="332"/>
      <c r="H315" s="332">
        <f>F315*G315</f>
        <v>0</v>
      </c>
      <c r="I315" s="333">
        <v>0</v>
      </c>
      <c r="J315" s="334">
        <f>F315*I315</f>
        <v>0</v>
      </c>
      <c r="K315" s="693"/>
      <c r="L315" s="693"/>
      <c r="M315" s="693"/>
      <c r="N315" s="693"/>
      <c r="O315" s="693"/>
      <c r="P315" s="693"/>
      <c r="Q315" s="694"/>
      <c r="R315" s="509"/>
      <c r="S315" s="509"/>
      <c r="T315" s="509"/>
    </row>
    <row r="316" spans="1:20" s="22" customFormat="1" ht="42.75" customHeight="1">
      <c r="A316" s="196" t="s">
        <v>2693</v>
      </c>
      <c r="B316" s="197" t="s">
        <v>2691</v>
      </c>
      <c r="C316" s="705" t="s">
        <v>2694</v>
      </c>
      <c r="D316" s="917" t="s">
        <v>2749</v>
      </c>
      <c r="E316" s="198" t="s">
        <v>2695</v>
      </c>
      <c r="F316" s="332">
        <v>1</v>
      </c>
      <c r="G316" s="828"/>
      <c r="H316" s="332">
        <f>F316*G316</f>
        <v>0</v>
      </c>
      <c r="I316" s="333">
        <v>0</v>
      </c>
      <c r="J316" s="334">
        <f>F316*I316</f>
        <v>0</v>
      </c>
      <c r="K316" s="693"/>
      <c r="L316" s="693"/>
      <c r="M316" s="693"/>
      <c r="N316" s="693"/>
      <c r="O316" s="693"/>
      <c r="P316" s="693"/>
      <c r="Q316" s="694"/>
      <c r="R316" s="509"/>
      <c r="S316" s="509"/>
      <c r="T316" s="509"/>
    </row>
    <row r="317" spans="1:20" s="461" customFormat="1" ht="18.75" customHeight="1" thickBot="1">
      <c r="A317" s="454"/>
      <c r="B317" s="455"/>
      <c r="C317" s="456" t="s">
        <v>1004</v>
      </c>
      <c r="D317" s="916"/>
      <c r="E317" s="457">
        <f>51*500</f>
        <v>25500</v>
      </c>
      <c r="F317" s="458"/>
      <c r="G317" s="458"/>
      <c r="H317" s="458"/>
      <c r="I317" s="459"/>
      <c r="J317" s="460"/>
      <c r="K317" s="729"/>
      <c r="L317" s="729"/>
      <c r="M317" s="729"/>
      <c r="N317" s="729"/>
      <c r="O317" s="729"/>
      <c r="P317" s="729"/>
      <c r="Q317" s="729"/>
      <c r="R317" s="729"/>
      <c r="S317" s="729"/>
      <c r="T317" s="729"/>
    </row>
    <row r="318" spans="1:20" ht="16.5" customHeight="1" thickBot="1">
      <c r="A318" s="266" t="s">
        <v>2697</v>
      </c>
      <c r="B318" s="175" t="s">
        <v>2698</v>
      </c>
      <c r="C318" s="176" t="s">
        <v>2699</v>
      </c>
      <c r="D318" s="1008"/>
      <c r="E318" s="175"/>
      <c r="F318" s="341"/>
      <c r="G318" s="341"/>
      <c r="H318" s="342">
        <f>SUM(H319:H333)</f>
        <v>0</v>
      </c>
      <c r="I318" s="343"/>
      <c r="J318" s="344">
        <f>SUM(J319:J332)</f>
        <v>13.9202251</v>
      </c>
      <c r="K318" s="670"/>
      <c r="L318" s="670"/>
      <c r="M318" s="670"/>
      <c r="N318" s="670"/>
      <c r="O318" s="670"/>
      <c r="P318" s="670"/>
      <c r="Q318" s="670"/>
      <c r="R318" s="670"/>
      <c r="S318" s="670"/>
      <c r="T318" s="670"/>
    </row>
    <row r="319" spans="1:20" s="22" customFormat="1" ht="18.75" customHeight="1">
      <c r="A319" s="190" t="s">
        <v>2700</v>
      </c>
      <c r="B319" s="191" t="s">
        <v>2701</v>
      </c>
      <c r="C319" s="265" t="s">
        <v>2702</v>
      </c>
      <c r="D319" s="964"/>
      <c r="E319" s="192" t="s">
        <v>1748</v>
      </c>
      <c r="F319" s="345">
        <f>E320</f>
        <v>475.45</v>
      </c>
      <c r="G319" s="345"/>
      <c r="H319" s="345">
        <f aca="true" t="shared" si="22" ref="H319:H333">F319*G319</f>
        <v>0</v>
      </c>
      <c r="I319" s="346">
        <v>0.015</v>
      </c>
      <c r="J319" s="347">
        <f aca="true" t="shared" si="23" ref="J319:J333">F319*I319</f>
        <v>7.131749999999999</v>
      </c>
      <c r="K319" s="693"/>
      <c r="L319" s="693"/>
      <c r="M319" s="693"/>
      <c r="N319" s="693"/>
      <c r="O319" s="693"/>
      <c r="P319" s="693"/>
      <c r="Q319" s="694"/>
      <c r="R319" s="509"/>
      <c r="S319" s="509"/>
      <c r="T319" s="509"/>
    </row>
    <row r="320" spans="1:20" s="130" customFormat="1" ht="21.75" customHeight="1">
      <c r="A320" s="204"/>
      <c r="B320" s="205" t="s">
        <v>891</v>
      </c>
      <c r="C320" s="206" t="s">
        <v>1005</v>
      </c>
      <c r="D320" s="916" t="s">
        <v>891</v>
      </c>
      <c r="E320" s="207">
        <f>475.45</f>
        <v>475.45</v>
      </c>
      <c r="F320" s="335"/>
      <c r="G320" s="335"/>
      <c r="H320" s="335"/>
      <c r="I320" s="336"/>
      <c r="J320" s="337"/>
      <c r="K320" s="508"/>
      <c r="L320" s="508"/>
      <c r="M320" s="508"/>
      <c r="N320" s="508"/>
      <c r="O320" s="508"/>
      <c r="P320" s="508"/>
      <c r="Q320" s="508"/>
      <c r="R320" s="508"/>
      <c r="S320" s="508"/>
      <c r="T320" s="508"/>
    </row>
    <row r="321" spans="1:17" s="1119" customFormat="1" ht="18.75" customHeight="1">
      <c r="A321" s="1110" t="s">
        <v>2704</v>
      </c>
      <c r="B321" s="1111" t="s">
        <v>2705</v>
      </c>
      <c r="C321" s="1112" t="s">
        <v>2706</v>
      </c>
      <c r="D321" s="1191" t="s">
        <v>2839</v>
      </c>
      <c r="E321" s="1113" t="s">
        <v>1826</v>
      </c>
      <c r="F321" s="1114">
        <v>0</v>
      </c>
      <c r="G321" s="1114"/>
      <c r="H321" s="1114">
        <f t="shared" si="22"/>
        <v>0</v>
      </c>
      <c r="I321" s="1115">
        <v>0.00016</v>
      </c>
      <c r="J321" s="1116">
        <f t="shared" si="23"/>
        <v>0</v>
      </c>
      <c r="K321" s="1117"/>
      <c r="L321" s="1117"/>
      <c r="M321" s="1117"/>
      <c r="N321" s="1117"/>
      <c r="O321" s="1117"/>
      <c r="P321" s="1117"/>
      <c r="Q321" s="1118"/>
    </row>
    <row r="322" spans="1:10" s="1128" customFormat="1" ht="21.75" customHeight="1">
      <c r="A322" s="1122"/>
      <c r="B322" s="1123" t="s">
        <v>891</v>
      </c>
      <c r="C322" s="1124" t="s">
        <v>2944</v>
      </c>
      <c r="D322" s="1192" t="s">
        <v>891</v>
      </c>
      <c r="E322" s="1160">
        <f>475.45*0.1*4.8</f>
        <v>228.216</v>
      </c>
      <c r="F322" s="1125"/>
      <c r="G322" s="1125"/>
      <c r="H322" s="1125"/>
      <c r="I322" s="1126"/>
      <c r="J322" s="1127"/>
    </row>
    <row r="323" spans="1:17" s="1119" customFormat="1" ht="18.75" customHeight="1">
      <c r="A323" s="1110" t="s">
        <v>2708</v>
      </c>
      <c r="B323" s="1111" t="s">
        <v>2709</v>
      </c>
      <c r="C323" s="1112" t="s">
        <v>2710</v>
      </c>
      <c r="D323" s="1191" t="s">
        <v>2839</v>
      </c>
      <c r="E323" s="1113" t="s">
        <v>1826</v>
      </c>
      <c r="F323" s="1114">
        <v>0</v>
      </c>
      <c r="G323" s="1114"/>
      <c r="H323" s="1114">
        <f t="shared" si="22"/>
        <v>0</v>
      </c>
      <c r="I323" s="1115">
        <v>0.00099</v>
      </c>
      <c r="J323" s="1116">
        <f t="shared" si="23"/>
        <v>0</v>
      </c>
      <c r="K323" s="1117"/>
      <c r="L323" s="1117"/>
      <c r="M323" s="1117"/>
      <c r="N323" s="1117"/>
      <c r="O323" s="1117"/>
      <c r="P323" s="1117"/>
      <c r="Q323" s="1118"/>
    </row>
    <row r="324" spans="1:10" s="1128" customFormat="1" ht="21.75" customHeight="1">
      <c r="A324" s="1122"/>
      <c r="B324" s="1123" t="s">
        <v>891</v>
      </c>
      <c r="C324" s="1124" t="s">
        <v>2944</v>
      </c>
      <c r="D324" s="1192" t="s">
        <v>891</v>
      </c>
      <c r="E324" s="1160">
        <f>475.45*0.1*4.8</f>
        <v>228.216</v>
      </c>
      <c r="F324" s="1125"/>
      <c r="G324" s="1125"/>
      <c r="H324" s="1125"/>
      <c r="I324" s="1126"/>
      <c r="J324" s="1127"/>
    </row>
    <row r="325" spans="1:17" s="1119" customFormat="1" ht="18.75" customHeight="1">
      <c r="A325" s="1110" t="s">
        <v>2711</v>
      </c>
      <c r="B325" s="1111" t="s">
        <v>2712</v>
      </c>
      <c r="C325" s="1112" t="s">
        <v>2713</v>
      </c>
      <c r="D325" s="1191" t="s">
        <v>2839</v>
      </c>
      <c r="E325" s="1113" t="s">
        <v>1709</v>
      </c>
      <c r="F325" s="1114">
        <v>0</v>
      </c>
      <c r="G325" s="1114"/>
      <c r="H325" s="1114">
        <f t="shared" si="22"/>
        <v>0</v>
      </c>
      <c r="I325" s="1115">
        <v>0.55</v>
      </c>
      <c r="J325" s="1116">
        <f t="shared" si="23"/>
        <v>0</v>
      </c>
      <c r="K325" s="1117"/>
      <c r="L325" s="1117"/>
      <c r="M325" s="1117"/>
      <c r="N325" s="1117"/>
      <c r="O325" s="1117"/>
      <c r="P325" s="1117"/>
      <c r="Q325" s="1118"/>
    </row>
    <row r="326" spans="1:10" s="1128" customFormat="1" ht="21.75" customHeight="1">
      <c r="A326" s="1122"/>
      <c r="B326" s="1123" t="s">
        <v>891</v>
      </c>
      <c r="C326" s="1124" t="s">
        <v>2945</v>
      </c>
      <c r="D326" s="1192" t="s">
        <v>891</v>
      </c>
      <c r="E326" s="1160">
        <f>475.45*0.1*4.8*0.12*0.18</f>
        <v>4.9294655999999994</v>
      </c>
      <c r="F326" s="1125"/>
      <c r="G326" s="1125"/>
      <c r="H326" s="1125"/>
      <c r="I326" s="1126"/>
      <c r="J326" s="1127"/>
    </row>
    <row r="327" spans="1:17" s="1119" customFormat="1" ht="18.75" customHeight="1">
      <c r="A327" s="1110" t="s">
        <v>2715</v>
      </c>
      <c r="B327" s="1111" t="s">
        <v>2716</v>
      </c>
      <c r="C327" s="1112" t="s">
        <v>2868</v>
      </c>
      <c r="D327" s="1191" t="s">
        <v>2839</v>
      </c>
      <c r="E327" s="1113" t="s">
        <v>1748</v>
      </c>
      <c r="F327" s="1114">
        <v>0</v>
      </c>
      <c r="G327" s="1114"/>
      <c r="H327" s="1114">
        <f t="shared" si="22"/>
        <v>0</v>
      </c>
      <c r="I327" s="1115">
        <v>0.00017</v>
      </c>
      <c r="J327" s="1116">
        <f t="shared" si="23"/>
        <v>0</v>
      </c>
      <c r="K327" s="1117"/>
      <c r="L327" s="1117"/>
      <c r="M327" s="1117"/>
      <c r="N327" s="1117"/>
      <c r="O327" s="1117"/>
      <c r="P327" s="1117"/>
      <c r="Q327" s="1118"/>
    </row>
    <row r="328" spans="1:10" s="1128" customFormat="1" ht="21.75" customHeight="1">
      <c r="A328" s="1122"/>
      <c r="B328" s="1123" t="s">
        <v>891</v>
      </c>
      <c r="C328" s="1124" t="s">
        <v>1005</v>
      </c>
      <c r="D328" s="1192" t="s">
        <v>891</v>
      </c>
      <c r="E328" s="1160">
        <f>475.45</f>
        <v>475.45</v>
      </c>
      <c r="F328" s="1125"/>
      <c r="G328" s="1125"/>
      <c r="H328" s="1125"/>
      <c r="I328" s="1126"/>
      <c r="J328" s="1127"/>
    </row>
    <row r="329" spans="1:20" s="22" customFormat="1" ht="18.75" customHeight="1">
      <c r="A329" s="196" t="s">
        <v>2719</v>
      </c>
      <c r="B329" s="197" t="s">
        <v>2720</v>
      </c>
      <c r="C329" s="199" t="s">
        <v>2721</v>
      </c>
      <c r="D329" s="917"/>
      <c r="E329" s="198" t="s">
        <v>1748</v>
      </c>
      <c r="F329" s="332">
        <f>E330</f>
        <v>475.45</v>
      </c>
      <c r="G329" s="332"/>
      <c r="H329" s="332">
        <f t="shared" si="22"/>
        <v>0</v>
      </c>
      <c r="I329" s="333">
        <v>0</v>
      </c>
      <c r="J329" s="334">
        <f t="shared" si="23"/>
        <v>0</v>
      </c>
      <c r="K329" s="693"/>
      <c r="L329" s="693"/>
      <c r="M329" s="693"/>
      <c r="N329" s="693"/>
      <c r="O329" s="693"/>
      <c r="P329" s="693"/>
      <c r="Q329" s="694"/>
      <c r="R329" s="509"/>
      <c r="S329" s="509"/>
      <c r="T329" s="509"/>
    </row>
    <row r="330" spans="1:20" s="130" customFormat="1" ht="17.25" customHeight="1">
      <c r="A330" s="204"/>
      <c r="B330" s="205" t="s">
        <v>891</v>
      </c>
      <c r="C330" s="206" t="s">
        <v>1005</v>
      </c>
      <c r="D330" s="916" t="s">
        <v>891</v>
      </c>
      <c r="E330" s="207">
        <f>475.45</f>
        <v>475.45</v>
      </c>
      <c r="F330" s="335"/>
      <c r="G330" s="335"/>
      <c r="H330" s="335"/>
      <c r="I330" s="336"/>
      <c r="J330" s="337"/>
      <c r="K330" s="508"/>
      <c r="L330" s="508"/>
      <c r="M330" s="508"/>
      <c r="N330" s="508"/>
      <c r="O330" s="508"/>
      <c r="P330" s="508"/>
      <c r="Q330" s="508"/>
      <c r="R330" s="508"/>
      <c r="S330" s="508"/>
      <c r="T330" s="508"/>
    </row>
    <row r="331" spans="1:20" s="22" customFormat="1" ht="18.75" customHeight="1">
      <c r="A331" s="196" t="s">
        <v>2722</v>
      </c>
      <c r="B331" s="197" t="s">
        <v>2723</v>
      </c>
      <c r="C331" s="199" t="s">
        <v>2724</v>
      </c>
      <c r="D331" s="917"/>
      <c r="E331" s="198" t="s">
        <v>1748</v>
      </c>
      <c r="F331" s="1028">
        <f>E332</f>
        <v>522.995</v>
      </c>
      <c r="G331" s="332"/>
      <c r="H331" s="332">
        <f t="shared" si="22"/>
        <v>0</v>
      </c>
      <c r="I331" s="333">
        <v>0.01298</v>
      </c>
      <c r="J331" s="334">
        <f t="shared" si="23"/>
        <v>6.7884751</v>
      </c>
      <c r="K331" s="693"/>
      <c r="L331" s="693"/>
      <c r="M331" s="693"/>
      <c r="N331" s="693"/>
      <c r="O331" s="693"/>
      <c r="P331" s="693"/>
      <c r="Q331" s="694"/>
      <c r="R331" s="509"/>
      <c r="S331" s="509"/>
      <c r="T331" s="509"/>
    </row>
    <row r="332" spans="1:20" s="130" customFormat="1" ht="16.5" customHeight="1">
      <c r="A332" s="204"/>
      <c r="B332" s="205" t="s">
        <v>891</v>
      </c>
      <c r="C332" s="206" t="s">
        <v>2874</v>
      </c>
      <c r="D332" s="916" t="s">
        <v>891</v>
      </c>
      <c r="E332" s="1051">
        <f>475.45*1.1</f>
        <v>522.995</v>
      </c>
      <c r="F332" s="335"/>
      <c r="G332" s="335"/>
      <c r="H332" s="335"/>
      <c r="I332" s="336"/>
      <c r="J332" s="337"/>
      <c r="K332" s="508"/>
      <c r="L332" s="508"/>
      <c r="M332" s="508"/>
      <c r="N332" s="508"/>
      <c r="O332" s="508"/>
      <c r="P332" s="508"/>
      <c r="Q332" s="508"/>
      <c r="R332" s="508"/>
      <c r="S332" s="508"/>
      <c r="T332" s="508"/>
    </row>
    <row r="333" spans="1:20" s="22" customFormat="1" ht="18.75" customHeight="1" thickBot="1">
      <c r="A333" s="255" t="s">
        <v>2725</v>
      </c>
      <c r="B333" s="256" t="s">
        <v>2733</v>
      </c>
      <c r="C333" s="264" t="s">
        <v>2734</v>
      </c>
      <c r="D333" s="968"/>
      <c r="E333" s="257" t="s">
        <v>1783</v>
      </c>
      <c r="F333" s="1120">
        <f>SUM(J318)</f>
        <v>13.9202251</v>
      </c>
      <c r="G333" s="368"/>
      <c r="H333" s="368">
        <f t="shared" si="22"/>
        <v>0</v>
      </c>
      <c r="I333" s="369">
        <v>0</v>
      </c>
      <c r="J333" s="370">
        <f t="shared" si="23"/>
        <v>0</v>
      </c>
      <c r="K333" s="693"/>
      <c r="L333" s="693"/>
      <c r="M333" s="693"/>
      <c r="N333" s="693"/>
      <c r="O333" s="693"/>
      <c r="P333" s="693"/>
      <c r="Q333" s="694"/>
      <c r="R333" s="509"/>
      <c r="S333" s="509"/>
      <c r="T333" s="509"/>
    </row>
    <row r="334" spans="1:20" ht="16.5" customHeight="1" thickBot="1">
      <c r="A334" s="266" t="s">
        <v>2735</v>
      </c>
      <c r="B334" s="175" t="s">
        <v>2736</v>
      </c>
      <c r="C334" s="176" t="s">
        <v>2737</v>
      </c>
      <c r="D334" s="1008"/>
      <c r="E334" s="175"/>
      <c r="F334" s="341"/>
      <c r="G334" s="341"/>
      <c r="H334" s="342">
        <f>SUM(H335:H359)</f>
        <v>0</v>
      </c>
      <c r="I334" s="343"/>
      <c r="J334" s="1012">
        <f>SUM(J335:J358)</f>
        <v>7.4449629999999996</v>
      </c>
      <c r="K334" s="670"/>
      <c r="L334" s="670"/>
      <c r="M334" s="670"/>
      <c r="N334" s="670"/>
      <c r="O334" s="670"/>
      <c r="P334" s="670"/>
      <c r="Q334" s="670"/>
      <c r="R334" s="670"/>
      <c r="S334" s="670"/>
      <c r="T334" s="670"/>
    </row>
    <row r="335" spans="1:20" s="22" customFormat="1" ht="46.5" customHeight="1">
      <c r="A335" s="190"/>
      <c r="B335" s="191"/>
      <c r="C335" s="316" t="s">
        <v>2738</v>
      </c>
      <c r="D335" s="964"/>
      <c r="E335" s="192"/>
      <c r="F335" s="345"/>
      <c r="G335" s="345"/>
      <c r="H335" s="345"/>
      <c r="I335" s="346"/>
      <c r="J335" s="347"/>
      <c r="K335" s="693"/>
      <c r="L335" s="693"/>
      <c r="M335" s="693"/>
      <c r="N335" s="693"/>
      <c r="O335" s="693"/>
      <c r="P335" s="693"/>
      <c r="Q335" s="694"/>
      <c r="R335" s="509"/>
      <c r="S335" s="509"/>
      <c r="T335" s="509"/>
    </row>
    <row r="336" spans="1:20" s="22" customFormat="1" ht="18.75" customHeight="1">
      <c r="A336" s="196" t="s">
        <v>2739</v>
      </c>
      <c r="B336" s="197" t="s">
        <v>2740</v>
      </c>
      <c r="C336" s="199" t="s">
        <v>446</v>
      </c>
      <c r="D336" s="917" t="s">
        <v>447</v>
      </c>
      <c r="E336" s="198" t="s">
        <v>1826</v>
      </c>
      <c r="F336" s="332">
        <v>129.1</v>
      </c>
      <c r="G336" s="332"/>
      <c r="H336" s="332">
        <f aca="true" t="shared" si="24" ref="H336:H354">F336*G336</f>
        <v>0</v>
      </c>
      <c r="I336" s="333">
        <v>0.00301</v>
      </c>
      <c r="J336" s="334">
        <f aca="true" t="shared" si="25" ref="J336:J354">F336*I336</f>
        <v>0.388591</v>
      </c>
      <c r="K336" s="693"/>
      <c r="L336" s="693"/>
      <c r="M336" s="693"/>
      <c r="N336" s="693"/>
      <c r="O336" s="693"/>
      <c r="P336" s="693"/>
      <c r="Q336" s="694"/>
      <c r="R336" s="509"/>
      <c r="S336" s="509"/>
      <c r="T336" s="509"/>
    </row>
    <row r="337" spans="1:20" s="22" customFormat="1" ht="18.75" customHeight="1">
      <c r="A337" s="196" t="s">
        <v>448</v>
      </c>
      <c r="B337" s="197" t="s">
        <v>513</v>
      </c>
      <c r="C337" s="199" t="s">
        <v>514</v>
      </c>
      <c r="D337" s="917" t="s">
        <v>447</v>
      </c>
      <c r="E337" s="198" t="s">
        <v>1826</v>
      </c>
      <c r="F337" s="332">
        <v>7.5</v>
      </c>
      <c r="G337" s="332"/>
      <c r="H337" s="332">
        <f t="shared" si="24"/>
        <v>0</v>
      </c>
      <c r="I337" s="333">
        <v>0.00383</v>
      </c>
      <c r="J337" s="334">
        <f t="shared" si="25"/>
        <v>0.028725</v>
      </c>
      <c r="K337" s="509"/>
      <c r="L337" s="509"/>
      <c r="M337" s="509"/>
      <c r="N337" s="509"/>
      <c r="O337" s="509"/>
      <c r="P337" s="509"/>
      <c r="Q337" s="509"/>
      <c r="R337" s="509"/>
      <c r="S337" s="509"/>
      <c r="T337" s="509"/>
    </row>
    <row r="338" spans="1:20" s="22" customFormat="1" ht="18.75" customHeight="1">
      <c r="A338" s="196" t="s">
        <v>452</v>
      </c>
      <c r="B338" s="197" t="s">
        <v>1006</v>
      </c>
      <c r="C338" s="199" t="s">
        <v>1007</v>
      </c>
      <c r="D338" s="917" t="s">
        <v>1008</v>
      </c>
      <c r="E338" s="198" t="s">
        <v>1826</v>
      </c>
      <c r="F338" s="332">
        <v>5.8</v>
      </c>
      <c r="G338" s="332"/>
      <c r="H338" s="332">
        <f t="shared" si="24"/>
        <v>0</v>
      </c>
      <c r="I338" s="333">
        <v>0.00347</v>
      </c>
      <c r="J338" s="334">
        <f t="shared" si="25"/>
        <v>0.020125999999999998</v>
      </c>
      <c r="K338" s="693"/>
      <c r="L338" s="693"/>
      <c r="M338" s="693"/>
      <c r="N338" s="693"/>
      <c r="O338" s="693"/>
      <c r="P338" s="693"/>
      <c r="Q338" s="694"/>
      <c r="R338" s="509"/>
      <c r="S338" s="509"/>
      <c r="T338" s="509"/>
    </row>
    <row r="339" spans="1:21" s="22" customFormat="1" ht="18.75" customHeight="1">
      <c r="A339" s="196" t="s">
        <v>456</v>
      </c>
      <c r="B339" s="197" t="s">
        <v>449</v>
      </c>
      <c r="C339" s="199" t="s">
        <v>790</v>
      </c>
      <c r="D339" s="917" t="s">
        <v>451</v>
      </c>
      <c r="E339" s="198" t="s">
        <v>1826</v>
      </c>
      <c r="F339" s="332">
        <v>68.8</v>
      </c>
      <c r="G339" s="332"/>
      <c r="H339" s="332">
        <f t="shared" si="24"/>
        <v>0</v>
      </c>
      <c r="I339" s="333">
        <v>0.00295</v>
      </c>
      <c r="J339" s="334">
        <f t="shared" si="25"/>
        <v>0.20295999999999997</v>
      </c>
      <c r="K339" s="509"/>
      <c r="L339" s="585"/>
      <c r="M339" s="585"/>
      <c r="N339" s="585"/>
      <c r="O339" s="585"/>
      <c r="P339" s="585"/>
      <c r="Q339" s="585"/>
      <c r="R339" s="585"/>
      <c r="S339" s="585"/>
      <c r="T339" s="585"/>
      <c r="U339" s="777"/>
    </row>
    <row r="340" spans="1:20" s="22" customFormat="1" ht="18.75" customHeight="1">
      <c r="A340" s="196" t="s">
        <v>460</v>
      </c>
      <c r="B340" s="197" t="s">
        <v>491</v>
      </c>
      <c r="C340" s="199" t="s">
        <v>492</v>
      </c>
      <c r="D340" s="917" t="s">
        <v>791</v>
      </c>
      <c r="E340" s="198" t="s">
        <v>1826</v>
      </c>
      <c r="F340" s="332">
        <v>102.4</v>
      </c>
      <c r="G340" s="332"/>
      <c r="H340" s="332">
        <f t="shared" si="24"/>
        <v>0</v>
      </c>
      <c r="I340" s="333">
        <v>0.00339</v>
      </c>
      <c r="J340" s="334">
        <f t="shared" si="25"/>
        <v>0.347136</v>
      </c>
      <c r="K340" s="509"/>
      <c r="L340" s="509"/>
      <c r="M340" s="509"/>
      <c r="N340" s="509"/>
      <c r="O340" s="509"/>
      <c r="P340" s="509"/>
      <c r="Q340" s="509"/>
      <c r="R340" s="509"/>
      <c r="S340" s="509"/>
      <c r="T340" s="509"/>
    </row>
    <row r="341" spans="1:20" s="22" customFormat="1" ht="18.75" customHeight="1">
      <c r="A341" s="196" t="s">
        <v>464</v>
      </c>
      <c r="B341" s="197" t="s">
        <v>517</v>
      </c>
      <c r="C341" s="199" t="s">
        <v>518</v>
      </c>
      <c r="D341" s="917" t="s">
        <v>1009</v>
      </c>
      <c r="E341" s="198" t="s">
        <v>1826</v>
      </c>
      <c r="F341" s="332">
        <v>6</v>
      </c>
      <c r="G341" s="332"/>
      <c r="H341" s="332">
        <f t="shared" si="24"/>
        <v>0</v>
      </c>
      <c r="I341" s="333">
        <v>0.00267</v>
      </c>
      <c r="J341" s="334">
        <f t="shared" si="25"/>
        <v>0.01602</v>
      </c>
      <c r="K341" s="509"/>
      <c r="L341" s="509"/>
      <c r="M341" s="509"/>
      <c r="N341" s="509"/>
      <c r="O341" s="509"/>
      <c r="P341" s="509"/>
      <c r="Q341" s="509"/>
      <c r="R341" s="509"/>
      <c r="S341" s="509"/>
      <c r="T341" s="509"/>
    </row>
    <row r="342" spans="1:20" s="22" customFormat="1" ht="18.75" customHeight="1">
      <c r="A342" s="196" t="s">
        <v>468</v>
      </c>
      <c r="B342" s="197" t="s">
        <v>1010</v>
      </c>
      <c r="C342" s="199" t="s">
        <v>1011</v>
      </c>
      <c r="D342" s="917" t="s">
        <v>1012</v>
      </c>
      <c r="E342" s="198" t="s">
        <v>1826</v>
      </c>
      <c r="F342" s="332">
        <v>86.5</v>
      </c>
      <c r="G342" s="332"/>
      <c r="H342" s="332">
        <f t="shared" si="24"/>
        <v>0</v>
      </c>
      <c r="I342" s="333">
        <v>0.00376</v>
      </c>
      <c r="J342" s="334">
        <f t="shared" si="25"/>
        <v>0.32524</v>
      </c>
      <c r="K342" s="509"/>
      <c r="L342" s="509"/>
      <c r="M342" s="509"/>
      <c r="N342" s="509"/>
      <c r="O342" s="509"/>
      <c r="P342" s="509"/>
      <c r="Q342" s="509"/>
      <c r="R342" s="509"/>
      <c r="S342" s="509"/>
      <c r="T342" s="509"/>
    </row>
    <row r="343" spans="1:20" s="22" customFormat="1" ht="18.75" customHeight="1">
      <c r="A343" s="196" t="s">
        <v>471</v>
      </c>
      <c r="B343" s="197" t="s">
        <v>1013</v>
      </c>
      <c r="C343" s="246" t="s">
        <v>1014</v>
      </c>
      <c r="D343" s="917" t="s">
        <v>1015</v>
      </c>
      <c r="E343" s="198" t="s">
        <v>1826</v>
      </c>
      <c r="F343" s="332">
        <v>83.5</v>
      </c>
      <c r="G343" s="332"/>
      <c r="H343" s="332">
        <f t="shared" si="24"/>
        <v>0</v>
      </c>
      <c r="I343" s="333">
        <v>0.00435</v>
      </c>
      <c r="J343" s="334">
        <f t="shared" si="25"/>
        <v>0.36322499999999996</v>
      </c>
      <c r="K343" s="509"/>
      <c r="L343" s="509"/>
      <c r="M343" s="509"/>
      <c r="N343" s="509"/>
      <c r="O343" s="509"/>
      <c r="P343" s="509"/>
      <c r="Q343" s="509"/>
      <c r="R343" s="509"/>
      <c r="S343" s="509"/>
      <c r="T343" s="509"/>
    </row>
    <row r="344" spans="1:20" s="22" customFormat="1" ht="18.75" customHeight="1">
      <c r="A344" s="196" t="s">
        <v>474</v>
      </c>
      <c r="B344" s="197" t="s">
        <v>521</v>
      </c>
      <c r="C344" s="246" t="s">
        <v>522</v>
      </c>
      <c r="D344" s="917" t="s">
        <v>1016</v>
      </c>
      <c r="E344" s="198" t="s">
        <v>1826</v>
      </c>
      <c r="F344" s="332">
        <v>63.5</v>
      </c>
      <c r="G344" s="332"/>
      <c r="H344" s="332">
        <f t="shared" si="24"/>
        <v>0</v>
      </c>
      <c r="I344" s="333">
        <v>0.0038</v>
      </c>
      <c r="J344" s="334">
        <f t="shared" si="25"/>
        <v>0.2413</v>
      </c>
      <c r="K344" s="509"/>
      <c r="L344" s="509"/>
      <c r="M344" s="509"/>
      <c r="N344" s="509"/>
      <c r="O344" s="509"/>
      <c r="P344" s="509"/>
      <c r="Q344" s="509"/>
      <c r="R344" s="509"/>
      <c r="S344" s="509"/>
      <c r="T344" s="509"/>
    </row>
    <row r="345" spans="1:20" s="22" customFormat="1" ht="30.75" customHeight="1">
      <c r="A345" s="196" t="s">
        <v>478</v>
      </c>
      <c r="B345" s="197" t="s">
        <v>498</v>
      </c>
      <c r="C345" s="246" t="s">
        <v>1017</v>
      </c>
      <c r="D345" s="917" t="s">
        <v>1018</v>
      </c>
      <c r="E345" s="198" t="s">
        <v>1826</v>
      </c>
      <c r="F345" s="332">
        <v>21.5</v>
      </c>
      <c r="G345" s="332"/>
      <c r="H345" s="332">
        <f t="shared" si="24"/>
        <v>0</v>
      </c>
      <c r="I345" s="333">
        <v>0.00489</v>
      </c>
      <c r="J345" s="334">
        <f t="shared" si="25"/>
        <v>0.105135</v>
      </c>
      <c r="K345" s="509"/>
      <c r="L345" s="509"/>
      <c r="M345" s="509"/>
      <c r="N345" s="509"/>
      <c r="O345" s="509"/>
      <c r="P345" s="509"/>
      <c r="Q345" s="509"/>
      <c r="R345" s="509"/>
      <c r="S345" s="509"/>
      <c r="T345" s="509"/>
    </row>
    <row r="346" spans="1:20" s="22" customFormat="1" ht="18.75" customHeight="1">
      <c r="A346" s="196" t="s">
        <v>482</v>
      </c>
      <c r="B346" s="197" t="s">
        <v>792</v>
      </c>
      <c r="C346" s="246" t="s">
        <v>793</v>
      </c>
      <c r="D346" s="917" t="s">
        <v>794</v>
      </c>
      <c r="E346" s="198" t="s">
        <v>1826</v>
      </c>
      <c r="F346" s="332">
        <v>66.5</v>
      </c>
      <c r="G346" s="332"/>
      <c r="H346" s="332">
        <f t="shared" si="24"/>
        <v>0</v>
      </c>
      <c r="I346" s="333">
        <v>0.00363</v>
      </c>
      <c r="J346" s="334">
        <f t="shared" si="25"/>
        <v>0.241395</v>
      </c>
      <c r="K346" s="509"/>
      <c r="L346" s="509"/>
      <c r="M346" s="509"/>
      <c r="N346" s="509"/>
      <c r="O346" s="509"/>
      <c r="P346" s="509"/>
      <c r="Q346" s="509"/>
      <c r="R346" s="509"/>
      <c r="S346" s="509"/>
      <c r="T346" s="509"/>
    </row>
    <row r="347" spans="1:20" s="22" customFormat="1" ht="18.75" customHeight="1">
      <c r="A347" s="196" t="s">
        <v>486</v>
      </c>
      <c r="B347" s="197" t="s">
        <v>453</v>
      </c>
      <c r="C347" s="246" t="s">
        <v>454</v>
      </c>
      <c r="D347" s="917" t="s">
        <v>455</v>
      </c>
      <c r="E347" s="198" t="s">
        <v>1826</v>
      </c>
      <c r="F347" s="332">
        <v>54</v>
      </c>
      <c r="G347" s="332"/>
      <c r="H347" s="332">
        <f t="shared" si="24"/>
        <v>0</v>
      </c>
      <c r="I347" s="333">
        <v>0.00315</v>
      </c>
      <c r="J347" s="334">
        <f t="shared" si="25"/>
        <v>0.1701</v>
      </c>
      <c r="K347" s="509"/>
      <c r="L347" s="509"/>
      <c r="M347" s="509"/>
      <c r="N347" s="509"/>
      <c r="O347" s="509"/>
      <c r="P347" s="509"/>
      <c r="Q347" s="509"/>
      <c r="R347" s="509"/>
      <c r="S347" s="509"/>
      <c r="T347" s="509"/>
    </row>
    <row r="348" spans="1:20" s="22" customFormat="1" ht="18.75" customHeight="1">
      <c r="A348" s="196" t="s">
        <v>490</v>
      </c>
      <c r="B348" s="197" t="s">
        <v>1019</v>
      </c>
      <c r="C348" s="246" t="s">
        <v>1020</v>
      </c>
      <c r="D348" s="917" t="s">
        <v>1021</v>
      </c>
      <c r="E348" s="198" t="s">
        <v>1831</v>
      </c>
      <c r="F348" s="332">
        <v>1</v>
      </c>
      <c r="G348" s="332"/>
      <c r="H348" s="332">
        <f t="shared" si="24"/>
        <v>0</v>
      </c>
      <c r="I348" s="333">
        <v>0</v>
      </c>
      <c r="J348" s="334">
        <f t="shared" si="25"/>
        <v>0</v>
      </c>
      <c r="K348" s="693"/>
      <c r="L348" s="693"/>
      <c r="M348" s="693"/>
      <c r="N348" s="693"/>
      <c r="O348" s="693"/>
      <c r="P348" s="693"/>
      <c r="Q348" s="694"/>
      <c r="R348" s="509"/>
      <c r="S348" s="509"/>
      <c r="T348" s="509"/>
    </row>
    <row r="349" spans="1:20" s="22" customFormat="1" ht="18.75" customHeight="1">
      <c r="A349" s="196" t="s">
        <v>494</v>
      </c>
      <c r="B349" s="197" t="s">
        <v>1022</v>
      </c>
      <c r="C349" s="246" t="s">
        <v>1023</v>
      </c>
      <c r="D349" s="917" t="s">
        <v>1021</v>
      </c>
      <c r="E349" s="198" t="s">
        <v>1831</v>
      </c>
      <c r="F349" s="332">
        <v>1</v>
      </c>
      <c r="G349" s="332"/>
      <c r="H349" s="332">
        <f t="shared" si="24"/>
        <v>0</v>
      </c>
      <c r="I349" s="333">
        <v>0.0165</v>
      </c>
      <c r="J349" s="334">
        <f t="shared" si="25"/>
        <v>0.0165</v>
      </c>
      <c r="K349" s="693"/>
      <c r="L349" s="693"/>
      <c r="M349" s="693"/>
      <c r="N349" s="693"/>
      <c r="O349" s="693"/>
      <c r="P349" s="693"/>
      <c r="Q349" s="694"/>
      <c r="R349" s="509"/>
      <c r="S349" s="509"/>
      <c r="T349" s="509"/>
    </row>
    <row r="350" spans="1:20" s="22" customFormat="1" ht="18.75" customHeight="1">
      <c r="A350" s="196" t="s">
        <v>497</v>
      </c>
      <c r="B350" s="197" t="s">
        <v>457</v>
      </c>
      <c r="C350" s="246" t="s">
        <v>458</v>
      </c>
      <c r="D350" s="917" t="s">
        <v>459</v>
      </c>
      <c r="E350" s="198" t="s">
        <v>1826</v>
      </c>
      <c r="F350" s="332">
        <v>3</v>
      </c>
      <c r="G350" s="332"/>
      <c r="H350" s="332">
        <f t="shared" si="24"/>
        <v>0</v>
      </c>
      <c r="I350" s="333">
        <v>0.00376</v>
      </c>
      <c r="J350" s="334">
        <f t="shared" si="25"/>
        <v>0.01128</v>
      </c>
      <c r="K350" s="509"/>
      <c r="L350" s="585"/>
      <c r="M350" s="585"/>
      <c r="N350" s="585"/>
      <c r="O350" s="585"/>
      <c r="P350" s="585"/>
      <c r="Q350" s="585"/>
      <c r="R350" s="509"/>
      <c r="S350" s="509"/>
      <c r="T350" s="509"/>
    </row>
    <row r="351" spans="1:20" s="22" customFormat="1" ht="18.75" customHeight="1">
      <c r="A351" s="196" t="s">
        <v>501</v>
      </c>
      <c r="B351" s="197" t="s">
        <v>461</v>
      </c>
      <c r="C351" s="246" t="s">
        <v>1024</v>
      </c>
      <c r="D351" s="917" t="s">
        <v>463</v>
      </c>
      <c r="E351" s="198" t="s">
        <v>1826</v>
      </c>
      <c r="F351" s="332">
        <v>26.2</v>
      </c>
      <c r="G351" s="332"/>
      <c r="H351" s="332">
        <f t="shared" si="24"/>
        <v>0</v>
      </c>
      <c r="I351" s="333">
        <v>0.00285</v>
      </c>
      <c r="J351" s="334">
        <f t="shared" si="25"/>
        <v>0.07467</v>
      </c>
      <c r="K351" s="509"/>
      <c r="L351" s="585"/>
      <c r="M351" s="509"/>
      <c r="N351" s="509"/>
      <c r="O351" s="509"/>
      <c r="P351" s="509"/>
      <c r="Q351" s="509"/>
      <c r="R351" s="509"/>
      <c r="S351" s="509"/>
      <c r="T351" s="509"/>
    </row>
    <row r="352" spans="1:20" s="22" customFormat="1" ht="18.75" customHeight="1">
      <c r="A352" s="196" t="s">
        <v>502</v>
      </c>
      <c r="B352" s="197" t="s">
        <v>465</v>
      </c>
      <c r="C352" s="246" t="s">
        <v>466</v>
      </c>
      <c r="D352" s="917" t="s">
        <v>467</v>
      </c>
      <c r="E352" s="198" t="s">
        <v>1826</v>
      </c>
      <c r="F352" s="332">
        <v>16.2</v>
      </c>
      <c r="G352" s="332"/>
      <c r="H352" s="332">
        <f t="shared" si="24"/>
        <v>0</v>
      </c>
      <c r="I352" s="333">
        <v>0.00145</v>
      </c>
      <c r="J352" s="334">
        <f t="shared" si="25"/>
        <v>0.023489999999999997</v>
      </c>
      <c r="K352" s="509"/>
      <c r="L352" s="509"/>
      <c r="M352" s="509"/>
      <c r="N352" s="509"/>
      <c r="O352" s="509"/>
      <c r="P352" s="509"/>
      <c r="Q352" s="509"/>
      <c r="R352" s="509"/>
      <c r="S352" s="509"/>
      <c r="T352" s="509"/>
    </row>
    <row r="353" spans="1:20" s="22" customFormat="1" ht="18.75" customHeight="1">
      <c r="A353" s="196" t="s">
        <v>505</v>
      </c>
      <c r="B353" s="197" t="s">
        <v>469</v>
      </c>
      <c r="C353" s="199" t="s">
        <v>470</v>
      </c>
      <c r="D353" s="917"/>
      <c r="E353" s="198" t="s">
        <v>1748</v>
      </c>
      <c r="F353" s="332">
        <v>5.38</v>
      </c>
      <c r="G353" s="332"/>
      <c r="H353" s="332">
        <f t="shared" si="24"/>
        <v>0</v>
      </c>
      <c r="I353" s="333">
        <v>0</v>
      </c>
      <c r="J353" s="334">
        <f t="shared" si="25"/>
        <v>0</v>
      </c>
      <c r="K353" s="509"/>
      <c r="L353" s="509"/>
      <c r="M353" s="509"/>
      <c r="N353" s="509"/>
      <c r="O353" s="509"/>
      <c r="P353" s="509"/>
      <c r="Q353" s="509"/>
      <c r="R353" s="509"/>
      <c r="S353" s="509"/>
      <c r="T353" s="509"/>
    </row>
    <row r="354" spans="1:20" s="22" customFormat="1" ht="18.75" customHeight="1">
      <c r="A354" s="196" t="s">
        <v>508</v>
      </c>
      <c r="B354" s="197" t="s">
        <v>472</v>
      </c>
      <c r="C354" s="199" t="s">
        <v>473</v>
      </c>
      <c r="D354" s="917" t="s">
        <v>2636</v>
      </c>
      <c r="E354" s="198" t="s">
        <v>1748</v>
      </c>
      <c r="F354" s="332">
        <v>5.38</v>
      </c>
      <c r="G354" s="332"/>
      <c r="H354" s="332">
        <f t="shared" si="24"/>
        <v>0</v>
      </c>
      <c r="I354" s="333">
        <v>0.0048</v>
      </c>
      <c r="J354" s="334">
        <f t="shared" si="25"/>
        <v>0.025823999999999996</v>
      </c>
      <c r="K354" s="509"/>
      <c r="L354" s="509"/>
      <c r="M354" s="509"/>
      <c r="N354" s="509"/>
      <c r="O354" s="509"/>
      <c r="P354" s="509"/>
      <c r="Q354" s="509"/>
      <c r="R354" s="509"/>
      <c r="S354" s="509"/>
      <c r="T354" s="509"/>
    </row>
    <row r="355" spans="1:20" s="22" customFormat="1" ht="18.75" customHeight="1">
      <c r="A355" s="196" t="s">
        <v>512</v>
      </c>
      <c r="B355" s="197" t="s">
        <v>475</v>
      </c>
      <c r="C355" s="199" t="s">
        <v>476</v>
      </c>
      <c r="D355" s="917" t="s">
        <v>477</v>
      </c>
      <c r="E355" s="198" t="s">
        <v>1748</v>
      </c>
      <c r="F355" s="332">
        <v>3.72</v>
      </c>
      <c r="G355" s="332"/>
      <c r="H355" s="332">
        <f>F355*G355</f>
        <v>0</v>
      </c>
      <c r="I355" s="333">
        <v>0.0098</v>
      </c>
      <c r="J355" s="334">
        <f>F355*I355</f>
        <v>0.036456</v>
      </c>
      <c r="K355" s="509"/>
      <c r="L355" s="509"/>
      <c r="M355" s="509"/>
      <c r="N355" s="509"/>
      <c r="O355" s="509"/>
      <c r="P355" s="509"/>
      <c r="Q355" s="509"/>
      <c r="R355" s="509"/>
      <c r="S355" s="509"/>
      <c r="T355" s="509"/>
    </row>
    <row r="356" spans="1:20" s="22" customFormat="1" ht="18.75" customHeight="1">
      <c r="A356" s="196" t="s">
        <v>516</v>
      </c>
      <c r="B356" s="197" t="s">
        <v>525</v>
      </c>
      <c r="C356" s="199" t="s">
        <v>526</v>
      </c>
      <c r="D356" s="917" t="s">
        <v>2525</v>
      </c>
      <c r="E356" s="198" t="s">
        <v>1831</v>
      </c>
      <c r="F356" s="332">
        <v>4</v>
      </c>
      <c r="G356" s="332"/>
      <c r="H356" s="332">
        <f>F356*G356</f>
        <v>0</v>
      </c>
      <c r="I356" s="333">
        <v>0.00801</v>
      </c>
      <c r="J356" s="334">
        <f>F356*I356</f>
        <v>0.03204</v>
      </c>
      <c r="K356" s="509"/>
      <c r="L356" s="509"/>
      <c r="M356" s="509"/>
      <c r="N356" s="509"/>
      <c r="O356" s="509"/>
      <c r="P356" s="509"/>
      <c r="Q356" s="509"/>
      <c r="R356" s="509"/>
      <c r="S356" s="509"/>
      <c r="T356" s="509"/>
    </row>
    <row r="357" spans="1:20" s="22" customFormat="1" ht="27.75" customHeight="1">
      <c r="A357" s="196" t="s">
        <v>520</v>
      </c>
      <c r="B357" s="197" t="s">
        <v>1025</v>
      </c>
      <c r="C357" s="199" t="s">
        <v>1026</v>
      </c>
      <c r="D357" s="917"/>
      <c r="E357" s="198" t="s">
        <v>1826</v>
      </c>
      <c r="F357" s="332">
        <v>16.8</v>
      </c>
      <c r="G357" s="332"/>
      <c r="H357" s="332">
        <f>F357*G357</f>
        <v>0</v>
      </c>
      <c r="I357" s="333">
        <v>0.27575</v>
      </c>
      <c r="J357" s="334">
        <f>F357*I357</f>
        <v>4.6326</v>
      </c>
      <c r="K357" s="509"/>
      <c r="L357" s="509"/>
      <c r="M357" s="509"/>
      <c r="N357" s="509"/>
      <c r="O357" s="509"/>
      <c r="P357" s="509"/>
      <c r="Q357" s="509"/>
      <c r="R357" s="509"/>
      <c r="S357" s="509"/>
      <c r="T357" s="509"/>
    </row>
    <row r="358" spans="1:20" s="22" customFormat="1" ht="18.75" customHeight="1">
      <c r="A358" s="196" t="s">
        <v>524</v>
      </c>
      <c r="B358" s="197" t="s">
        <v>1027</v>
      </c>
      <c r="C358" s="199" t="s">
        <v>1028</v>
      </c>
      <c r="D358" s="917"/>
      <c r="E358" s="198" t="s">
        <v>1718</v>
      </c>
      <c r="F358" s="332">
        <v>1</v>
      </c>
      <c r="G358" s="332"/>
      <c r="H358" s="332">
        <f>F358*G358</f>
        <v>0</v>
      </c>
      <c r="I358" s="333">
        <v>0.14215</v>
      </c>
      <c r="J358" s="334">
        <f>F358*I358</f>
        <v>0.14215</v>
      </c>
      <c r="K358" s="509"/>
      <c r="L358" s="509"/>
      <c r="M358" s="509"/>
      <c r="N358" s="509"/>
      <c r="O358" s="509"/>
      <c r="P358" s="509"/>
      <c r="Q358" s="509"/>
      <c r="R358" s="509"/>
      <c r="S358" s="509"/>
      <c r="T358" s="509"/>
    </row>
    <row r="359" spans="1:20" s="22" customFormat="1" ht="18.75" customHeight="1" thickBot="1">
      <c r="A359" s="196" t="s">
        <v>527</v>
      </c>
      <c r="B359" s="256" t="s">
        <v>533</v>
      </c>
      <c r="C359" s="264" t="s">
        <v>534</v>
      </c>
      <c r="D359" s="968"/>
      <c r="E359" s="257" t="s">
        <v>1783</v>
      </c>
      <c r="F359" s="368">
        <f>J334</f>
        <v>7.4449629999999996</v>
      </c>
      <c r="G359" s="368"/>
      <c r="H359" s="368">
        <f>F359*G359</f>
        <v>0</v>
      </c>
      <c r="I359" s="369">
        <v>0</v>
      </c>
      <c r="J359" s="370">
        <f>F359*I359</f>
        <v>0</v>
      </c>
      <c r="K359" s="509"/>
      <c r="L359" s="509">
        <f aca="true" t="shared" si="26" ref="L359:Q359">SUM(L350:L356)</f>
        <v>0</v>
      </c>
      <c r="M359" s="509">
        <f t="shared" si="26"/>
        <v>0</v>
      </c>
      <c r="N359" s="509">
        <f t="shared" si="26"/>
        <v>0</v>
      </c>
      <c r="O359" s="509">
        <f t="shared" si="26"/>
        <v>0</v>
      </c>
      <c r="P359" s="509">
        <f t="shared" si="26"/>
        <v>0</v>
      </c>
      <c r="Q359" s="509">
        <f t="shared" si="26"/>
        <v>0</v>
      </c>
      <c r="R359" s="509"/>
      <c r="S359" s="509"/>
      <c r="T359" s="509"/>
    </row>
    <row r="360" spans="1:20" ht="16.5" customHeight="1" thickBot="1">
      <c r="A360" s="266" t="s">
        <v>535</v>
      </c>
      <c r="B360" s="175" t="s">
        <v>536</v>
      </c>
      <c r="C360" s="176" t="s">
        <v>537</v>
      </c>
      <c r="D360" s="1008"/>
      <c r="E360" s="175"/>
      <c r="F360" s="341"/>
      <c r="G360" s="341"/>
      <c r="H360" s="342">
        <f>SUM(H361:H382)</f>
        <v>0</v>
      </c>
      <c r="I360" s="343"/>
      <c r="J360" s="344">
        <f>SUM(J361:J381)</f>
        <v>1.2753252</v>
      </c>
      <c r="K360" s="670"/>
      <c r="L360" s="670"/>
      <c r="M360" s="670"/>
      <c r="N360" s="670"/>
      <c r="O360" s="670"/>
      <c r="P360" s="670"/>
      <c r="Q360" s="670"/>
      <c r="R360" s="670"/>
      <c r="S360" s="670"/>
      <c r="T360" s="670"/>
    </row>
    <row r="361" spans="1:20" s="324" customFormat="1" ht="33" customHeight="1">
      <c r="A361" s="320"/>
      <c r="B361" s="321"/>
      <c r="C361" s="316" t="s">
        <v>1029</v>
      </c>
      <c r="D361" s="991"/>
      <c r="E361" s="322"/>
      <c r="F361" s="416"/>
      <c r="G361" s="416"/>
      <c r="H361" s="416"/>
      <c r="I361" s="417"/>
      <c r="J361" s="418"/>
      <c r="K361" s="672"/>
      <c r="L361" s="672"/>
      <c r="M361" s="672"/>
      <c r="N361" s="672"/>
      <c r="O361" s="672"/>
      <c r="P361" s="672"/>
      <c r="Q361" s="673"/>
      <c r="R361" s="508"/>
      <c r="S361" s="508"/>
      <c r="T361" s="508"/>
    </row>
    <row r="362" spans="1:20" s="22" customFormat="1" ht="18.75" customHeight="1">
      <c r="A362" s="196" t="s">
        <v>538</v>
      </c>
      <c r="B362" s="197" t="s">
        <v>1030</v>
      </c>
      <c r="C362" s="199" t="s">
        <v>1031</v>
      </c>
      <c r="D362" s="917"/>
      <c r="E362" s="198" t="s">
        <v>1826</v>
      </c>
      <c r="F362" s="332">
        <f>SUM(F363:F367)</f>
        <v>20.42</v>
      </c>
      <c r="G362" s="332"/>
      <c r="H362" s="332">
        <f aca="true" t="shared" si="27" ref="H362:H372">F362*G362</f>
        <v>0</v>
      </c>
      <c r="I362" s="333">
        <v>6E-05</v>
      </c>
      <c r="J362" s="334">
        <f aca="true" t="shared" si="28" ref="J362:J372">F362*I362</f>
        <v>0.0012252</v>
      </c>
      <c r="K362" s="693"/>
      <c r="L362" s="693"/>
      <c r="M362" s="693"/>
      <c r="N362" s="693"/>
      <c r="O362" s="693"/>
      <c r="P362" s="693"/>
      <c r="Q362" s="694"/>
      <c r="R362" s="509"/>
      <c r="S362" s="509"/>
      <c r="T362" s="509"/>
    </row>
    <row r="363" spans="1:20" s="22" customFormat="1" ht="26.25" customHeight="1">
      <c r="A363" s="196" t="s">
        <v>542</v>
      </c>
      <c r="B363" s="197" t="s">
        <v>1032</v>
      </c>
      <c r="C363" s="199" t="s">
        <v>1033</v>
      </c>
      <c r="D363" s="917" t="s">
        <v>1034</v>
      </c>
      <c r="E363" s="198" t="s">
        <v>1826</v>
      </c>
      <c r="F363" s="332">
        <v>3</v>
      </c>
      <c r="G363" s="332"/>
      <c r="H363" s="332">
        <f t="shared" si="27"/>
        <v>0</v>
      </c>
      <c r="I363" s="333">
        <v>0.03</v>
      </c>
      <c r="J363" s="334">
        <f t="shared" si="28"/>
        <v>0.09</v>
      </c>
      <c r="K363" s="693"/>
      <c r="L363" s="693"/>
      <c r="M363" s="693"/>
      <c r="N363" s="693"/>
      <c r="O363" s="693"/>
      <c r="P363" s="693"/>
      <c r="Q363" s="694"/>
      <c r="R363" s="509"/>
      <c r="S363" s="509"/>
      <c r="T363" s="509"/>
    </row>
    <row r="364" spans="1:20" s="22" customFormat="1" ht="26.25" customHeight="1">
      <c r="A364" s="196" t="s">
        <v>545</v>
      </c>
      <c r="B364" s="197" t="s">
        <v>1035</v>
      </c>
      <c r="C364" s="199" t="s">
        <v>1033</v>
      </c>
      <c r="D364" s="917" t="s">
        <v>1036</v>
      </c>
      <c r="E364" s="198" t="s">
        <v>1826</v>
      </c>
      <c r="F364" s="332">
        <v>4.35</v>
      </c>
      <c r="G364" s="332"/>
      <c r="H364" s="332">
        <f t="shared" si="27"/>
        <v>0</v>
      </c>
      <c r="I364" s="333">
        <v>0.03</v>
      </c>
      <c r="J364" s="334">
        <f t="shared" si="28"/>
        <v>0.13049999999999998</v>
      </c>
      <c r="K364" s="693"/>
      <c r="L364" s="693"/>
      <c r="M364" s="693"/>
      <c r="N364" s="693"/>
      <c r="O364" s="693"/>
      <c r="P364" s="693"/>
      <c r="Q364" s="694"/>
      <c r="R364" s="509"/>
      <c r="S364" s="509"/>
      <c r="T364" s="509"/>
    </row>
    <row r="365" spans="1:20" s="22" customFormat="1" ht="26.25" customHeight="1">
      <c r="A365" s="196" t="s">
        <v>547</v>
      </c>
      <c r="B365" s="197" t="s">
        <v>1037</v>
      </c>
      <c r="C365" s="199" t="s">
        <v>1033</v>
      </c>
      <c r="D365" s="917" t="s">
        <v>1038</v>
      </c>
      <c r="E365" s="198" t="s">
        <v>1826</v>
      </c>
      <c r="F365" s="332">
        <v>5.52</v>
      </c>
      <c r="G365" s="332"/>
      <c r="H365" s="332">
        <f t="shared" si="27"/>
        <v>0</v>
      </c>
      <c r="I365" s="333">
        <v>0.03</v>
      </c>
      <c r="J365" s="334">
        <f t="shared" si="28"/>
        <v>0.16559999999999997</v>
      </c>
      <c r="K365" s="693"/>
      <c r="L365" s="693"/>
      <c r="M365" s="693"/>
      <c r="N365" s="693"/>
      <c r="O365" s="693"/>
      <c r="P365" s="693"/>
      <c r="Q365" s="694"/>
      <c r="R365" s="509"/>
      <c r="S365" s="509"/>
      <c r="T365" s="509"/>
    </row>
    <row r="366" spans="1:20" s="22" customFormat="1" ht="26.25" customHeight="1">
      <c r="A366" s="196" t="s">
        <v>550</v>
      </c>
      <c r="B366" s="197" t="s">
        <v>1039</v>
      </c>
      <c r="C366" s="199" t="s">
        <v>1033</v>
      </c>
      <c r="D366" s="917" t="s">
        <v>1040</v>
      </c>
      <c r="E366" s="198" t="s">
        <v>1826</v>
      </c>
      <c r="F366" s="332">
        <v>3.95</v>
      </c>
      <c r="G366" s="332"/>
      <c r="H366" s="332">
        <f t="shared" si="27"/>
        <v>0</v>
      </c>
      <c r="I366" s="333">
        <v>0.03</v>
      </c>
      <c r="J366" s="334">
        <f t="shared" si="28"/>
        <v>0.1185</v>
      </c>
      <c r="K366" s="509"/>
      <c r="L366" s="509"/>
      <c r="M366" s="509"/>
      <c r="N366" s="509"/>
      <c r="O366" s="509"/>
      <c r="P366" s="509"/>
      <c r="Q366" s="509"/>
      <c r="R366" s="509"/>
      <c r="S366" s="509"/>
      <c r="T366" s="509"/>
    </row>
    <row r="367" spans="1:20" s="22" customFormat="1" ht="26.25" customHeight="1">
      <c r="A367" s="196" t="s">
        <v>553</v>
      </c>
      <c r="B367" s="197" t="s">
        <v>1041</v>
      </c>
      <c r="C367" s="199" t="s">
        <v>1033</v>
      </c>
      <c r="D367" s="917" t="s">
        <v>1042</v>
      </c>
      <c r="E367" s="198" t="s">
        <v>1826</v>
      </c>
      <c r="F367" s="332">
        <v>3.6</v>
      </c>
      <c r="G367" s="332"/>
      <c r="H367" s="332">
        <f t="shared" si="27"/>
        <v>0</v>
      </c>
      <c r="I367" s="333">
        <v>0.03</v>
      </c>
      <c r="J367" s="334">
        <f t="shared" si="28"/>
        <v>0.108</v>
      </c>
      <c r="K367" s="693"/>
      <c r="L367" s="693"/>
      <c r="M367" s="693"/>
      <c r="N367" s="693"/>
      <c r="O367" s="693"/>
      <c r="P367" s="693"/>
      <c r="Q367" s="694"/>
      <c r="R367" s="509"/>
      <c r="S367" s="509"/>
      <c r="T367" s="509"/>
    </row>
    <row r="368" spans="1:20" s="22" customFormat="1" ht="26.25" customHeight="1">
      <c r="A368" s="196" t="s">
        <v>557</v>
      </c>
      <c r="B368" s="197" t="s">
        <v>1043</v>
      </c>
      <c r="C368" s="199" t="s">
        <v>1044</v>
      </c>
      <c r="D368" s="917" t="s">
        <v>1045</v>
      </c>
      <c r="E368" s="198" t="s">
        <v>1826</v>
      </c>
      <c r="F368" s="332">
        <f>2.28*2</f>
        <v>4.56</v>
      </c>
      <c r="G368" s="332"/>
      <c r="H368" s="332">
        <f t="shared" si="27"/>
        <v>0</v>
      </c>
      <c r="I368" s="333">
        <v>0.01</v>
      </c>
      <c r="J368" s="334">
        <f t="shared" si="28"/>
        <v>0.045599999999999995</v>
      </c>
      <c r="K368" s="693"/>
      <c r="L368" s="693"/>
      <c r="M368" s="693"/>
      <c r="N368" s="693"/>
      <c r="O368" s="693"/>
      <c r="P368" s="693"/>
      <c r="Q368" s="694"/>
      <c r="R368" s="509"/>
      <c r="S368" s="509"/>
      <c r="T368" s="509"/>
    </row>
    <row r="369" spans="1:20" s="22" customFormat="1" ht="18.75" customHeight="1">
      <c r="A369" s="196" t="s">
        <v>560</v>
      </c>
      <c r="B369" s="197" t="s">
        <v>539</v>
      </c>
      <c r="C369" s="199" t="s">
        <v>546</v>
      </c>
      <c r="D369" s="917"/>
      <c r="E369" s="198" t="s">
        <v>2488</v>
      </c>
      <c r="F369" s="332">
        <f>115*2</f>
        <v>230</v>
      </c>
      <c r="G369" s="332"/>
      <c r="H369" s="332">
        <f>F369*G369</f>
        <v>0</v>
      </c>
      <c r="I369" s="333">
        <v>5E-05</v>
      </c>
      <c r="J369" s="334">
        <f>F369*I369</f>
        <v>0.0115</v>
      </c>
      <c r="K369" s="509"/>
      <c r="L369" s="509"/>
      <c r="M369" s="509"/>
      <c r="N369" s="509"/>
      <c r="O369" s="509"/>
      <c r="P369" s="509"/>
      <c r="Q369" s="509"/>
      <c r="R369" s="509"/>
      <c r="S369" s="509"/>
      <c r="T369" s="509"/>
    </row>
    <row r="370" spans="1:20" s="22" customFormat="1" ht="29.25" customHeight="1">
      <c r="A370" s="196" t="s">
        <v>563</v>
      </c>
      <c r="B370" s="197"/>
      <c r="C370" s="199" t="s">
        <v>1046</v>
      </c>
      <c r="D370" s="917" t="s">
        <v>1047</v>
      </c>
      <c r="E370" s="198" t="s">
        <v>2695</v>
      </c>
      <c r="F370" s="332">
        <v>2</v>
      </c>
      <c r="G370" s="332"/>
      <c r="H370" s="332">
        <f>F370*G370</f>
        <v>0</v>
      </c>
      <c r="I370" s="333">
        <v>0.115</v>
      </c>
      <c r="J370" s="334">
        <f>F370*I370</f>
        <v>0.23</v>
      </c>
      <c r="K370" s="693"/>
      <c r="L370" s="693"/>
      <c r="M370" s="693"/>
      <c r="N370" s="693"/>
      <c r="O370" s="693"/>
      <c r="P370" s="693"/>
      <c r="Q370" s="694"/>
      <c r="R370" s="509"/>
      <c r="S370" s="509"/>
      <c r="T370" s="509"/>
    </row>
    <row r="371" spans="1:20" s="22" customFormat="1" ht="18.75" customHeight="1">
      <c r="A371" s="196" t="s">
        <v>567</v>
      </c>
      <c r="B371" s="197" t="s">
        <v>539</v>
      </c>
      <c r="C371" s="199" t="s">
        <v>540</v>
      </c>
      <c r="D371" s="917" t="s">
        <v>541</v>
      </c>
      <c r="E371" s="198" t="s">
        <v>2488</v>
      </c>
      <c r="F371" s="332">
        <v>60</v>
      </c>
      <c r="G371" s="332"/>
      <c r="H371" s="332">
        <f t="shared" si="27"/>
        <v>0</v>
      </c>
      <c r="I371" s="333">
        <v>5E-05</v>
      </c>
      <c r="J371" s="334">
        <f t="shared" si="28"/>
        <v>0.003</v>
      </c>
      <c r="K371" s="509"/>
      <c r="L371" s="509"/>
      <c r="M371" s="509"/>
      <c r="N371" s="509"/>
      <c r="O371" s="509"/>
      <c r="P371" s="509"/>
      <c r="Q371" s="509"/>
      <c r="R371" s="509"/>
      <c r="S371" s="509"/>
      <c r="T371" s="509"/>
    </row>
    <row r="372" spans="1:20" s="22" customFormat="1" ht="25.5" customHeight="1">
      <c r="A372" s="196" t="s">
        <v>570</v>
      </c>
      <c r="B372" s="197" t="s">
        <v>543</v>
      </c>
      <c r="C372" s="199" t="s">
        <v>544</v>
      </c>
      <c r="D372" s="917" t="s">
        <v>541</v>
      </c>
      <c r="E372" s="198" t="s">
        <v>2695</v>
      </c>
      <c r="F372" s="332">
        <v>1</v>
      </c>
      <c r="G372" s="332"/>
      <c r="H372" s="332">
        <f t="shared" si="27"/>
        <v>0</v>
      </c>
      <c r="I372" s="333">
        <v>6E-05</v>
      </c>
      <c r="J372" s="334">
        <f t="shared" si="28"/>
        <v>6E-05</v>
      </c>
      <c r="K372" s="509"/>
      <c r="L372" s="509"/>
      <c r="M372" s="509"/>
      <c r="N372" s="509"/>
      <c r="O372" s="509"/>
      <c r="P372" s="509"/>
      <c r="Q372" s="509"/>
      <c r="R372" s="509"/>
      <c r="S372" s="509"/>
      <c r="T372" s="509"/>
    </row>
    <row r="373" spans="1:20" s="18" customFormat="1" ht="12.75">
      <c r="A373" s="325"/>
      <c r="B373" s="326"/>
      <c r="C373" s="326"/>
      <c r="D373" s="992"/>
      <c r="E373" s="327"/>
      <c r="F373" s="419"/>
      <c r="G373" s="419"/>
      <c r="H373" s="419"/>
      <c r="I373" s="420"/>
      <c r="J373" s="421"/>
      <c r="K373" s="763"/>
      <c r="L373" s="763"/>
      <c r="M373" s="763"/>
      <c r="N373" s="763"/>
      <c r="O373" s="763"/>
      <c r="P373" s="763"/>
      <c r="Q373" s="764"/>
      <c r="R373" s="671"/>
      <c r="S373" s="671"/>
      <c r="T373" s="671"/>
    </row>
    <row r="374" spans="1:20" s="22" customFormat="1" ht="18.75" customHeight="1">
      <c r="A374" s="196" t="s">
        <v>574</v>
      </c>
      <c r="B374" s="197" t="s">
        <v>548</v>
      </c>
      <c r="C374" s="199" t="s">
        <v>551</v>
      </c>
      <c r="D374" s="917" t="s">
        <v>552</v>
      </c>
      <c r="E374" s="198" t="s">
        <v>1718</v>
      </c>
      <c r="F374" s="332">
        <v>12</v>
      </c>
      <c r="G374" s="332"/>
      <c r="H374" s="332">
        <f aca="true" t="shared" si="29" ref="H374:H381">F374*G374</f>
        <v>0</v>
      </c>
      <c r="I374" s="333">
        <v>0</v>
      </c>
      <c r="J374" s="334">
        <f aca="true" t="shared" si="30" ref="J374:J381">F374*I374</f>
        <v>0</v>
      </c>
      <c r="K374" s="693"/>
      <c r="L374" s="693"/>
      <c r="M374" s="693"/>
      <c r="N374" s="693"/>
      <c r="O374" s="693"/>
      <c r="P374" s="693"/>
      <c r="Q374" s="694"/>
      <c r="R374" s="509"/>
      <c r="S374" s="509"/>
      <c r="T374" s="509"/>
    </row>
    <row r="375" spans="1:20" s="22" customFormat="1" ht="18.75" customHeight="1">
      <c r="A375" s="196" t="s">
        <v>577</v>
      </c>
      <c r="B375" s="197" t="s">
        <v>561</v>
      </c>
      <c r="C375" s="199" t="s">
        <v>562</v>
      </c>
      <c r="D375" s="917" t="s">
        <v>552</v>
      </c>
      <c r="E375" s="198" t="s">
        <v>1718</v>
      </c>
      <c r="F375" s="332">
        <v>6</v>
      </c>
      <c r="G375" s="332"/>
      <c r="H375" s="332">
        <f t="shared" si="29"/>
        <v>0</v>
      </c>
      <c r="I375" s="333">
        <v>0.00095</v>
      </c>
      <c r="J375" s="334">
        <f t="shared" si="30"/>
        <v>0.0057</v>
      </c>
      <c r="K375" s="730"/>
      <c r="L375" s="509"/>
      <c r="M375" s="509"/>
      <c r="N375" s="509"/>
      <c r="O375" s="509"/>
      <c r="P375" s="509"/>
      <c r="Q375" s="509"/>
      <c r="R375" s="509"/>
      <c r="S375" s="509"/>
      <c r="T375" s="509"/>
    </row>
    <row r="376" spans="1:20" s="22" customFormat="1" ht="18.75" customHeight="1">
      <c r="A376" s="196" t="s">
        <v>578</v>
      </c>
      <c r="B376" s="197" t="s">
        <v>554</v>
      </c>
      <c r="C376" s="199" t="s">
        <v>555</v>
      </c>
      <c r="D376" s="917" t="s">
        <v>556</v>
      </c>
      <c r="E376" s="198" t="s">
        <v>1718</v>
      </c>
      <c r="F376" s="332">
        <v>6</v>
      </c>
      <c r="G376" s="332"/>
      <c r="H376" s="332">
        <f t="shared" si="29"/>
        <v>0</v>
      </c>
      <c r="I376" s="333">
        <v>0.0004</v>
      </c>
      <c r="J376" s="334">
        <f t="shared" si="30"/>
        <v>0.0024000000000000002</v>
      </c>
      <c r="K376" s="730"/>
      <c r="L376" s="509"/>
      <c r="M376" s="509"/>
      <c r="N376" s="509"/>
      <c r="O376" s="509"/>
      <c r="P376" s="509"/>
      <c r="Q376" s="509"/>
      <c r="R376" s="509"/>
      <c r="S376" s="509"/>
      <c r="T376" s="509"/>
    </row>
    <row r="377" spans="1:20" s="22" customFormat="1" ht="18.75" customHeight="1">
      <c r="A377" s="196" t="s">
        <v>581</v>
      </c>
      <c r="B377" s="197" t="s">
        <v>558</v>
      </c>
      <c r="C377" s="199" t="s">
        <v>559</v>
      </c>
      <c r="D377" s="917" t="s">
        <v>556</v>
      </c>
      <c r="E377" s="198" t="s">
        <v>1718</v>
      </c>
      <c r="F377" s="332">
        <v>6</v>
      </c>
      <c r="G377" s="332"/>
      <c r="H377" s="332">
        <f t="shared" si="29"/>
        <v>0</v>
      </c>
      <c r="I377" s="333">
        <v>0.01</v>
      </c>
      <c r="J377" s="334">
        <f t="shared" si="30"/>
        <v>0.06</v>
      </c>
      <c r="K377" s="730"/>
      <c r="L377" s="509"/>
      <c r="M377" s="509"/>
      <c r="N377" s="509"/>
      <c r="O377" s="509"/>
      <c r="P377" s="509"/>
      <c r="Q377" s="509"/>
      <c r="R377" s="509"/>
      <c r="S377" s="509"/>
      <c r="T377" s="509"/>
    </row>
    <row r="378" spans="1:20" s="22" customFormat="1" ht="18.75" customHeight="1">
      <c r="A378" s="196" t="s">
        <v>585</v>
      </c>
      <c r="B378" s="197" t="s">
        <v>564</v>
      </c>
      <c r="C378" s="199" t="s">
        <v>565</v>
      </c>
      <c r="D378" s="917" t="s">
        <v>566</v>
      </c>
      <c r="E378" s="198" t="s">
        <v>1718</v>
      </c>
      <c r="F378" s="332">
        <v>2</v>
      </c>
      <c r="G378" s="332"/>
      <c r="H378" s="332">
        <f t="shared" si="29"/>
        <v>0</v>
      </c>
      <c r="I378" s="333">
        <v>0.07301</v>
      </c>
      <c r="J378" s="334">
        <f t="shared" si="30"/>
        <v>0.14602</v>
      </c>
      <c r="K378" s="730"/>
      <c r="L378" s="509"/>
      <c r="M378" s="509"/>
      <c r="N378" s="509"/>
      <c r="O378" s="509"/>
      <c r="P378" s="509"/>
      <c r="Q378" s="509"/>
      <c r="R378" s="509"/>
      <c r="S378" s="509"/>
      <c r="T378" s="509"/>
    </row>
    <row r="379" spans="1:20" s="22" customFormat="1" ht="18.75" customHeight="1">
      <c r="A379" s="196" t="s">
        <v>587</v>
      </c>
      <c r="B379" s="197" t="s">
        <v>568</v>
      </c>
      <c r="C379" s="199" t="s">
        <v>569</v>
      </c>
      <c r="D379" s="917" t="s">
        <v>566</v>
      </c>
      <c r="E379" s="198" t="s">
        <v>1718</v>
      </c>
      <c r="F379" s="332">
        <v>2</v>
      </c>
      <c r="G379" s="332"/>
      <c r="H379" s="332">
        <f t="shared" si="29"/>
        <v>0</v>
      </c>
      <c r="I379" s="333">
        <v>0.07301</v>
      </c>
      <c r="J379" s="334">
        <f t="shared" si="30"/>
        <v>0.14602</v>
      </c>
      <c r="K379" s="730"/>
      <c r="L379" s="509"/>
      <c r="M379" s="509"/>
      <c r="N379" s="509"/>
      <c r="O379" s="509"/>
      <c r="P379" s="509"/>
      <c r="Q379" s="509"/>
      <c r="R379" s="509"/>
      <c r="S379" s="509"/>
      <c r="T379" s="509"/>
    </row>
    <row r="380" spans="1:20" s="22" customFormat="1" ht="18.75" customHeight="1">
      <c r="A380" s="196" t="s">
        <v>589</v>
      </c>
      <c r="B380" s="197" t="s">
        <v>799</v>
      </c>
      <c r="C380" s="199" t="s">
        <v>800</v>
      </c>
      <c r="D380" s="917"/>
      <c r="E380" s="198" t="s">
        <v>1831</v>
      </c>
      <c r="F380" s="1028">
        <v>14</v>
      </c>
      <c r="G380" s="332"/>
      <c r="H380" s="332">
        <f t="shared" si="29"/>
        <v>0</v>
      </c>
      <c r="I380" s="333">
        <v>0.0004</v>
      </c>
      <c r="J380" s="334">
        <f t="shared" si="30"/>
        <v>0.0056</v>
      </c>
      <c r="K380" s="693"/>
      <c r="L380" s="693"/>
      <c r="M380" s="693"/>
      <c r="N380" s="693"/>
      <c r="O380" s="693"/>
      <c r="P380" s="693"/>
      <c r="Q380" s="694"/>
      <c r="R380" s="509"/>
      <c r="S380" s="509"/>
      <c r="T380" s="509"/>
    </row>
    <row r="381" spans="1:20" s="1034" customFormat="1" ht="18.75" customHeight="1">
      <c r="A381" s="196" t="s">
        <v>591</v>
      </c>
      <c r="B381" s="197" t="s">
        <v>801</v>
      </c>
      <c r="C381" s="199" t="s">
        <v>802</v>
      </c>
      <c r="D381" s="917"/>
      <c r="E381" s="198" t="s">
        <v>1831</v>
      </c>
      <c r="F381" s="1028">
        <v>14</v>
      </c>
      <c r="G381" s="332"/>
      <c r="H381" s="332">
        <f t="shared" si="29"/>
        <v>0</v>
      </c>
      <c r="I381" s="333">
        <v>0.0004</v>
      </c>
      <c r="J381" s="334">
        <f t="shared" si="30"/>
        <v>0.0056</v>
      </c>
      <c r="K381" s="1031"/>
      <c r="L381" s="1031"/>
      <c r="M381" s="1031"/>
      <c r="N381" s="1031"/>
      <c r="O381" s="1031"/>
      <c r="P381" s="1031"/>
      <c r="Q381" s="1032"/>
      <c r="R381" s="1033"/>
      <c r="S381" s="1033"/>
      <c r="T381" s="1033"/>
    </row>
    <row r="382" spans="1:20" s="22" customFormat="1" ht="19.5" customHeight="1" thickBot="1">
      <c r="A382" s="196" t="s">
        <v>1048</v>
      </c>
      <c r="B382" s="256" t="s">
        <v>592</v>
      </c>
      <c r="C382" s="264" t="s">
        <v>593</v>
      </c>
      <c r="D382" s="968"/>
      <c r="E382" s="257" t="s">
        <v>1783</v>
      </c>
      <c r="F382" s="368">
        <f>J360</f>
        <v>1.2753252</v>
      </c>
      <c r="G382" s="368"/>
      <c r="H382" s="368">
        <f>F382*G382</f>
        <v>0</v>
      </c>
      <c r="I382" s="369">
        <v>0</v>
      </c>
      <c r="J382" s="370">
        <f>F382*I382</f>
        <v>0</v>
      </c>
      <c r="K382" s="693"/>
      <c r="L382" s="693"/>
      <c r="M382" s="693"/>
      <c r="N382" s="693"/>
      <c r="O382" s="693"/>
      <c r="P382" s="693"/>
      <c r="Q382" s="694"/>
      <c r="R382" s="509"/>
      <c r="S382" s="509"/>
      <c r="T382" s="509"/>
    </row>
    <row r="383" spans="1:20" ht="16.5" customHeight="1" thickBot="1">
      <c r="A383" s="266" t="s">
        <v>848</v>
      </c>
      <c r="B383" s="175" t="s">
        <v>594</v>
      </c>
      <c r="C383" s="176" t="s">
        <v>595</v>
      </c>
      <c r="D383" s="1007" t="s">
        <v>2781</v>
      </c>
      <c r="E383" s="175"/>
      <c r="F383" s="341"/>
      <c r="G383" s="341"/>
      <c r="H383" s="342">
        <f>SUM(H384:H397)</f>
        <v>0</v>
      </c>
      <c r="I383" s="343"/>
      <c r="J383" s="344">
        <f>SUM(J384:J390)</f>
        <v>0.09917599999999999</v>
      </c>
      <c r="K383" s="670"/>
      <c r="L383" s="670"/>
      <c r="M383" s="670"/>
      <c r="N383" s="670"/>
      <c r="O383" s="670"/>
      <c r="P383" s="670"/>
      <c r="Q383" s="670"/>
      <c r="R383" s="670"/>
      <c r="S383" s="670"/>
      <c r="T383" s="670"/>
    </row>
    <row r="384" spans="1:22" s="152" customFormat="1" ht="12.75">
      <c r="A384" s="146"/>
      <c r="B384" s="732"/>
      <c r="C384" s="147"/>
      <c r="D384" s="981"/>
      <c r="E384" s="148"/>
      <c r="F384" s="282"/>
      <c r="G384" s="282"/>
      <c r="H384" s="385"/>
      <c r="I384" s="304"/>
      <c r="J384" s="386"/>
      <c r="K384" s="149"/>
      <c r="L384" s="149"/>
      <c r="M384" s="150"/>
      <c r="N384" s="733"/>
      <c r="O384" s="151"/>
      <c r="P384" s="151"/>
      <c r="Q384" s="151"/>
      <c r="R384" s="151"/>
      <c r="S384" s="151"/>
      <c r="T384" s="151"/>
      <c r="U384" s="151"/>
      <c r="V384" s="151"/>
    </row>
    <row r="385" spans="1:20" s="288" customFormat="1" ht="24">
      <c r="A385" s="196" t="s">
        <v>596</v>
      </c>
      <c r="B385" s="285" t="s">
        <v>597</v>
      </c>
      <c r="C385" s="286" t="s">
        <v>598</v>
      </c>
      <c r="D385" s="982" t="s">
        <v>2781</v>
      </c>
      <c r="E385" s="287" t="s">
        <v>1748</v>
      </c>
      <c r="F385" s="734">
        <f>E386</f>
        <v>6.159999999999999</v>
      </c>
      <c r="G385" s="387"/>
      <c r="H385" s="332">
        <f>F385*G385</f>
        <v>0</v>
      </c>
      <c r="I385" s="388">
        <v>0.0161</v>
      </c>
      <c r="J385" s="334">
        <f>F385*I385</f>
        <v>0.09917599999999999</v>
      </c>
      <c r="K385" s="143"/>
      <c r="L385" s="143"/>
      <c r="M385" s="143"/>
      <c r="N385" s="735"/>
      <c r="O385" s="693"/>
      <c r="P385" s="144"/>
      <c r="Q385" s="144"/>
      <c r="R385" s="144"/>
      <c r="S385" s="144"/>
      <c r="T385" s="144"/>
    </row>
    <row r="386" spans="1:20" s="130" customFormat="1" ht="18.75" customHeight="1">
      <c r="A386" s="204"/>
      <c r="B386" s="205"/>
      <c r="C386" s="206" t="s">
        <v>957</v>
      </c>
      <c r="D386" s="916"/>
      <c r="E386" s="260">
        <f>2.1*0.3*2+3.5*0.7*2</f>
        <v>6.159999999999999</v>
      </c>
      <c r="F386" s="335"/>
      <c r="G386" s="335"/>
      <c r="H386" s="335"/>
      <c r="I386" s="336"/>
      <c r="J386" s="337"/>
      <c r="K386" s="508"/>
      <c r="L386" s="508"/>
      <c r="M386" s="508"/>
      <c r="N386" s="508"/>
      <c r="O386" s="508"/>
      <c r="P386" s="508"/>
      <c r="Q386" s="508"/>
      <c r="R386" s="508"/>
      <c r="S386" s="508"/>
      <c r="T386" s="508"/>
    </row>
    <row r="387" spans="1:22" s="294" customFormat="1" ht="9.75" customHeight="1">
      <c r="A387" s="289"/>
      <c r="B387" s="285"/>
      <c r="C387" s="290"/>
      <c r="D387" s="983"/>
      <c r="E387" s="283"/>
      <c r="F387" s="291"/>
      <c r="G387" s="291"/>
      <c r="H387" s="292"/>
      <c r="I387" s="292"/>
      <c r="J387" s="389"/>
      <c r="K387" s="143"/>
      <c r="L387" s="143"/>
      <c r="M387" s="735"/>
      <c r="N387" s="693"/>
      <c r="O387" s="293"/>
      <c r="P387" s="293"/>
      <c r="Q387" s="293"/>
      <c r="R387" s="293"/>
      <c r="S387" s="293"/>
      <c r="T387" s="293"/>
      <c r="U387" s="293"/>
      <c r="V387" s="293"/>
    </row>
    <row r="388" spans="1:60" s="288" customFormat="1" ht="24">
      <c r="A388" s="196" t="s">
        <v>599</v>
      </c>
      <c r="B388" s="285" t="s">
        <v>603</v>
      </c>
      <c r="C388" s="286" t="s">
        <v>604</v>
      </c>
      <c r="D388" s="982" t="s">
        <v>2781</v>
      </c>
      <c r="E388" s="287" t="s">
        <v>1748</v>
      </c>
      <c r="F388" s="734">
        <f>E389</f>
        <v>6.159999999999999</v>
      </c>
      <c r="G388" s="387"/>
      <c r="H388" s="332">
        <f aca="true" t="shared" si="31" ref="H388:H394">F388*G388</f>
        <v>0</v>
      </c>
      <c r="I388" s="388">
        <v>0</v>
      </c>
      <c r="J388" s="334">
        <f>F388*I388</f>
        <v>0</v>
      </c>
      <c r="K388" s="143"/>
      <c r="L388" s="143"/>
      <c r="M388" s="143"/>
      <c r="N388" s="735"/>
      <c r="O388" s="693"/>
      <c r="P388" s="144"/>
      <c r="Q388" s="144"/>
      <c r="R388" s="144">
        <v>2</v>
      </c>
      <c r="S388" s="144"/>
      <c r="T388" s="144"/>
      <c r="AB388" s="288">
        <v>12</v>
      </c>
      <c r="AC388" s="288">
        <v>0</v>
      </c>
      <c r="AD388" s="288">
        <v>71</v>
      </c>
      <c r="BC388" s="288">
        <v>2</v>
      </c>
      <c r="BD388" s="288">
        <f>IF(BC388=1,H388,0)</f>
        <v>0</v>
      </c>
      <c r="BE388" s="288">
        <f>IF(BC388=2,H388,0)</f>
        <v>0</v>
      </c>
      <c r="BF388" s="288">
        <f>IF(BC388=3,H388,0)</f>
        <v>0</v>
      </c>
      <c r="BG388" s="288">
        <f>IF(BC388=4,H388,0)</f>
        <v>0</v>
      </c>
      <c r="BH388" s="288">
        <f>IF(BC388=5,H388,0)</f>
        <v>0</v>
      </c>
    </row>
    <row r="389" spans="1:20" s="130" customFormat="1" ht="18.75" customHeight="1">
      <c r="A389" s="204"/>
      <c r="B389" s="205"/>
      <c r="C389" s="206" t="s">
        <v>957</v>
      </c>
      <c r="D389" s="916"/>
      <c r="E389" s="260">
        <f>2.1*0.3*2+3.5*0.7*2</f>
        <v>6.159999999999999</v>
      </c>
      <c r="F389" s="335"/>
      <c r="G389" s="335"/>
      <c r="H389" s="335"/>
      <c r="I389" s="336"/>
      <c r="J389" s="337"/>
      <c r="K389" s="508"/>
      <c r="L389" s="508"/>
      <c r="M389" s="508"/>
      <c r="N389" s="508"/>
      <c r="O389" s="508"/>
      <c r="P389" s="508"/>
      <c r="Q389" s="508"/>
      <c r="R389" s="508"/>
      <c r="S389" s="508"/>
      <c r="T389" s="508"/>
    </row>
    <row r="390" spans="1:20" s="299" customFormat="1" ht="9.75" customHeight="1">
      <c r="A390" s="295"/>
      <c r="B390" s="296"/>
      <c r="C390" s="297"/>
      <c r="D390" s="984"/>
      <c r="E390" s="298"/>
      <c r="F390" s="141"/>
      <c r="G390" s="141"/>
      <c r="H390" s="141"/>
      <c r="I390" s="390"/>
      <c r="J390" s="391"/>
      <c r="K390" s="736"/>
      <c r="L390" s="736"/>
      <c r="M390" s="736"/>
      <c r="N390" s="737"/>
      <c r="O390" s="580"/>
      <c r="P390" s="580"/>
      <c r="Q390" s="580"/>
      <c r="R390" s="580"/>
      <c r="S390" s="580"/>
      <c r="T390" s="580"/>
    </row>
    <row r="391" spans="1:60" s="300" customFormat="1" ht="20.25" customHeight="1">
      <c r="A391" s="738" t="s">
        <v>602</v>
      </c>
      <c r="B391" s="739" t="s">
        <v>606</v>
      </c>
      <c r="C391" s="740" t="s">
        <v>607</v>
      </c>
      <c r="D391" s="982" t="s">
        <v>2781</v>
      </c>
      <c r="E391" s="741" t="s">
        <v>1748</v>
      </c>
      <c r="F391" s="734">
        <f>E392</f>
        <v>6.159999999999999</v>
      </c>
      <c r="G391" s="742"/>
      <c r="H391" s="742">
        <f t="shared" si="31"/>
        <v>0</v>
      </c>
      <c r="I391" s="392"/>
      <c r="J391" s="393"/>
      <c r="K391" s="743"/>
      <c r="L391" s="743"/>
      <c r="M391" s="744"/>
      <c r="N391" s="744">
        <v>2</v>
      </c>
      <c r="O391" s="744"/>
      <c r="P391" s="744"/>
      <c r="Q391" s="744"/>
      <c r="R391" s="744"/>
      <c r="S391" s="745"/>
      <c r="T391" s="745"/>
      <c r="U391" s="746"/>
      <c r="V391" s="746"/>
      <c r="W391" s="746"/>
      <c r="X391" s="746">
        <v>12</v>
      </c>
      <c r="Y391" s="746">
        <v>0</v>
      </c>
      <c r="Z391" s="746">
        <v>200</v>
      </c>
      <c r="AA391" s="746"/>
      <c r="AB391" s="746"/>
      <c r="AC391" s="746"/>
      <c r="AD391" s="746"/>
      <c r="AE391" s="746"/>
      <c r="AF391" s="746"/>
      <c r="AG391" s="746"/>
      <c r="AH391" s="746"/>
      <c r="AI391" s="746"/>
      <c r="AJ391" s="746"/>
      <c r="AK391" s="746"/>
      <c r="AL391" s="746"/>
      <c r="AM391" s="746"/>
      <c r="AN391" s="746"/>
      <c r="AO391" s="746"/>
      <c r="AP391" s="746"/>
      <c r="AQ391" s="746"/>
      <c r="AR391" s="746"/>
      <c r="AS391" s="746"/>
      <c r="AT391" s="746"/>
      <c r="AU391" s="746"/>
      <c r="AV391" s="746"/>
      <c r="AW391" s="746"/>
      <c r="AX391" s="746"/>
      <c r="AY391" s="746">
        <v>2</v>
      </c>
      <c r="AZ391" s="746">
        <f>IF(AY391=1,H391,0)</f>
        <v>0</v>
      </c>
      <c r="BA391" s="746">
        <f>IF(AY391=2,H391,0)</f>
        <v>0</v>
      </c>
      <c r="BB391" s="746">
        <f>IF(AY391=3,H391,0)</f>
        <v>0</v>
      </c>
      <c r="BC391" s="746">
        <f>IF(AY391=4,H391,0)</f>
        <v>0</v>
      </c>
      <c r="BD391" s="746">
        <f>IF(AY391=5,H391,0)</f>
        <v>0</v>
      </c>
      <c r="BE391" s="746"/>
      <c r="BF391" s="746"/>
      <c r="BG391" s="746"/>
      <c r="BH391" s="746"/>
    </row>
    <row r="392" spans="1:20" s="130" customFormat="1" ht="18.75" customHeight="1">
      <c r="A392" s="204"/>
      <c r="B392" s="205"/>
      <c r="C392" s="206" t="s">
        <v>957</v>
      </c>
      <c r="D392" s="916"/>
      <c r="E392" s="260">
        <f>2.1*0.3*2+3.5*0.7*2</f>
        <v>6.159999999999999</v>
      </c>
      <c r="F392" s="335"/>
      <c r="G392" s="335"/>
      <c r="H392" s="335"/>
      <c r="I392" s="336"/>
      <c r="J392" s="337"/>
      <c r="K392" s="508"/>
      <c r="L392" s="508"/>
      <c r="M392" s="508"/>
      <c r="N392" s="508"/>
      <c r="O392" s="508"/>
      <c r="P392" s="508"/>
      <c r="Q392" s="508"/>
      <c r="R392" s="508"/>
      <c r="S392" s="508"/>
      <c r="T392" s="508"/>
    </row>
    <row r="393" spans="1:20" s="299" customFormat="1" ht="11.25" customHeight="1">
      <c r="A393" s="295"/>
      <c r="B393" s="296"/>
      <c r="C393" s="297"/>
      <c r="D393" s="984"/>
      <c r="E393" s="298"/>
      <c r="F393" s="141"/>
      <c r="G393" s="141"/>
      <c r="H393" s="141"/>
      <c r="I393" s="390"/>
      <c r="J393" s="391"/>
      <c r="K393" s="736"/>
      <c r="L393" s="736"/>
      <c r="M393" s="736"/>
      <c r="N393" s="737"/>
      <c r="O393" s="580"/>
      <c r="P393" s="580"/>
      <c r="Q393" s="580"/>
      <c r="R393" s="580"/>
      <c r="S393" s="580"/>
      <c r="T393" s="580"/>
    </row>
    <row r="394" spans="1:60" s="300" customFormat="1" ht="26.25" customHeight="1">
      <c r="A394" s="738" t="s">
        <v>605</v>
      </c>
      <c r="B394" s="739" t="s">
        <v>609</v>
      </c>
      <c r="C394" s="740" t="s">
        <v>610</v>
      </c>
      <c r="D394" s="982" t="s">
        <v>2781</v>
      </c>
      <c r="E394" s="741" t="s">
        <v>1748</v>
      </c>
      <c r="F394" s="742">
        <f>E395</f>
        <v>6.283199999999999</v>
      </c>
      <c r="G394" s="742"/>
      <c r="H394" s="742">
        <f t="shared" si="31"/>
        <v>0</v>
      </c>
      <c r="I394" s="392"/>
      <c r="J394" s="393"/>
      <c r="K394" s="743"/>
      <c r="L394" s="743"/>
      <c r="M394" s="744"/>
      <c r="N394" s="744">
        <v>2</v>
      </c>
      <c r="O394" s="744"/>
      <c r="P394" s="744"/>
      <c r="Q394" s="744"/>
      <c r="R394" s="744"/>
      <c r="S394" s="745"/>
      <c r="T394" s="745"/>
      <c r="U394" s="746"/>
      <c r="V394" s="746"/>
      <c r="W394" s="746"/>
      <c r="X394" s="746">
        <v>12</v>
      </c>
      <c r="Y394" s="746">
        <v>1</v>
      </c>
      <c r="Z394" s="746">
        <v>201</v>
      </c>
      <c r="AA394" s="746"/>
      <c r="AB394" s="746"/>
      <c r="AC394" s="746"/>
      <c r="AD394" s="746"/>
      <c r="AE394" s="746"/>
      <c r="AF394" s="746"/>
      <c r="AG394" s="746"/>
      <c r="AH394" s="746"/>
      <c r="AI394" s="746"/>
      <c r="AJ394" s="746"/>
      <c r="AK394" s="746"/>
      <c r="AL394" s="746"/>
      <c r="AM394" s="746"/>
      <c r="AN394" s="746"/>
      <c r="AO394" s="746"/>
      <c r="AP394" s="746"/>
      <c r="AQ394" s="746"/>
      <c r="AR394" s="746"/>
      <c r="AS394" s="746"/>
      <c r="AT394" s="746"/>
      <c r="AU394" s="746"/>
      <c r="AV394" s="746"/>
      <c r="AW394" s="746"/>
      <c r="AX394" s="746"/>
      <c r="AY394" s="746">
        <v>2</v>
      </c>
      <c r="AZ394" s="746">
        <f>IF(AY394=1,H394,0)</f>
        <v>0</v>
      </c>
      <c r="BA394" s="746">
        <f>IF(AY394=2,H394,0)</f>
        <v>0</v>
      </c>
      <c r="BB394" s="746">
        <f>IF(AY394=3,H394,0)</f>
        <v>0</v>
      </c>
      <c r="BC394" s="746">
        <f>IF(AY394=4,H394,0)</f>
        <v>0</v>
      </c>
      <c r="BD394" s="746">
        <f>IF(AY394=5,H394,0)</f>
        <v>0</v>
      </c>
      <c r="BE394" s="746"/>
      <c r="BF394" s="746"/>
      <c r="BG394" s="746"/>
      <c r="BH394" s="746"/>
    </row>
    <row r="395" spans="1:20" s="130" customFormat="1" ht="18.75" customHeight="1">
      <c r="A395" s="204"/>
      <c r="B395" s="205"/>
      <c r="C395" s="206" t="s">
        <v>1049</v>
      </c>
      <c r="D395" s="916"/>
      <c r="E395" s="260">
        <f>(2.1*0.3*2+3.5*0.7*2)*1.02</f>
        <v>6.283199999999999</v>
      </c>
      <c r="F395" s="335"/>
      <c r="G395" s="335"/>
      <c r="H395" s="335"/>
      <c r="I395" s="336"/>
      <c r="J395" s="337"/>
      <c r="K395" s="508"/>
      <c r="L395" s="508"/>
      <c r="M395" s="508"/>
      <c r="N395" s="508"/>
      <c r="O395" s="508"/>
      <c r="P395" s="508"/>
      <c r="Q395" s="508"/>
      <c r="R395" s="508"/>
      <c r="S395" s="508"/>
      <c r="T395" s="508"/>
    </row>
    <row r="396" spans="1:20" s="142" customFormat="1" ht="12.75" customHeight="1">
      <c r="A396" s="153"/>
      <c r="B396" s="154"/>
      <c r="C396" s="155"/>
      <c r="D396" s="988"/>
      <c r="E396" s="155"/>
      <c r="F396" s="141"/>
      <c r="G396" s="141"/>
      <c r="H396" s="141"/>
      <c r="I396" s="394"/>
      <c r="J396" s="395"/>
      <c r="K396" s="749"/>
      <c r="L396" s="749"/>
      <c r="M396" s="749"/>
      <c r="N396" s="749"/>
      <c r="O396" s="750"/>
      <c r="P396" s="750"/>
      <c r="Q396" s="750"/>
      <c r="R396" s="750"/>
      <c r="S396" s="215"/>
      <c r="T396" s="215"/>
    </row>
    <row r="397" spans="1:60" s="145" customFormat="1" ht="17.25" customHeight="1" thickBot="1">
      <c r="A397" s="255" t="s">
        <v>608</v>
      </c>
      <c r="B397" s="780" t="s">
        <v>626</v>
      </c>
      <c r="C397" s="781" t="s">
        <v>627</v>
      </c>
      <c r="D397" s="986"/>
      <c r="E397" s="782" t="s">
        <v>1665</v>
      </c>
      <c r="F397" s="680">
        <f>SUM(H384:H396)*0.01</f>
        <v>0</v>
      </c>
      <c r="G397" s="680"/>
      <c r="H397" s="680">
        <f>F397*G397</f>
        <v>0</v>
      </c>
      <c r="I397" s="422">
        <v>0</v>
      </c>
      <c r="J397" s="423">
        <f>F397*I397</f>
        <v>0</v>
      </c>
      <c r="K397" s="143">
        <v>0</v>
      </c>
      <c r="L397" s="143">
        <f>F397*K397</f>
        <v>0</v>
      </c>
      <c r="M397" s="143"/>
      <c r="N397" s="144"/>
      <c r="O397" s="144"/>
      <c r="P397" s="144"/>
      <c r="Q397" s="144"/>
      <c r="R397" s="144">
        <v>2</v>
      </c>
      <c r="S397" s="144"/>
      <c r="T397" s="144"/>
      <c r="U397" s="288"/>
      <c r="V397" s="288"/>
      <c r="W397" s="288"/>
      <c r="X397" s="288"/>
      <c r="Y397" s="288"/>
      <c r="Z397" s="288"/>
      <c r="AA397" s="288"/>
      <c r="AB397" s="288">
        <v>12</v>
      </c>
      <c r="AC397" s="288">
        <v>0</v>
      </c>
      <c r="AD397" s="288">
        <v>70</v>
      </c>
      <c r="AE397" s="288"/>
      <c r="AF397" s="288"/>
      <c r="AG397" s="288"/>
      <c r="AH397" s="288"/>
      <c r="AI397" s="288"/>
      <c r="AJ397" s="288"/>
      <c r="AK397" s="288"/>
      <c r="AL397" s="288"/>
      <c r="AM397" s="288"/>
      <c r="AN397" s="288"/>
      <c r="AO397" s="288"/>
      <c r="AP397" s="288"/>
      <c r="AQ397" s="288"/>
      <c r="AR397" s="288"/>
      <c r="AS397" s="288"/>
      <c r="AT397" s="288"/>
      <c r="AU397" s="288"/>
      <c r="AV397" s="288"/>
      <c r="AW397" s="288"/>
      <c r="AX397" s="288"/>
      <c r="AY397" s="288"/>
      <c r="AZ397" s="288"/>
      <c r="BA397" s="288"/>
      <c r="BB397" s="288"/>
      <c r="BC397" s="288">
        <v>2</v>
      </c>
      <c r="BD397" s="288">
        <f>IF(BC397=1,H397,0)</f>
        <v>0</v>
      </c>
      <c r="BE397" s="288">
        <f>IF(BC397=2,H397,0)</f>
        <v>0</v>
      </c>
      <c r="BF397" s="288">
        <f>IF(BC397=3,H397,0)</f>
        <v>0</v>
      </c>
      <c r="BG397" s="288">
        <f>IF(BC397=4,H397,0)</f>
        <v>0</v>
      </c>
      <c r="BH397" s="288">
        <f>IF(BC397=5,H397,0)</f>
        <v>0</v>
      </c>
    </row>
    <row r="398" spans="1:20" ht="16.5" customHeight="1" thickBot="1">
      <c r="A398" s="266" t="s">
        <v>628</v>
      </c>
      <c r="B398" s="175" t="s">
        <v>629</v>
      </c>
      <c r="C398" s="176" t="s">
        <v>630</v>
      </c>
      <c r="D398" s="1008"/>
      <c r="E398" s="175"/>
      <c r="F398" s="341"/>
      <c r="G398" s="341"/>
      <c r="H398" s="342">
        <f>SUM(H399:H399)</f>
        <v>0</v>
      </c>
      <c r="I398" s="343"/>
      <c r="J398" s="344">
        <f>SUM(J399:J399)</f>
        <v>0</v>
      </c>
      <c r="K398" s="670"/>
      <c r="L398" s="670"/>
      <c r="M398" s="670"/>
      <c r="N398" s="670"/>
      <c r="O398" s="670"/>
      <c r="P398" s="670"/>
      <c r="Q398" s="670"/>
      <c r="R398" s="670"/>
      <c r="S398" s="670"/>
      <c r="T398" s="670"/>
    </row>
    <row r="399" spans="1:20" s="22" customFormat="1" ht="18.75" customHeight="1" thickBot="1">
      <c r="A399" s="29"/>
      <c r="B399" s="21"/>
      <c r="C399" s="20"/>
      <c r="D399" s="980"/>
      <c r="E399" s="31"/>
      <c r="F399" s="406"/>
      <c r="G399" s="406"/>
      <c r="H399" s="406"/>
      <c r="I399" s="407"/>
      <c r="J399" s="408"/>
      <c r="K399" s="693"/>
      <c r="L399" s="693"/>
      <c r="M399" s="693"/>
      <c r="N399" s="693"/>
      <c r="O399" s="693"/>
      <c r="P399" s="693"/>
      <c r="Q399" s="694"/>
      <c r="R399" s="509"/>
      <c r="S399" s="509"/>
      <c r="T399" s="509"/>
    </row>
    <row r="400" spans="1:20" ht="16.5" customHeight="1" thickBot="1">
      <c r="A400" s="266" t="s">
        <v>679</v>
      </c>
      <c r="B400" s="175" t="s">
        <v>680</v>
      </c>
      <c r="C400" s="176" t="s">
        <v>681</v>
      </c>
      <c r="D400" s="1007" t="s">
        <v>2761</v>
      </c>
      <c r="E400" s="175"/>
      <c r="F400" s="341"/>
      <c r="G400" s="341"/>
      <c r="H400" s="342">
        <f>SUM(H401:H407)</f>
        <v>0</v>
      </c>
      <c r="I400" s="343"/>
      <c r="J400" s="344">
        <f>SUM(J401:J407)</f>
        <v>0.006468964000000001</v>
      </c>
      <c r="K400" s="670"/>
      <c r="L400" s="670"/>
      <c r="M400" s="670"/>
      <c r="N400" s="670"/>
      <c r="O400" s="670"/>
      <c r="P400" s="670"/>
      <c r="Q400" s="670"/>
      <c r="R400" s="670"/>
      <c r="S400" s="670"/>
      <c r="T400" s="670"/>
    </row>
    <row r="401" spans="1:20" s="22" customFormat="1" ht="18.75" customHeight="1">
      <c r="A401" s="190" t="s">
        <v>682</v>
      </c>
      <c r="B401" s="191" t="s">
        <v>683</v>
      </c>
      <c r="C401" s="265" t="s">
        <v>684</v>
      </c>
      <c r="D401" s="964" t="s">
        <v>2761</v>
      </c>
      <c r="E401" s="192" t="s">
        <v>1748</v>
      </c>
      <c r="F401" s="345">
        <v>3.2</v>
      </c>
      <c r="G401" s="345"/>
      <c r="H401" s="345">
        <f>F401*G401</f>
        <v>0</v>
      </c>
      <c r="I401" s="346">
        <v>0.00031</v>
      </c>
      <c r="J401" s="347">
        <f>F401*I401</f>
        <v>0.000992</v>
      </c>
      <c r="K401" s="693"/>
      <c r="L401" s="693"/>
      <c r="M401" s="693"/>
      <c r="N401" s="693"/>
      <c r="O401" s="693"/>
      <c r="P401" s="693"/>
      <c r="Q401" s="694"/>
      <c r="R401" s="509"/>
      <c r="S401" s="509"/>
      <c r="T401" s="509"/>
    </row>
    <row r="402" spans="1:20" s="22" customFormat="1" ht="18.75" customHeight="1">
      <c r="A402" s="196" t="s">
        <v>686</v>
      </c>
      <c r="B402" s="197" t="s">
        <v>687</v>
      </c>
      <c r="C402" s="199" t="s">
        <v>688</v>
      </c>
      <c r="D402" s="917" t="s">
        <v>2761</v>
      </c>
      <c r="E402" s="198" t="s">
        <v>1748</v>
      </c>
      <c r="F402" s="332">
        <v>3.2</v>
      </c>
      <c r="G402" s="332"/>
      <c r="H402" s="332">
        <f>F402*G402</f>
        <v>0</v>
      </c>
      <c r="I402" s="333">
        <v>1E-05</v>
      </c>
      <c r="J402" s="334">
        <f>F402*I402</f>
        <v>3.2000000000000005E-05</v>
      </c>
      <c r="K402" s="693"/>
      <c r="L402" s="693"/>
      <c r="M402" s="693"/>
      <c r="N402" s="693"/>
      <c r="O402" s="693"/>
      <c r="P402" s="693"/>
      <c r="Q402" s="694"/>
      <c r="R402" s="509"/>
      <c r="S402" s="509"/>
      <c r="T402" s="509"/>
    </row>
    <row r="403" spans="1:20" s="22" customFormat="1" ht="18.75" customHeight="1">
      <c r="A403" s="196" t="s">
        <v>689</v>
      </c>
      <c r="B403" s="197" t="s">
        <v>690</v>
      </c>
      <c r="C403" s="199" t="s">
        <v>691</v>
      </c>
      <c r="D403" s="917" t="s">
        <v>2761</v>
      </c>
      <c r="E403" s="198" t="s">
        <v>1748</v>
      </c>
      <c r="F403" s="594">
        <f>3.2+2*(2.28*0.28)+0.18*0.28*2</f>
        <v>4.5776</v>
      </c>
      <c r="G403" s="332"/>
      <c r="H403" s="332">
        <f>F403*G403</f>
        <v>0</v>
      </c>
      <c r="I403" s="333">
        <v>0.00039</v>
      </c>
      <c r="J403" s="334">
        <f>F403*I403</f>
        <v>0.0017852640000000002</v>
      </c>
      <c r="K403" s="693"/>
      <c r="L403" s="693"/>
      <c r="M403" s="693"/>
      <c r="N403" s="693"/>
      <c r="O403" s="693"/>
      <c r="P403" s="693"/>
      <c r="Q403" s="694"/>
      <c r="R403" s="509"/>
      <c r="S403" s="509"/>
      <c r="T403" s="509"/>
    </row>
    <row r="404" spans="1:20" s="22" customFormat="1" ht="12.75" customHeight="1">
      <c r="A404" s="196"/>
      <c r="B404" s="197"/>
      <c r="C404" s="199"/>
      <c r="D404" s="917"/>
      <c r="E404" s="198"/>
      <c r="F404" s="332"/>
      <c r="G404" s="332"/>
      <c r="H404" s="332"/>
      <c r="I404" s="333"/>
      <c r="J404" s="334"/>
      <c r="K404" s="693"/>
      <c r="L404" s="693"/>
      <c r="M404" s="693"/>
      <c r="N404" s="693"/>
      <c r="O404" s="693"/>
      <c r="P404" s="693"/>
      <c r="Q404" s="694"/>
      <c r="R404" s="509"/>
      <c r="S404" s="509"/>
      <c r="T404" s="509"/>
    </row>
    <row r="405" spans="1:20" s="22" customFormat="1" ht="18.75" customHeight="1">
      <c r="A405" s="196" t="s">
        <v>692</v>
      </c>
      <c r="B405" s="197" t="s">
        <v>1720</v>
      </c>
      <c r="C405" s="199" t="s">
        <v>693</v>
      </c>
      <c r="D405" s="917" t="s">
        <v>2761</v>
      </c>
      <c r="E405" s="198" t="s">
        <v>1748</v>
      </c>
      <c r="F405" s="332">
        <f>SUM(E406:E407)</f>
        <v>12.199000000000002</v>
      </c>
      <c r="G405" s="332"/>
      <c r="H405" s="332">
        <f>F405*G405</f>
        <v>0</v>
      </c>
      <c r="I405" s="333">
        <v>0.0003</v>
      </c>
      <c r="J405" s="334">
        <f>F405*I405</f>
        <v>0.0036597</v>
      </c>
      <c r="K405" s="693"/>
      <c r="L405" s="693"/>
      <c r="M405" s="693"/>
      <c r="N405" s="693"/>
      <c r="O405" s="693"/>
      <c r="P405" s="693"/>
      <c r="Q405" s="694"/>
      <c r="R405" s="509"/>
      <c r="S405" s="509"/>
      <c r="T405" s="509"/>
    </row>
    <row r="406" spans="1:20" s="130" customFormat="1" ht="22.5" customHeight="1">
      <c r="A406" s="204"/>
      <c r="B406" s="205" t="s">
        <v>878</v>
      </c>
      <c r="C406" s="206" t="s">
        <v>980</v>
      </c>
      <c r="D406" s="916"/>
      <c r="E406" s="207">
        <f>(2.36+3.33)*1.1</f>
        <v>6.259</v>
      </c>
      <c r="F406" s="335"/>
      <c r="G406" s="335"/>
      <c r="H406" s="335"/>
      <c r="I406" s="336"/>
      <c r="J406" s="337"/>
      <c r="K406" s="672"/>
      <c r="L406" s="672"/>
      <c r="M406" s="672"/>
      <c r="N406" s="672"/>
      <c r="O406" s="672"/>
      <c r="P406" s="672"/>
      <c r="Q406" s="673"/>
      <c r="R406" s="508"/>
      <c r="S406" s="508"/>
      <c r="T406" s="508"/>
    </row>
    <row r="407" spans="1:20" s="130" customFormat="1" ht="22.5" customHeight="1" thickBot="1">
      <c r="A407" s="241"/>
      <c r="B407" s="242" t="s">
        <v>884</v>
      </c>
      <c r="C407" s="243" t="s">
        <v>981</v>
      </c>
      <c r="D407" s="993"/>
      <c r="E407" s="244">
        <f>(3.56+1.84)*1.1</f>
        <v>5.940000000000001</v>
      </c>
      <c r="F407" s="360"/>
      <c r="G407" s="360"/>
      <c r="H407" s="360"/>
      <c r="I407" s="361"/>
      <c r="J407" s="362"/>
      <c r="K407" s="672"/>
      <c r="L407" s="672"/>
      <c r="M407" s="672"/>
      <c r="N407" s="672"/>
      <c r="O407" s="672"/>
      <c r="P407" s="672"/>
      <c r="Q407" s="673"/>
      <c r="R407" s="508"/>
      <c r="S407" s="508"/>
      <c r="T407" s="508"/>
    </row>
    <row r="408" spans="1:20" ht="16.5" customHeight="1" thickBot="1">
      <c r="A408" s="266" t="s">
        <v>695</v>
      </c>
      <c r="B408" s="175" t="s">
        <v>696</v>
      </c>
      <c r="C408" s="176" t="s">
        <v>697</v>
      </c>
      <c r="D408" s="1007" t="s">
        <v>2782</v>
      </c>
      <c r="E408" s="175"/>
      <c r="F408" s="341"/>
      <c r="G408" s="341"/>
      <c r="H408" s="342">
        <f>SUM(H409:H411)</f>
        <v>0</v>
      </c>
      <c r="I408" s="343"/>
      <c r="J408" s="344">
        <f>SUM(J409:J411)</f>
        <v>0.20380799999999996</v>
      </c>
      <c r="K408" s="670"/>
      <c r="L408" s="670"/>
      <c r="M408" s="670"/>
      <c r="N408" s="670"/>
      <c r="O408" s="670"/>
      <c r="P408" s="670"/>
      <c r="Q408" s="670"/>
      <c r="R408" s="670"/>
      <c r="S408" s="670"/>
      <c r="T408" s="670"/>
    </row>
    <row r="409" spans="1:20" s="22" customFormat="1" ht="18.75" customHeight="1">
      <c r="A409" s="196" t="s">
        <v>698</v>
      </c>
      <c r="B409" s="197" t="s">
        <v>699</v>
      </c>
      <c r="C409" s="199" t="s">
        <v>700</v>
      </c>
      <c r="D409" s="917" t="s">
        <v>2782</v>
      </c>
      <c r="E409" s="198" t="s">
        <v>1748</v>
      </c>
      <c r="F409" s="332">
        <f>926.4*0.85</f>
        <v>787.4399999999999</v>
      </c>
      <c r="G409" s="332"/>
      <c r="H409" s="332">
        <f>F409*G409</f>
        <v>0</v>
      </c>
      <c r="I409" s="333">
        <v>0</v>
      </c>
      <c r="J409" s="334">
        <f>F409*I409</f>
        <v>0</v>
      </c>
      <c r="K409" s="693"/>
      <c r="L409" s="693"/>
      <c r="M409" s="693"/>
      <c r="N409" s="693"/>
      <c r="O409" s="693"/>
      <c r="P409" s="693"/>
      <c r="Q409" s="694"/>
      <c r="R409" s="509"/>
      <c r="S409" s="509"/>
      <c r="T409" s="509"/>
    </row>
    <row r="410" spans="1:20" s="22" customFormat="1" ht="18.75" customHeight="1">
      <c r="A410" s="196" t="s">
        <v>701</v>
      </c>
      <c r="B410" s="197" t="s">
        <v>702</v>
      </c>
      <c r="C410" s="199" t="s">
        <v>703</v>
      </c>
      <c r="D410" s="917" t="s">
        <v>2782</v>
      </c>
      <c r="E410" s="198" t="s">
        <v>1748</v>
      </c>
      <c r="F410" s="332">
        <v>926.4</v>
      </c>
      <c r="G410" s="332"/>
      <c r="H410" s="332">
        <f>F410*G410</f>
        <v>0</v>
      </c>
      <c r="I410" s="333">
        <v>7E-05</v>
      </c>
      <c r="J410" s="334">
        <f>F410*I410</f>
        <v>0.06484799999999999</v>
      </c>
      <c r="K410" s="693"/>
      <c r="L410" s="693"/>
      <c r="M410" s="693"/>
      <c r="N410" s="693"/>
      <c r="O410" s="693"/>
      <c r="P410" s="693"/>
      <c r="Q410" s="694"/>
      <c r="R410" s="509"/>
      <c r="S410" s="509"/>
      <c r="T410" s="509"/>
    </row>
    <row r="411" spans="1:20" s="22" customFormat="1" ht="18.75" customHeight="1" thickBot="1">
      <c r="A411" s="196" t="s">
        <v>704</v>
      </c>
      <c r="B411" s="197" t="s">
        <v>705</v>
      </c>
      <c r="C411" s="199" t="s">
        <v>706</v>
      </c>
      <c r="D411" s="917" t="s">
        <v>2782</v>
      </c>
      <c r="E411" s="198" t="s">
        <v>1748</v>
      </c>
      <c r="F411" s="332">
        <f>F410</f>
        <v>926.4</v>
      </c>
      <c r="G411" s="332"/>
      <c r="H411" s="332">
        <f>F411*G411</f>
        <v>0</v>
      </c>
      <c r="I411" s="333">
        <v>0.00015</v>
      </c>
      <c r="J411" s="334">
        <f>F411*I411</f>
        <v>0.13895999999999997</v>
      </c>
      <c r="K411" s="693"/>
      <c r="L411" s="693"/>
      <c r="M411" s="693"/>
      <c r="N411" s="693"/>
      <c r="O411" s="693"/>
      <c r="P411" s="693"/>
      <c r="Q411" s="694"/>
      <c r="R411" s="509"/>
      <c r="S411" s="509"/>
      <c r="T411" s="509"/>
    </row>
    <row r="412" spans="1:20" ht="16.5" customHeight="1" thickBot="1">
      <c r="A412" s="266" t="s">
        <v>805</v>
      </c>
      <c r="B412" s="175" t="s">
        <v>708</v>
      </c>
      <c r="C412" s="176" t="s">
        <v>709</v>
      </c>
      <c r="D412" s="1007" t="s">
        <v>2761</v>
      </c>
      <c r="E412" s="175"/>
      <c r="F412" s="341"/>
      <c r="G412" s="341"/>
      <c r="H412" s="342">
        <f>SUM(H413:H416)</f>
        <v>0</v>
      </c>
      <c r="I412" s="343"/>
      <c r="J412" s="344">
        <f>SUM(J413:J416)</f>
        <v>0</v>
      </c>
      <c r="K412" s="670"/>
      <c r="L412" s="670"/>
      <c r="M412" s="670"/>
      <c r="N412" s="670"/>
      <c r="O412" s="670"/>
      <c r="P412" s="670"/>
      <c r="Q412" s="670"/>
      <c r="R412" s="670"/>
      <c r="S412" s="670"/>
      <c r="T412" s="670"/>
    </row>
    <row r="413" spans="1:20" s="22" customFormat="1" ht="18.75" customHeight="1">
      <c r="A413" s="196"/>
      <c r="B413" s="197"/>
      <c r="C413" s="199"/>
      <c r="D413" s="917"/>
      <c r="E413" s="198"/>
      <c r="F413" s="332"/>
      <c r="G413" s="332"/>
      <c r="H413" s="332"/>
      <c r="I413" s="333"/>
      <c r="J413" s="334"/>
      <c r="K413" s="693"/>
      <c r="L413" s="693"/>
      <c r="M413" s="693"/>
      <c r="N413" s="693"/>
      <c r="O413" s="693"/>
      <c r="P413" s="693"/>
      <c r="Q413" s="694"/>
      <c r="R413" s="509"/>
      <c r="S413" s="509"/>
      <c r="T413" s="509"/>
    </row>
    <row r="414" spans="1:20" s="22" customFormat="1" ht="28.5" customHeight="1">
      <c r="A414" s="196" t="s">
        <v>710</v>
      </c>
      <c r="B414" s="197" t="s">
        <v>711</v>
      </c>
      <c r="C414" s="199" t="s">
        <v>712</v>
      </c>
      <c r="D414" s="917" t="s">
        <v>2761</v>
      </c>
      <c r="E414" s="198" t="s">
        <v>2695</v>
      </c>
      <c r="F414" s="332">
        <v>1</v>
      </c>
      <c r="G414" s="332"/>
      <c r="H414" s="332">
        <f>F414*G414</f>
        <v>0</v>
      </c>
      <c r="I414" s="333">
        <v>0</v>
      </c>
      <c r="J414" s="334">
        <f>F414*I414</f>
        <v>0</v>
      </c>
      <c r="K414" s="693"/>
      <c r="L414" s="693"/>
      <c r="M414" s="693"/>
      <c r="N414" s="693"/>
      <c r="O414" s="693"/>
      <c r="P414" s="693"/>
      <c r="Q414" s="694"/>
      <c r="R414" s="509"/>
      <c r="S414" s="509"/>
      <c r="T414" s="509"/>
    </row>
    <row r="415" spans="1:20" s="22" customFormat="1" ht="18.75" customHeight="1">
      <c r="A415" s="196" t="s">
        <v>713</v>
      </c>
      <c r="B415" s="197" t="s">
        <v>714</v>
      </c>
      <c r="C415" s="199" t="s">
        <v>715</v>
      </c>
      <c r="D415" s="917" t="s">
        <v>2761</v>
      </c>
      <c r="E415" s="198" t="s">
        <v>2695</v>
      </c>
      <c r="F415" s="332">
        <v>1</v>
      </c>
      <c r="G415" s="332"/>
      <c r="H415" s="332">
        <f>F415*G415</f>
        <v>0</v>
      </c>
      <c r="I415" s="333">
        <v>0</v>
      </c>
      <c r="J415" s="334">
        <f>F415*I415</f>
        <v>0</v>
      </c>
      <c r="K415" s="693"/>
      <c r="L415" s="693"/>
      <c r="M415" s="693"/>
      <c r="N415" s="693"/>
      <c r="O415" s="693"/>
      <c r="P415" s="693"/>
      <c r="Q415" s="694"/>
      <c r="R415" s="509"/>
      <c r="S415" s="509"/>
      <c r="T415" s="509"/>
    </row>
    <row r="416" spans="1:20" s="22" customFormat="1" ht="18.75" customHeight="1" thickBot="1">
      <c r="A416" s="196"/>
      <c r="B416" s="197"/>
      <c r="C416" s="199"/>
      <c r="D416" s="917"/>
      <c r="E416" s="198"/>
      <c r="F416" s="332"/>
      <c r="G416" s="332"/>
      <c r="H416" s="332"/>
      <c r="I416" s="333"/>
      <c r="J416" s="334"/>
      <c r="K416" s="693"/>
      <c r="L416" s="693"/>
      <c r="M416" s="693"/>
      <c r="N416" s="693"/>
      <c r="O416" s="693"/>
      <c r="P416" s="693"/>
      <c r="Q416" s="694"/>
      <c r="R416" s="509"/>
      <c r="S416" s="509"/>
      <c r="T416" s="509"/>
    </row>
    <row r="417" spans="1:20" ht="16.5" customHeight="1" thickBot="1">
      <c r="A417" s="266"/>
      <c r="B417" s="175"/>
      <c r="C417" s="176"/>
      <c r="D417" s="1008"/>
      <c r="E417" s="175"/>
      <c r="F417" s="341"/>
      <c r="G417" s="341"/>
      <c r="H417" s="342"/>
      <c r="I417" s="343"/>
      <c r="J417" s="344"/>
      <c r="K417" s="670"/>
      <c r="L417" s="670"/>
      <c r="M417" s="670"/>
      <c r="N417" s="670"/>
      <c r="O417" s="670"/>
      <c r="P417" s="670"/>
      <c r="Q417" s="670"/>
      <c r="R417" s="670"/>
      <c r="S417" s="670"/>
      <c r="T417" s="670"/>
    </row>
    <row r="418" spans="1:20" ht="15">
      <c r="A418" s="24"/>
      <c r="B418" s="186"/>
      <c r="C418" s="186"/>
      <c r="D418" s="187"/>
      <c r="E418" s="187"/>
      <c r="F418" s="409"/>
      <c r="G418" s="409"/>
      <c r="H418" s="409"/>
      <c r="I418" s="410"/>
      <c r="J418" s="411"/>
      <c r="K418" s="761"/>
      <c r="L418" s="761"/>
      <c r="M418" s="761"/>
      <c r="N418" s="761"/>
      <c r="O418" s="761"/>
      <c r="P418" s="761"/>
      <c r="Q418" s="762"/>
      <c r="R418" s="670"/>
      <c r="S418" s="670"/>
      <c r="T418" s="670"/>
    </row>
    <row r="419" spans="1:20" s="577" customFormat="1" ht="24" customHeight="1" thickBot="1">
      <c r="A419" s="753"/>
      <c r="B419" s="754"/>
      <c r="C419" s="755" t="s">
        <v>716</v>
      </c>
      <c r="D419" s="756"/>
      <c r="E419" s="756"/>
      <c r="F419" s="754"/>
      <c r="G419" s="754"/>
      <c r="H419" s="757">
        <f>H412+H408+H400+H398+H383+H360+H334+H318+H313+H311+H288+H268+H235+H170+H160+H156+H112+H99+H67+H59+H45+H43+H40+H28+H18</f>
        <v>0</v>
      </c>
      <c r="I419" s="758"/>
      <c r="J419" s="759"/>
      <c r="K419" s="760"/>
      <c r="L419" s="760"/>
      <c r="M419" s="760"/>
      <c r="N419" s="760"/>
      <c r="O419" s="760"/>
      <c r="P419" s="760"/>
      <c r="Q419" s="760"/>
      <c r="R419" s="760"/>
      <c r="S419" s="760"/>
      <c r="T419" s="760"/>
    </row>
    <row r="420" spans="6:20" ht="12.75">
      <c r="F420" s="412"/>
      <c r="G420" s="412"/>
      <c r="H420" s="412"/>
      <c r="I420" s="413"/>
      <c r="J420" s="413"/>
      <c r="K420" s="761"/>
      <c r="L420" s="761"/>
      <c r="M420" s="761"/>
      <c r="N420" s="761"/>
      <c r="O420" s="761"/>
      <c r="P420" s="761"/>
      <c r="Q420" s="762"/>
      <c r="R420" s="670"/>
      <c r="S420" s="670"/>
      <c r="T420" s="670"/>
    </row>
  </sheetData>
  <mergeCells count="21">
    <mergeCell ref="F2:F3"/>
    <mergeCell ref="C2:C3"/>
    <mergeCell ref="C4:C5"/>
    <mergeCell ref="F4:F5"/>
    <mergeCell ref="D2:E3"/>
    <mergeCell ref="D4:E5"/>
    <mergeCell ref="G2:G3"/>
    <mergeCell ref="G4:G5"/>
    <mergeCell ref="H2:J3"/>
    <mergeCell ref="H4:J5"/>
    <mergeCell ref="H6:J7"/>
    <mergeCell ref="G14:H14"/>
    <mergeCell ref="G6:G7"/>
    <mergeCell ref="I14:J14"/>
    <mergeCell ref="C8:C9"/>
    <mergeCell ref="D8:F9"/>
    <mergeCell ref="G8:G9"/>
    <mergeCell ref="H8:J9"/>
    <mergeCell ref="C6:C7"/>
    <mergeCell ref="D6:E7"/>
    <mergeCell ref="F6:F7"/>
  </mergeCells>
  <printOptions/>
  <pageMargins left="0.3937007874015748" right="0.35433070866141736" top="0.5905511811023623" bottom="0.6692913385826772" header="0.2362204724409449" footer="0.2362204724409449"/>
  <pageSetup horizontalDpi="600" verticalDpi="600" orientation="portrait" paperSize="9" scale="70" r:id="rId1"/>
  <headerFooter alignWithMargins="0">
    <oddFooter>&amp;L&amp;F
&amp;A&amp;C&amp;P/&amp;N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H391"/>
  <sheetViews>
    <sheetView showGridLines="0" view="pageBreakPreview" zoomScaleSheetLayoutView="100" workbookViewId="0" topLeftCell="A1">
      <selection activeCell="I14" sqref="I14:J14"/>
    </sheetView>
  </sheetViews>
  <sheetFormatPr defaultColWidth="9.140625" defaultRowHeight="12.75"/>
  <cols>
    <col min="1" max="1" width="5.28125" style="28" customWidth="1"/>
    <col min="2" max="2" width="14.7109375" style="0" customWidth="1"/>
    <col min="3" max="3" width="43.7109375" style="0" customWidth="1"/>
    <col min="4" max="4" width="10.8515625" style="987" customWidth="1"/>
    <col min="5" max="5" width="9.421875" style="33" bestFit="1" customWidth="1"/>
    <col min="6" max="6" width="10.140625" style="0" customWidth="1"/>
    <col min="7" max="7" width="11.140625" style="0" customWidth="1"/>
    <col min="8" max="8" width="13.421875" style="0" customWidth="1"/>
    <col min="9" max="9" width="7.8515625" style="12" customWidth="1"/>
    <col min="10" max="10" width="10.28125" style="12" customWidth="1"/>
    <col min="11" max="11" width="9.140625" style="579" customWidth="1"/>
    <col min="12" max="12" width="9.421875" style="579" bestFit="1" customWidth="1"/>
    <col min="13" max="21" width="9.140625" style="579" customWidth="1"/>
  </cols>
  <sheetData>
    <row r="1" spans="1:21" ht="23.25">
      <c r="A1" s="23"/>
      <c r="B1" s="13"/>
      <c r="C1" s="14" t="s">
        <v>1683</v>
      </c>
      <c r="D1" s="13"/>
      <c r="E1" s="13"/>
      <c r="F1" s="13"/>
      <c r="G1" s="13"/>
      <c r="H1" s="13"/>
      <c r="I1" s="15"/>
      <c r="J1" s="16"/>
      <c r="K1" s="670"/>
      <c r="L1" s="670"/>
      <c r="M1" s="670"/>
      <c r="N1" s="670"/>
      <c r="O1" s="670"/>
      <c r="P1" s="670"/>
      <c r="Q1" s="670"/>
      <c r="R1" s="670"/>
      <c r="S1" s="670"/>
      <c r="T1" s="670"/>
      <c r="U1" s="670"/>
    </row>
    <row r="2" spans="1:21" ht="12.75">
      <c r="A2" s="24"/>
      <c r="B2" s="653"/>
      <c r="C2" s="1310" t="s">
        <v>1684</v>
      </c>
      <c r="D2" s="1308" t="s">
        <v>1685</v>
      </c>
      <c r="E2" s="1308"/>
      <c r="F2" s="1308"/>
      <c r="G2" s="1320" t="s">
        <v>1686</v>
      </c>
      <c r="H2" s="1324" t="s">
        <v>1687</v>
      </c>
      <c r="I2" s="1325"/>
      <c r="J2" s="1326"/>
      <c r="K2" s="670"/>
      <c r="L2" s="670"/>
      <c r="M2" s="670"/>
      <c r="N2" s="670"/>
      <c r="O2" s="670"/>
      <c r="P2" s="670"/>
      <c r="Q2" s="670"/>
      <c r="R2" s="670"/>
      <c r="S2" s="670"/>
      <c r="T2" s="670"/>
      <c r="U2" s="670"/>
    </row>
    <row r="3" spans="1:21" ht="12.75">
      <c r="A3" s="24"/>
      <c r="B3" s="652"/>
      <c r="C3" s="1311"/>
      <c r="D3" s="1309"/>
      <c r="E3" s="1309"/>
      <c r="F3" s="1309"/>
      <c r="G3" s="1321"/>
      <c r="H3" s="1316"/>
      <c r="I3" s="1316"/>
      <c r="J3" s="1317"/>
      <c r="K3" s="670"/>
      <c r="L3" s="670"/>
      <c r="M3" s="670"/>
      <c r="N3" s="670"/>
      <c r="O3" s="670"/>
      <c r="P3" s="670"/>
      <c r="Q3" s="670"/>
      <c r="R3" s="670"/>
      <c r="S3" s="670"/>
      <c r="T3" s="670"/>
      <c r="U3" s="670"/>
    </row>
    <row r="4" spans="1:21" ht="12.75">
      <c r="A4" s="24"/>
      <c r="B4" s="652"/>
      <c r="C4" s="1309" t="s">
        <v>1688</v>
      </c>
      <c r="D4" s="1309" t="s">
        <v>1689</v>
      </c>
      <c r="E4" s="1309"/>
      <c r="F4" s="1327"/>
      <c r="G4" s="1321" t="s">
        <v>1690</v>
      </c>
      <c r="H4" s="1315" t="s">
        <v>1586</v>
      </c>
      <c r="I4" s="1315"/>
      <c r="J4" s="1328"/>
      <c r="K4" s="670"/>
      <c r="L4" s="670"/>
      <c r="M4" s="670"/>
      <c r="N4" s="670"/>
      <c r="O4" s="670"/>
      <c r="P4" s="670"/>
      <c r="Q4" s="670"/>
      <c r="R4" s="670"/>
      <c r="S4" s="670"/>
      <c r="T4" s="670"/>
      <c r="U4" s="670"/>
    </row>
    <row r="5" spans="1:21" ht="12.75">
      <c r="A5" s="24"/>
      <c r="B5" s="652"/>
      <c r="C5" s="1312"/>
      <c r="D5" s="1309"/>
      <c r="E5" s="1309"/>
      <c r="F5" s="1327"/>
      <c r="G5" s="1321"/>
      <c r="H5" s="1315"/>
      <c r="I5" s="1315"/>
      <c r="J5" s="1328"/>
      <c r="K5" s="670"/>
      <c r="L5" s="670"/>
      <c r="M5" s="670"/>
      <c r="N5" s="670"/>
      <c r="O5" s="670"/>
      <c r="P5" s="670"/>
      <c r="Q5" s="670"/>
      <c r="R5" s="670"/>
      <c r="S5" s="670"/>
      <c r="T5" s="670"/>
      <c r="U5" s="670"/>
    </row>
    <row r="6" spans="1:21" ht="12.75">
      <c r="A6" s="24"/>
      <c r="B6" s="652"/>
      <c r="C6" s="1309" t="s">
        <v>1580</v>
      </c>
      <c r="D6" s="1309" t="s">
        <v>1691</v>
      </c>
      <c r="E6" s="1309"/>
      <c r="F6" s="1327"/>
      <c r="G6" s="1321" t="s">
        <v>1692</v>
      </c>
      <c r="H6" s="1315"/>
      <c r="I6" s="1316"/>
      <c r="J6" s="1317"/>
      <c r="K6" s="670"/>
      <c r="L6" s="670"/>
      <c r="M6" s="670"/>
      <c r="N6" s="670"/>
      <c r="O6" s="670"/>
      <c r="P6" s="670"/>
      <c r="Q6" s="670"/>
      <c r="R6" s="670"/>
      <c r="S6" s="670"/>
      <c r="T6" s="670"/>
      <c r="U6" s="670"/>
    </row>
    <row r="7" spans="1:21" ht="12.75">
      <c r="A7" s="24"/>
      <c r="B7" s="652"/>
      <c r="C7" s="1312"/>
      <c r="D7" s="1309"/>
      <c r="E7" s="1309"/>
      <c r="F7" s="1327"/>
      <c r="G7" s="1321"/>
      <c r="H7" s="1316"/>
      <c r="I7" s="1316"/>
      <c r="J7" s="1317"/>
      <c r="K7" s="670"/>
      <c r="L7" s="670"/>
      <c r="M7" s="670"/>
      <c r="N7" s="670"/>
      <c r="O7" s="670"/>
      <c r="P7" s="670"/>
      <c r="Q7" s="670"/>
      <c r="R7" s="670"/>
      <c r="S7" s="670"/>
      <c r="T7" s="670"/>
      <c r="U7" s="670"/>
    </row>
    <row r="8" spans="1:21" ht="12.75">
      <c r="A8" s="24"/>
      <c r="B8" s="652"/>
      <c r="C8" s="1306" t="s">
        <v>1050</v>
      </c>
      <c r="D8" s="1313" t="s">
        <v>2829</v>
      </c>
      <c r="E8" s="1314"/>
      <c r="F8" s="1314"/>
      <c r="G8" s="1321" t="s">
        <v>1693</v>
      </c>
      <c r="H8" s="1315" t="s">
        <v>1586</v>
      </c>
      <c r="I8" s="1316"/>
      <c r="J8" s="1317"/>
      <c r="K8" s="670"/>
      <c r="L8" s="670"/>
      <c r="M8" s="670"/>
      <c r="N8" s="670"/>
      <c r="O8" s="670"/>
      <c r="P8" s="670"/>
      <c r="Q8" s="670"/>
      <c r="R8" s="670"/>
      <c r="S8" s="670"/>
      <c r="T8" s="670"/>
      <c r="U8" s="670"/>
    </row>
    <row r="9" spans="1:21" ht="12.75">
      <c r="A9" s="24"/>
      <c r="B9" s="652"/>
      <c r="C9" s="1329"/>
      <c r="D9" s="1314"/>
      <c r="E9" s="1314"/>
      <c r="F9" s="1314"/>
      <c r="G9" s="1321"/>
      <c r="H9" s="1316"/>
      <c r="I9" s="1316"/>
      <c r="J9" s="1317"/>
      <c r="K9" s="670"/>
      <c r="L9" s="670"/>
      <c r="M9" s="670"/>
      <c r="N9" s="670"/>
      <c r="O9" s="670"/>
      <c r="P9" s="670"/>
      <c r="Q9" s="670"/>
      <c r="R9" s="670"/>
      <c r="S9" s="670"/>
      <c r="T9" s="670"/>
      <c r="U9" s="670"/>
    </row>
    <row r="10" spans="1:20" s="18" customFormat="1" ht="15" customHeight="1">
      <c r="A10" s="25"/>
      <c r="B10" s="652"/>
      <c r="C10" s="1015"/>
      <c r="D10" s="1021" t="s">
        <v>2748</v>
      </c>
      <c r="E10" s="1020"/>
      <c r="F10" s="1020"/>
      <c r="G10" s="1000"/>
      <c r="H10" s="1001"/>
      <c r="I10" s="1001"/>
      <c r="J10" s="1002"/>
      <c r="K10" s="671"/>
      <c r="L10" s="671"/>
      <c r="M10" s="671"/>
      <c r="N10" s="671"/>
      <c r="O10" s="671"/>
      <c r="P10" s="671"/>
      <c r="Q10" s="671"/>
      <c r="R10" s="671"/>
      <c r="S10" s="671"/>
      <c r="T10" s="671"/>
    </row>
    <row r="11" spans="1:20" s="18" customFormat="1" ht="16.5" customHeight="1">
      <c r="A11" s="25"/>
      <c r="B11" s="652"/>
      <c r="C11" s="1015"/>
      <c r="D11" s="1035" t="s">
        <v>2828</v>
      </c>
      <c r="E11" s="1035"/>
      <c r="F11" s="1035"/>
      <c r="G11" s="1000"/>
      <c r="H11" s="1001"/>
      <c r="I11" s="1001"/>
      <c r="J11" s="1002"/>
      <c r="O11" s="512"/>
      <c r="P11" s="512"/>
      <c r="T11" s="671"/>
    </row>
    <row r="12" spans="1:20" s="18" customFormat="1" ht="16.5" customHeight="1" thickBot="1">
      <c r="A12" s="889"/>
      <c r="B12" s="890"/>
      <c r="C12" s="891"/>
      <c r="D12" s="1036" t="s">
        <v>2834</v>
      </c>
      <c r="E12" s="1036"/>
      <c r="F12" s="1036"/>
      <c r="G12" s="892"/>
      <c r="H12" s="893"/>
      <c r="I12" s="893"/>
      <c r="J12" s="894"/>
      <c r="O12" s="512"/>
      <c r="P12" s="512"/>
      <c r="T12" s="671"/>
    </row>
    <row r="13" spans="1:21" ht="13.5" thickBot="1">
      <c r="A13" s="160"/>
      <c r="B13" s="161"/>
      <c r="C13" s="162"/>
      <c r="D13" s="161"/>
      <c r="E13" s="161"/>
      <c r="F13" s="161"/>
      <c r="G13" s="161"/>
      <c r="H13" s="161"/>
      <c r="I13" s="163"/>
      <c r="J13" s="164"/>
      <c r="K13" s="670"/>
      <c r="L13" s="670"/>
      <c r="M13" s="670"/>
      <c r="N13" s="670"/>
      <c r="O13" s="670"/>
      <c r="P13" s="670"/>
      <c r="Q13" s="670"/>
      <c r="R13" s="670"/>
      <c r="S13" s="670"/>
      <c r="T13" s="670"/>
      <c r="U13" s="670"/>
    </row>
    <row r="14" spans="1:21" s="18" customFormat="1" ht="12.75">
      <c r="A14" s="25"/>
      <c r="B14" s="17" t="s">
        <v>1694</v>
      </c>
      <c r="C14" s="2" t="s">
        <v>1694</v>
      </c>
      <c r="D14" s="1180"/>
      <c r="E14" s="30" t="s">
        <v>1694</v>
      </c>
      <c r="F14" s="2" t="s">
        <v>1694</v>
      </c>
      <c r="G14" s="1322" t="s">
        <v>1695</v>
      </c>
      <c r="H14" s="1323"/>
      <c r="I14" s="1318" t="s">
        <v>1696</v>
      </c>
      <c r="J14" s="1319"/>
      <c r="K14" s="671"/>
      <c r="L14" s="671"/>
      <c r="M14" s="671"/>
      <c r="N14" s="671"/>
      <c r="O14" s="671"/>
      <c r="P14" s="671"/>
      <c r="Q14" s="671"/>
      <c r="R14" s="671"/>
      <c r="S14" s="671"/>
      <c r="T14" s="671"/>
      <c r="U14" s="671"/>
    </row>
    <row r="15" spans="1:21" s="18" customFormat="1" ht="13.5" thickBot="1">
      <c r="A15" s="26"/>
      <c r="B15" s="19" t="s">
        <v>1697</v>
      </c>
      <c r="C15" s="4" t="s">
        <v>1698</v>
      </c>
      <c r="D15" s="924" t="s">
        <v>2751</v>
      </c>
      <c r="E15" s="6" t="s">
        <v>1699</v>
      </c>
      <c r="F15" s="6" t="s">
        <v>1700</v>
      </c>
      <c r="G15" s="7" t="s">
        <v>1701</v>
      </c>
      <c r="H15" s="8" t="s">
        <v>1702</v>
      </c>
      <c r="I15" s="10" t="s">
        <v>1701</v>
      </c>
      <c r="J15" s="11" t="s">
        <v>1702</v>
      </c>
      <c r="K15" s="671"/>
      <c r="L15" s="671"/>
      <c r="M15" s="671"/>
      <c r="N15" s="671"/>
      <c r="O15" s="671"/>
      <c r="P15" s="671"/>
      <c r="Q15" s="671"/>
      <c r="R15" s="671"/>
      <c r="S15" s="671"/>
      <c r="T15" s="671"/>
      <c r="U15" s="671"/>
    </row>
    <row r="16" spans="1:21" ht="16.5" customHeight="1" thickBot="1">
      <c r="A16" s="266"/>
      <c r="B16" s="175"/>
      <c r="C16" s="176"/>
      <c r="D16" s="175"/>
      <c r="E16" s="175"/>
      <c r="F16" s="175"/>
      <c r="G16" s="175"/>
      <c r="H16" s="185"/>
      <c r="I16" s="177"/>
      <c r="J16" s="178"/>
      <c r="K16" s="670"/>
      <c r="L16" s="670"/>
      <c r="M16" s="670"/>
      <c r="N16" s="670"/>
      <c r="O16" s="670"/>
      <c r="P16" s="670"/>
      <c r="Q16" s="670"/>
      <c r="R16" s="670"/>
      <c r="S16" s="670"/>
      <c r="T16" s="670"/>
      <c r="U16" s="670"/>
    </row>
    <row r="17" spans="1:21" s="18" customFormat="1" ht="16.5" customHeight="1" thickBot="1">
      <c r="A17" s="27"/>
      <c r="B17" s="122"/>
      <c r="C17" s="122" t="s">
        <v>1703</v>
      </c>
      <c r="D17" s="1181"/>
      <c r="E17" s="123"/>
      <c r="F17" s="123"/>
      <c r="G17" s="124"/>
      <c r="H17" s="125">
        <f>H18+H29+H37+H39+H41+H57+H65+H97+H109+H156+H160+H170+H234+H260+H277+H291+H293+H298+H314+H341+H357+H373+H375+H380+H384</f>
        <v>0</v>
      </c>
      <c r="I17" s="126"/>
      <c r="J17" s="127"/>
      <c r="K17" s="671"/>
      <c r="L17" s="671"/>
      <c r="M17" s="671"/>
      <c r="N17" s="671"/>
      <c r="O17" s="671"/>
      <c r="P17" s="671"/>
      <c r="Q17" s="671"/>
      <c r="R17" s="671"/>
      <c r="S17" s="671"/>
      <c r="T17" s="671"/>
      <c r="U17" s="671"/>
    </row>
    <row r="18" spans="1:21" ht="16.5" customHeight="1" thickBot="1">
      <c r="A18" s="266" t="s">
        <v>1704</v>
      </c>
      <c r="B18" s="175" t="s">
        <v>1616</v>
      </c>
      <c r="C18" s="176" t="s">
        <v>1705</v>
      </c>
      <c r="D18" s="175"/>
      <c r="E18" s="175"/>
      <c r="F18" s="175"/>
      <c r="G18" s="175"/>
      <c r="H18" s="185">
        <f>SUM(H19:H28)</f>
        <v>0</v>
      </c>
      <c r="I18" s="177"/>
      <c r="J18" s="178">
        <f>SUM(J19:J28)</f>
        <v>92.56810000000002</v>
      </c>
      <c r="K18" s="670"/>
      <c r="L18" s="670"/>
      <c r="M18" s="670"/>
      <c r="N18" s="670"/>
      <c r="O18" s="670"/>
      <c r="P18" s="670"/>
      <c r="Q18" s="670"/>
      <c r="R18" s="670"/>
      <c r="S18" s="670"/>
      <c r="T18" s="670"/>
      <c r="U18" s="670"/>
    </row>
    <row r="19" spans="1:21" s="22" customFormat="1" ht="12">
      <c r="A19" s="190"/>
      <c r="B19" s="191"/>
      <c r="C19" s="191"/>
      <c r="D19" s="964"/>
      <c r="E19" s="192"/>
      <c r="F19" s="193"/>
      <c r="G19" s="193"/>
      <c r="H19" s="193"/>
      <c r="I19" s="194"/>
      <c r="J19" s="195"/>
      <c r="K19" s="509"/>
      <c r="L19" s="509"/>
      <c r="M19" s="509"/>
      <c r="N19" s="509"/>
      <c r="O19" s="509"/>
      <c r="P19" s="509"/>
      <c r="Q19" s="509"/>
      <c r="R19" s="509"/>
      <c r="S19" s="509"/>
      <c r="T19" s="509"/>
      <c r="U19" s="509"/>
    </row>
    <row r="20" spans="1:21" s="22" customFormat="1" ht="17.25" customHeight="1">
      <c r="A20" s="196" t="s">
        <v>1706</v>
      </c>
      <c r="B20" s="197" t="s">
        <v>1707</v>
      </c>
      <c r="C20" s="197" t="s">
        <v>1708</v>
      </c>
      <c r="D20" s="917" t="s">
        <v>2786</v>
      </c>
      <c r="E20" s="198" t="s">
        <v>1709</v>
      </c>
      <c r="F20" s="332">
        <f>E21</f>
        <v>288.59999999999997</v>
      </c>
      <c r="G20" s="332"/>
      <c r="H20" s="332">
        <f aca="true" t="shared" si="0" ref="H20:H28">F20*G20</f>
        <v>0</v>
      </c>
      <c r="I20" s="333">
        <v>0</v>
      </c>
      <c r="J20" s="334">
        <f aca="true" t="shared" si="1" ref="J20:J28">F20*I20</f>
        <v>0</v>
      </c>
      <c r="K20" s="693"/>
      <c r="L20" s="693"/>
      <c r="M20" s="693"/>
      <c r="N20" s="693"/>
      <c r="O20" s="693"/>
      <c r="P20" s="693"/>
      <c r="Q20" s="694"/>
      <c r="R20" s="509"/>
      <c r="S20" s="509"/>
      <c r="T20" s="509"/>
      <c r="U20" s="509"/>
    </row>
    <row r="21" spans="1:21" s="130" customFormat="1" ht="20.25" customHeight="1">
      <c r="A21" s="204"/>
      <c r="B21" s="205"/>
      <c r="C21" s="205" t="s">
        <v>1051</v>
      </c>
      <c r="D21" s="916"/>
      <c r="E21" s="207">
        <f>(35.4+43.8)*1.8*2+(1.3+4.5)*0.6*1</f>
        <v>288.59999999999997</v>
      </c>
      <c r="F21" s="335"/>
      <c r="G21" s="335"/>
      <c r="H21" s="335"/>
      <c r="I21" s="336"/>
      <c r="J21" s="337"/>
      <c r="K21" s="672"/>
      <c r="L21" s="672"/>
      <c r="M21" s="672"/>
      <c r="N21" s="672"/>
      <c r="O21" s="672"/>
      <c r="P21" s="672"/>
      <c r="Q21" s="673"/>
      <c r="R21" s="508"/>
      <c r="S21" s="508"/>
      <c r="T21" s="508"/>
      <c r="U21" s="508"/>
    </row>
    <row r="22" spans="1:21" s="22" customFormat="1" ht="17.25" customHeight="1">
      <c r="A22" s="196" t="s">
        <v>1711</v>
      </c>
      <c r="B22" s="197" t="s">
        <v>1712</v>
      </c>
      <c r="C22" s="197" t="s">
        <v>1713</v>
      </c>
      <c r="D22" s="917" t="s">
        <v>2786</v>
      </c>
      <c r="E22" s="198" t="s">
        <v>1709</v>
      </c>
      <c r="F22" s="332">
        <f>E23</f>
        <v>32.839999999999996</v>
      </c>
      <c r="G22" s="332"/>
      <c r="H22" s="332">
        <f t="shared" si="0"/>
        <v>0</v>
      </c>
      <c r="I22" s="333">
        <v>0</v>
      </c>
      <c r="J22" s="334">
        <f t="shared" si="1"/>
        <v>0</v>
      </c>
      <c r="K22" s="693"/>
      <c r="L22" s="693"/>
      <c r="M22" s="693"/>
      <c r="N22" s="693"/>
      <c r="O22" s="693"/>
      <c r="P22" s="693"/>
      <c r="Q22" s="694"/>
      <c r="R22" s="509"/>
      <c r="S22" s="509"/>
      <c r="T22" s="509"/>
      <c r="U22" s="509"/>
    </row>
    <row r="23" spans="1:21" s="130" customFormat="1" ht="20.25" customHeight="1">
      <c r="A23" s="204"/>
      <c r="B23" s="205"/>
      <c r="C23" s="205" t="s">
        <v>1052</v>
      </c>
      <c r="D23" s="916"/>
      <c r="E23" s="207">
        <f>(35.4+43.8)*0.2*2+(1.3+4.5)*0.2*1</f>
        <v>32.839999999999996</v>
      </c>
      <c r="F23" s="335"/>
      <c r="G23" s="335"/>
      <c r="H23" s="335"/>
      <c r="I23" s="336"/>
      <c r="J23" s="337"/>
      <c r="K23" s="672"/>
      <c r="L23" s="672"/>
      <c r="M23" s="672"/>
      <c r="N23" s="672"/>
      <c r="O23" s="672"/>
      <c r="P23" s="672"/>
      <c r="Q23" s="673"/>
      <c r="R23" s="508"/>
      <c r="S23" s="508"/>
      <c r="T23" s="508"/>
      <c r="U23" s="508"/>
    </row>
    <row r="24" spans="1:21" s="22" customFormat="1" ht="17.25" customHeight="1">
      <c r="A24" s="196" t="s">
        <v>1715</v>
      </c>
      <c r="B24" s="197" t="s">
        <v>1723</v>
      </c>
      <c r="C24" s="197" t="s">
        <v>1724</v>
      </c>
      <c r="D24" s="917" t="s">
        <v>2786</v>
      </c>
      <c r="E24" s="198" t="s">
        <v>1709</v>
      </c>
      <c r="F24" s="332">
        <f>E25</f>
        <v>256.7900000000001</v>
      </c>
      <c r="G24" s="332"/>
      <c r="H24" s="332">
        <f t="shared" si="0"/>
        <v>0</v>
      </c>
      <c r="I24" s="333">
        <v>0</v>
      </c>
      <c r="J24" s="334">
        <f t="shared" si="1"/>
        <v>0</v>
      </c>
      <c r="K24" s="693"/>
      <c r="L24" s="693"/>
      <c r="M24" s="693"/>
      <c r="N24" s="693"/>
      <c r="O24" s="693"/>
      <c r="P24" s="693"/>
      <c r="Q24" s="694"/>
      <c r="R24" s="509"/>
      <c r="S24" s="509"/>
      <c r="T24" s="509"/>
      <c r="U24" s="509"/>
    </row>
    <row r="25" spans="1:21" s="130" customFormat="1" ht="20.25" customHeight="1">
      <c r="A25" s="204"/>
      <c r="B25" s="205"/>
      <c r="C25" s="205" t="s">
        <v>1053</v>
      </c>
      <c r="D25" s="916"/>
      <c r="E25" s="207">
        <f>288.6+32.84-79.2*0.14*0.5-5.8*0.14*0.5-21*1*1*0.5-48.2</f>
        <v>256.7900000000001</v>
      </c>
      <c r="F25" s="335"/>
      <c r="G25" s="335"/>
      <c r="H25" s="335"/>
      <c r="I25" s="336"/>
      <c r="J25" s="337"/>
      <c r="K25" s="672"/>
      <c r="L25" s="672"/>
      <c r="M25" s="672"/>
      <c r="N25" s="672"/>
      <c r="O25" s="672"/>
      <c r="P25" s="672"/>
      <c r="Q25" s="673"/>
      <c r="R25" s="508"/>
      <c r="S25" s="508"/>
      <c r="T25" s="508"/>
      <c r="U25" s="508"/>
    </row>
    <row r="26" spans="1:21" s="22" customFormat="1" ht="17.25" customHeight="1">
      <c r="A26" s="196" t="s">
        <v>1719</v>
      </c>
      <c r="B26" s="197" t="s">
        <v>1726</v>
      </c>
      <c r="C26" s="199" t="s">
        <v>1727</v>
      </c>
      <c r="D26" s="965"/>
      <c r="E26" s="198" t="s">
        <v>1709</v>
      </c>
      <c r="F26" s="332">
        <f>E21+E23-E25</f>
        <v>64.64999999999986</v>
      </c>
      <c r="G26" s="332"/>
      <c r="H26" s="332">
        <f t="shared" si="0"/>
        <v>0</v>
      </c>
      <c r="I26" s="333">
        <v>0</v>
      </c>
      <c r="J26" s="334">
        <f t="shared" si="1"/>
        <v>0</v>
      </c>
      <c r="K26" s="693"/>
      <c r="L26" s="693"/>
      <c r="M26" s="693"/>
      <c r="N26" s="693"/>
      <c r="O26" s="693"/>
      <c r="P26" s="693"/>
      <c r="Q26" s="694"/>
      <c r="R26" s="509"/>
      <c r="S26" s="509"/>
      <c r="T26" s="509"/>
      <c r="U26" s="509"/>
    </row>
    <row r="27" spans="1:21" s="22" customFormat="1" ht="17.25" customHeight="1">
      <c r="A27" s="196" t="s">
        <v>1722</v>
      </c>
      <c r="B27" s="197" t="s">
        <v>1729</v>
      </c>
      <c r="C27" s="199" t="s">
        <v>1730</v>
      </c>
      <c r="D27" s="965"/>
      <c r="E27" s="198" t="s">
        <v>1709</v>
      </c>
      <c r="F27" s="332">
        <f>F26</f>
        <v>64.64999999999986</v>
      </c>
      <c r="G27" s="332"/>
      <c r="H27" s="332">
        <f t="shared" si="0"/>
        <v>0</v>
      </c>
      <c r="I27" s="333">
        <v>0</v>
      </c>
      <c r="J27" s="334">
        <f t="shared" si="1"/>
        <v>0</v>
      </c>
      <c r="K27" s="693"/>
      <c r="L27" s="693"/>
      <c r="M27" s="693"/>
      <c r="N27" s="693"/>
      <c r="O27" s="693"/>
      <c r="P27" s="693"/>
      <c r="Q27" s="694"/>
      <c r="R27" s="509"/>
      <c r="S27" s="509"/>
      <c r="T27" s="509"/>
      <c r="U27" s="509"/>
    </row>
    <row r="28" spans="1:21" s="22" customFormat="1" ht="17.25" customHeight="1" thickBot="1">
      <c r="A28" s="255" t="s">
        <v>1725</v>
      </c>
      <c r="B28" s="256" t="s">
        <v>1732</v>
      </c>
      <c r="C28" s="264" t="s">
        <v>1733</v>
      </c>
      <c r="D28" s="966"/>
      <c r="E28" s="257" t="s">
        <v>1709</v>
      </c>
      <c r="F28" s="368">
        <v>48.2</v>
      </c>
      <c r="G28" s="368"/>
      <c r="H28" s="368">
        <f t="shared" si="0"/>
        <v>0</v>
      </c>
      <c r="I28" s="369">
        <v>1.9205</v>
      </c>
      <c r="J28" s="370">
        <f t="shared" si="1"/>
        <v>92.56810000000002</v>
      </c>
      <c r="K28" s="509"/>
      <c r="L28" s="509"/>
      <c r="M28" s="509"/>
      <c r="N28" s="509"/>
      <c r="O28" s="509"/>
      <c r="P28" s="509"/>
      <c r="Q28" s="509"/>
      <c r="R28" s="509"/>
      <c r="S28" s="509"/>
      <c r="T28" s="509"/>
      <c r="U28" s="509"/>
    </row>
    <row r="29" spans="1:21" ht="16.5" customHeight="1" thickBot="1">
      <c r="A29" s="266" t="s">
        <v>1743</v>
      </c>
      <c r="B29" s="175" t="s">
        <v>1744</v>
      </c>
      <c r="C29" s="176" t="s">
        <v>1745</v>
      </c>
      <c r="D29" s="175"/>
      <c r="E29" s="175"/>
      <c r="F29" s="341"/>
      <c r="G29" s="341"/>
      <c r="H29" s="342">
        <f>SUM(H30:H36)</f>
        <v>0</v>
      </c>
      <c r="I29" s="343"/>
      <c r="J29" s="344">
        <f>SUM(J30:J36)</f>
        <v>2.837392</v>
      </c>
      <c r="K29" s="670"/>
      <c r="L29" s="670"/>
      <c r="M29" s="670"/>
      <c r="N29" s="670"/>
      <c r="O29" s="670"/>
      <c r="P29" s="670"/>
      <c r="Q29" s="670"/>
      <c r="R29" s="670"/>
      <c r="S29" s="670"/>
      <c r="T29" s="670"/>
      <c r="U29" s="670"/>
    </row>
    <row r="30" spans="1:21" s="22" customFormat="1" ht="17.25" customHeight="1">
      <c r="A30" s="190"/>
      <c r="B30" s="191"/>
      <c r="C30" s="191"/>
      <c r="D30" s="964"/>
      <c r="E30" s="192"/>
      <c r="F30" s="345"/>
      <c r="G30" s="345"/>
      <c r="H30" s="345"/>
      <c r="I30" s="346"/>
      <c r="J30" s="347"/>
      <c r="K30" s="509"/>
      <c r="L30" s="509"/>
      <c r="M30" s="509"/>
      <c r="N30" s="509"/>
      <c r="O30" s="509"/>
      <c r="P30" s="509"/>
      <c r="Q30" s="509"/>
      <c r="R30" s="509"/>
      <c r="S30" s="509"/>
      <c r="T30" s="509"/>
      <c r="U30" s="509"/>
    </row>
    <row r="31" spans="1:21" s="22" customFormat="1" ht="17.25" customHeight="1">
      <c r="A31" s="196" t="s">
        <v>1734</v>
      </c>
      <c r="B31" s="197" t="s">
        <v>1762</v>
      </c>
      <c r="C31" s="197" t="s">
        <v>1763</v>
      </c>
      <c r="D31" s="917" t="s">
        <v>2786</v>
      </c>
      <c r="E31" s="198" t="s">
        <v>1748</v>
      </c>
      <c r="F31" s="332">
        <v>1.24</v>
      </c>
      <c r="G31" s="332"/>
      <c r="H31" s="332">
        <f>F31*G31</f>
        <v>0</v>
      </c>
      <c r="I31" s="333">
        <v>0.58567</v>
      </c>
      <c r="J31" s="334">
        <f>F31*I31</f>
        <v>0.7262308000000001</v>
      </c>
      <c r="K31" s="509"/>
      <c r="L31" s="509"/>
      <c r="M31" s="509"/>
      <c r="N31" s="509"/>
      <c r="O31" s="509"/>
      <c r="P31" s="509"/>
      <c r="Q31" s="509"/>
      <c r="R31" s="509"/>
      <c r="S31" s="509"/>
      <c r="T31" s="509"/>
      <c r="U31" s="509"/>
    </row>
    <row r="32" spans="1:24" s="145" customFormat="1" ht="21.75" customHeight="1">
      <c r="A32" s="196" t="s">
        <v>1753</v>
      </c>
      <c r="B32" s="285" t="s">
        <v>1746</v>
      </c>
      <c r="C32" s="286" t="s">
        <v>1747</v>
      </c>
      <c r="D32" s="982" t="s">
        <v>2786</v>
      </c>
      <c r="E32" s="287" t="s">
        <v>1748</v>
      </c>
      <c r="F32" s="387">
        <f>SUM(E33:E33)</f>
        <v>45.83999999999999</v>
      </c>
      <c r="G32" s="332"/>
      <c r="H32" s="387">
        <f>F32*G32</f>
        <v>0</v>
      </c>
      <c r="I32" s="388">
        <v>0.03279</v>
      </c>
      <c r="J32" s="778">
        <f>F32*I32</f>
        <v>1.5030935999999997</v>
      </c>
      <c r="K32" s="143"/>
      <c r="L32" s="143"/>
      <c r="M32" s="143"/>
      <c r="N32" s="144"/>
      <c r="O32" s="144"/>
      <c r="P32" s="144"/>
      <c r="Q32" s="144"/>
      <c r="R32" s="144"/>
      <c r="S32" s="144"/>
      <c r="T32" s="144"/>
      <c r="U32" s="144"/>
      <c r="V32" s="288"/>
      <c r="W32" s="288"/>
      <c r="X32" s="288"/>
    </row>
    <row r="33" spans="1:24" s="211" customFormat="1" ht="21.75" customHeight="1">
      <c r="A33" s="223"/>
      <c r="B33" s="224" t="s">
        <v>1749</v>
      </c>
      <c r="C33" s="205" t="s">
        <v>1054</v>
      </c>
      <c r="D33" s="970"/>
      <c r="E33" s="220">
        <f>(35.4+43.8)*0.8+(1.3+4.5)*0.6-21*1*1</f>
        <v>45.83999999999999</v>
      </c>
      <c r="F33" s="225"/>
      <c r="G33" s="335"/>
      <c r="H33" s="225"/>
      <c r="I33" s="348"/>
      <c r="J33" s="349"/>
      <c r="K33" s="675"/>
      <c r="L33" s="675"/>
      <c r="M33" s="675"/>
      <c r="N33" s="675"/>
      <c r="O33" s="676"/>
      <c r="P33" s="676"/>
      <c r="Q33" s="676"/>
      <c r="R33" s="676"/>
      <c r="S33" s="515"/>
      <c r="T33" s="515"/>
      <c r="U33" s="515"/>
      <c r="V33" s="210"/>
      <c r="W33" s="210"/>
      <c r="X33" s="210"/>
    </row>
    <row r="34" spans="1:24" s="145" customFormat="1" ht="27.75" customHeight="1">
      <c r="A34" s="196" t="s">
        <v>1758</v>
      </c>
      <c r="B34" s="285" t="s">
        <v>1754</v>
      </c>
      <c r="C34" s="286" t="s">
        <v>1755</v>
      </c>
      <c r="D34" s="982" t="s">
        <v>2786</v>
      </c>
      <c r="E34" s="287" t="s">
        <v>1748</v>
      </c>
      <c r="F34" s="387">
        <f>SUM(E35)</f>
        <v>11.459999999999997</v>
      </c>
      <c r="G34" s="332"/>
      <c r="H34" s="387">
        <f>F34*G34</f>
        <v>0</v>
      </c>
      <c r="I34" s="388">
        <v>0.05306</v>
      </c>
      <c r="J34" s="778">
        <f>F34*I34</f>
        <v>0.6080675999999999</v>
      </c>
      <c r="K34" s="143"/>
      <c r="L34" s="143"/>
      <c r="M34" s="143"/>
      <c r="N34" s="144"/>
      <c r="O34" s="144"/>
      <c r="P34" s="144"/>
      <c r="Q34" s="144"/>
      <c r="R34" s="144"/>
      <c r="S34" s="144"/>
      <c r="T34" s="144"/>
      <c r="U34" s="144"/>
      <c r="V34" s="288"/>
      <c r="W34" s="288"/>
      <c r="X34" s="288"/>
    </row>
    <row r="35" spans="1:24" s="211" customFormat="1" ht="21.75" customHeight="1">
      <c r="A35" s="223"/>
      <c r="B35" s="224" t="s">
        <v>1749</v>
      </c>
      <c r="C35" s="205" t="s">
        <v>1055</v>
      </c>
      <c r="D35" s="970"/>
      <c r="E35" s="220">
        <f>((35.4+43.8)*0.8+(1.3+4.5)*0.6-21*1*1)*0.25</f>
        <v>11.459999999999997</v>
      </c>
      <c r="F35" s="225"/>
      <c r="G35" s="674"/>
      <c r="H35" s="225"/>
      <c r="I35" s="348"/>
      <c r="J35" s="349"/>
      <c r="K35" s="675"/>
      <c r="L35" s="675"/>
      <c r="M35" s="675"/>
      <c r="N35" s="675"/>
      <c r="O35" s="676"/>
      <c r="P35" s="676"/>
      <c r="Q35" s="676"/>
      <c r="R35" s="676"/>
      <c r="S35" s="515"/>
      <c r="T35" s="515"/>
      <c r="U35" s="515"/>
      <c r="V35" s="210"/>
      <c r="W35" s="210"/>
      <c r="X35" s="210"/>
    </row>
    <row r="36" spans="1:21" s="22" customFormat="1" ht="17.25" customHeight="1" thickBot="1">
      <c r="A36" s="255"/>
      <c r="B36" s="256"/>
      <c r="C36" s="256"/>
      <c r="D36" s="968"/>
      <c r="E36" s="257"/>
      <c r="F36" s="368"/>
      <c r="G36" s="368"/>
      <c r="H36" s="368"/>
      <c r="I36" s="369"/>
      <c r="J36" s="370"/>
      <c r="K36" s="509"/>
      <c r="L36" s="509"/>
      <c r="M36" s="509"/>
      <c r="N36" s="509"/>
      <c r="O36" s="509"/>
      <c r="P36" s="509"/>
      <c r="Q36" s="509"/>
      <c r="R36" s="509"/>
      <c r="S36" s="509"/>
      <c r="T36" s="509"/>
      <c r="U36" s="509"/>
    </row>
    <row r="37" spans="1:21" ht="16.5" customHeight="1" thickBot="1">
      <c r="A37" s="266" t="s">
        <v>1801</v>
      </c>
      <c r="B37" s="175" t="s">
        <v>1802</v>
      </c>
      <c r="C37" s="176" t="s">
        <v>1803</v>
      </c>
      <c r="D37" s="175"/>
      <c r="E37" s="175"/>
      <c r="F37" s="341"/>
      <c r="G37" s="341"/>
      <c r="H37" s="342">
        <f>SUM(H38)</f>
        <v>0</v>
      </c>
      <c r="I37" s="343"/>
      <c r="J37" s="344">
        <f>SUM(J38)</f>
        <v>0</v>
      </c>
      <c r="K37" s="670"/>
      <c r="L37" s="670"/>
      <c r="M37" s="670"/>
      <c r="N37" s="670"/>
      <c r="O37" s="670"/>
      <c r="P37" s="670"/>
      <c r="Q37" s="670"/>
      <c r="R37" s="670"/>
      <c r="S37" s="670"/>
      <c r="T37" s="670"/>
      <c r="U37" s="670"/>
    </row>
    <row r="38" spans="1:21" s="22" customFormat="1" ht="17.25" customHeight="1" thickBot="1">
      <c r="A38" s="196"/>
      <c r="B38" s="197"/>
      <c r="C38" s="199"/>
      <c r="D38" s="1195"/>
      <c r="E38" s="198"/>
      <c r="F38" s="332"/>
      <c r="G38" s="332"/>
      <c r="H38" s="332"/>
      <c r="I38" s="333"/>
      <c r="J38" s="334"/>
      <c r="K38" s="693"/>
      <c r="L38" s="693"/>
      <c r="M38" s="693"/>
      <c r="N38" s="693"/>
      <c r="O38" s="693"/>
      <c r="P38" s="693"/>
      <c r="Q38" s="694"/>
      <c r="R38" s="509"/>
      <c r="S38" s="509"/>
      <c r="T38" s="509"/>
      <c r="U38" s="509"/>
    </row>
    <row r="39" spans="1:21" ht="16.5" customHeight="1" thickBot="1">
      <c r="A39" s="266" t="s">
        <v>1809</v>
      </c>
      <c r="B39" s="175" t="s">
        <v>1810</v>
      </c>
      <c r="C39" s="176" t="s">
        <v>1811</v>
      </c>
      <c r="D39" s="175"/>
      <c r="E39" s="175"/>
      <c r="F39" s="341"/>
      <c r="G39" s="341"/>
      <c r="H39" s="342">
        <f>SUM(H40:H40)</f>
        <v>0</v>
      </c>
      <c r="I39" s="343"/>
      <c r="J39" s="344">
        <f>SUM(J40:J40)</f>
        <v>0</v>
      </c>
      <c r="K39" s="670"/>
      <c r="L39" s="670"/>
      <c r="M39" s="670"/>
      <c r="N39" s="670"/>
      <c r="O39" s="670"/>
      <c r="P39" s="670"/>
      <c r="Q39" s="670"/>
      <c r="R39" s="670"/>
      <c r="S39" s="670"/>
      <c r="T39" s="670"/>
      <c r="U39" s="670"/>
    </row>
    <row r="40" spans="1:21" s="22" customFormat="1" ht="17.25" customHeight="1" thickBot="1">
      <c r="A40" s="196"/>
      <c r="B40" s="197"/>
      <c r="C40" s="199"/>
      <c r="D40" s="1195"/>
      <c r="E40" s="198"/>
      <c r="F40" s="332"/>
      <c r="G40" s="332"/>
      <c r="H40" s="332"/>
      <c r="I40" s="333"/>
      <c r="J40" s="334"/>
      <c r="K40" s="693"/>
      <c r="L40" s="693"/>
      <c r="M40" s="693"/>
      <c r="N40" s="693"/>
      <c r="O40" s="693"/>
      <c r="P40" s="693"/>
      <c r="Q40" s="694"/>
      <c r="R40" s="509"/>
      <c r="S40" s="509"/>
      <c r="T40" s="509"/>
      <c r="U40" s="509"/>
    </row>
    <row r="41" spans="1:21" ht="16.5" customHeight="1" thickBot="1">
      <c r="A41" s="266" t="s">
        <v>1846</v>
      </c>
      <c r="B41" s="175" t="s">
        <v>1628</v>
      </c>
      <c r="C41" s="176" t="s">
        <v>1847</v>
      </c>
      <c r="D41" s="175"/>
      <c r="E41" s="175"/>
      <c r="F41" s="341"/>
      <c r="G41" s="341"/>
      <c r="H41" s="342">
        <f>SUM(H42:H56)</f>
        <v>0</v>
      </c>
      <c r="I41" s="343"/>
      <c r="J41" s="344">
        <f>SUM(J42:J56)</f>
        <v>43.71103899999999</v>
      </c>
      <c r="K41" s="670"/>
      <c r="L41" s="670"/>
      <c r="M41" s="670"/>
      <c r="N41" s="670"/>
      <c r="O41" s="670"/>
      <c r="P41" s="670"/>
      <c r="Q41" s="670"/>
      <c r="R41" s="670"/>
      <c r="S41" s="670"/>
      <c r="T41" s="670"/>
      <c r="U41" s="670"/>
    </row>
    <row r="42" spans="1:21" s="22" customFormat="1" ht="16.5" customHeight="1">
      <c r="A42" s="190"/>
      <c r="B42" s="191"/>
      <c r="C42" s="191"/>
      <c r="D42" s="964"/>
      <c r="E42" s="192"/>
      <c r="F42" s="345"/>
      <c r="G42" s="345"/>
      <c r="H42" s="345"/>
      <c r="I42" s="346"/>
      <c r="J42" s="347"/>
      <c r="K42" s="509"/>
      <c r="L42" s="509"/>
      <c r="M42" s="509"/>
      <c r="N42" s="509"/>
      <c r="O42" s="509"/>
      <c r="P42" s="509"/>
      <c r="Q42" s="509"/>
      <c r="R42" s="509"/>
      <c r="S42" s="509"/>
      <c r="T42" s="509"/>
      <c r="U42" s="509"/>
    </row>
    <row r="43" spans="1:21" s="22" customFormat="1" ht="16.5" customHeight="1">
      <c r="A43" s="196" t="s">
        <v>1848</v>
      </c>
      <c r="B43" s="197" t="s">
        <v>1849</v>
      </c>
      <c r="C43" s="197" t="s">
        <v>1850</v>
      </c>
      <c r="D43" s="917" t="s">
        <v>2787</v>
      </c>
      <c r="E43" s="198" t="s">
        <v>1748</v>
      </c>
      <c r="F43" s="332">
        <f>F44*1.15+0.04</f>
        <v>49.949999999999996</v>
      </c>
      <c r="G43" s="332"/>
      <c r="H43" s="332">
        <f aca="true" t="shared" si="2" ref="H43:H55">F43*G43</f>
        <v>0</v>
      </c>
      <c r="I43" s="333">
        <v>0.0005</v>
      </c>
      <c r="J43" s="334">
        <f aca="true" t="shared" si="3" ref="J43:J55">F43*I43</f>
        <v>0.024974999999999997</v>
      </c>
      <c r="K43" s="693"/>
      <c r="L43" s="693"/>
      <c r="M43" s="693"/>
      <c r="N43" s="693"/>
      <c r="O43" s="693"/>
      <c r="P43" s="693"/>
      <c r="Q43" s="694"/>
      <c r="R43" s="509"/>
      <c r="S43" s="509"/>
      <c r="T43" s="509"/>
      <c r="U43" s="509"/>
    </row>
    <row r="44" spans="1:21" s="22" customFormat="1" ht="16.5" customHeight="1">
      <c r="A44" s="196" t="s">
        <v>1851</v>
      </c>
      <c r="B44" s="197" t="s">
        <v>1813</v>
      </c>
      <c r="C44" s="197" t="s">
        <v>867</v>
      </c>
      <c r="D44" s="917" t="s">
        <v>2787</v>
      </c>
      <c r="E44" s="198" t="s">
        <v>1748</v>
      </c>
      <c r="F44" s="332">
        <f>E45</f>
        <v>43.4</v>
      </c>
      <c r="G44" s="332"/>
      <c r="H44" s="332">
        <f t="shared" si="2"/>
        <v>0</v>
      </c>
      <c r="I44" s="333">
        <v>0.25094</v>
      </c>
      <c r="J44" s="334">
        <f t="shared" si="3"/>
        <v>10.890796</v>
      </c>
      <c r="K44" s="693"/>
      <c r="L44" s="693"/>
      <c r="M44" s="693"/>
      <c r="N44" s="693"/>
      <c r="O44" s="693"/>
      <c r="P44" s="693"/>
      <c r="Q44" s="694"/>
      <c r="R44" s="509"/>
      <c r="S44" s="509"/>
      <c r="T44" s="509"/>
      <c r="U44" s="509"/>
    </row>
    <row r="45" spans="1:24" s="211" customFormat="1" ht="21.75" customHeight="1">
      <c r="A45" s="223"/>
      <c r="B45" s="224"/>
      <c r="C45" s="205" t="s">
        <v>1056</v>
      </c>
      <c r="D45" s="970"/>
      <c r="E45" s="220">
        <f>35.8*0.5+44.5*0.5+6.5*0.5</f>
        <v>43.4</v>
      </c>
      <c r="F45" s="225"/>
      <c r="G45" s="674"/>
      <c r="H45" s="225"/>
      <c r="I45" s="348"/>
      <c r="J45" s="349"/>
      <c r="K45" s="675"/>
      <c r="L45" s="675"/>
      <c r="M45" s="675"/>
      <c r="N45" s="675"/>
      <c r="O45" s="676"/>
      <c r="P45" s="676"/>
      <c r="Q45" s="676"/>
      <c r="R45" s="676"/>
      <c r="S45" s="515"/>
      <c r="T45" s="515"/>
      <c r="U45" s="515"/>
      <c r="V45" s="210"/>
      <c r="W45" s="210"/>
      <c r="X45" s="210"/>
    </row>
    <row r="46" spans="1:21" s="22" customFormat="1" ht="16.5" customHeight="1">
      <c r="A46" s="196" t="s">
        <v>1852</v>
      </c>
      <c r="B46" s="197" t="s">
        <v>869</v>
      </c>
      <c r="C46" s="197" t="s">
        <v>870</v>
      </c>
      <c r="D46" s="917" t="s">
        <v>2787</v>
      </c>
      <c r="E46" s="198" t="s">
        <v>1748</v>
      </c>
      <c r="F46" s="332">
        <f>E47</f>
        <v>43.4</v>
      </c>
      <c r="G46" s="332"/>
      <c r="H46" s="332">
        <f t="shared" si="2"/>
        <v>0</v>
      </c>
      <c r="I46" s="333">
        <v>0.4765</v>
      </c>
      <c r="J46" s="334">
        <f t="shared" si="3"/>
        <v>20.6801</v>
      </c>
      <c r="K46" s="693"/>
      <c r="L46" s="693"/>
      <c r="M46" s="693"/>
      <c r="N46" s="693"/>
      <c r="O46" s="693"/>
      <c r="P46" s="693"/>
      <c r="Q46" s="694"/>
      <c r="R46" s="509"/>
      <c r="S46" s="509"/>
      <c r="T46" s="509"/>
      <c r="U46" s="509"/>
    </row>
    <row r="47" spans="1:24" s="211" customFormat="1" ht="21.75" customHeight="1">
      <c r="A47" s="223"/>
      <c r="B47" s="224"/>
      <c r="C47" s="205" t="s">
        <v>1056</v>
      </c>
      <c r="D47" s="970"/>
      <c r="E47" s="220">
        <f>35.8*0.5+44.5*0.5+6.5*0.5</f>
        <v>43.4</v>
      </c>
      <c r="F47" s="225"/>
      <c r="G47" s="674"/>
      <c r="H47" s="225"/>
      <c r="I47" s="348"/>
      <c r="J47" s="349"/>
      <c r="K47" s="675"/>
      <c r="L47" s="675"/>
      <c r="M47" s="675"/>
      <c r="N47" s="675"/>
      <c r="O47" s="676"/>
      <c r="P47" s="676"/>
      <c r="Q47" s="676"/>
      <c r="R47" s="676"/>
      <c r="S47" s="515"/>
      <c r="T47" s="515"/>
      <c r="U47" s="515"/>
      <c r="V47" s="210"/>
      <c r="W47" s="210"/>
      <c r="X47" s="210"/>
    </row>
    <row r="48" spans="1:24" s="211" customFormat="1" ht="13.5" customHeight="1">
      <c r="A48" s="223"/>
      <c r="B48" s="224"/>
      <c r="C48" s="205"/>
      <c r="D48" s="970"/>
      <c r="E48" s="220"/>
      <c r="F48" s="225"/>
      <c r="G48" s="674"/>
      <c r="H48" s="225"/>
      <c r="I48" s="348"/>
      <c r="J48" s="349"/>
      <c r="K48" s="675"/>
      <c r="L48" s="675"/>
      <c r="M48" s="675"/>
      <c r="N48" s="675"/>
      <c r="O48" s="676"/>
      <c r="P48" s="676"/>
      <c r="Q48" s="676"/>
      <c r="R48" s="676"/>
      <c r="S48" s="515"/>
      <c r="T48" s="515"/>
      <c r="U48" s="515"/>
      <c r="V48" s="210"/>
      <c r="W48" s="210"/>
      <c r="X48" s="210"/>
    </row>
    <row r="49" spans="1:21" s="1034" customFormat="1" ht="19.5" customHeight="1">
      <c r="A49" s="1023" t="s">
        <v>2884</v>
      </c>
      <c r="B49" s="1024" t="s">
        <v>2879</v>
      </c>
      <c r="C49" s="1024" t="s">
        <v>2880</v>
      </c>
      <c r="D49" s="1049"/>
      <c r="E49" s="1027" t="s">
        <v>1748</v>
      </c>
      <c r="F49" s="1028">
        <f>F50</f>
        <v>20.5</v>
      </c>
      <c r="G49" s="1028"/>
      <c r="H49" s="1028">
        <f>F49*G49</f>
        <v>0</v>
      </c>
      <c r="I49" s="1029">
        <v>0</v>
      </c>
      <c r="J49" s="1030">
        <f>F49*I49</f>
        <v>0</v>
      </c>
      <c r="K49" s="1031"/>
      <c r="L49" s="1031"/>
      <c r="M49" s="1031"/>
      <c r="N49" s="1031"/>
      <c r="O49" s="1031"/>
      <c r="P49" s="1031"/>
      <c r="Q49" s="1032"/>
      <c r="R49" s="1033"/>
      <c r="S49" s="1033"/>
      <c r="T49" s="1033"/>
      <c r="U49" s="1033"/>
    </row>
    <row r="50" spans="1:21" s="22" customFormat="1" ht="19.5" customHeight="1">
      <c r="A50" s="196" t="s">
        <v>1857</v>
      </c>
      <c r="B50" s="197" t="s">
        <v>1860</v>
      </c>
      <c r="C50" s="197" t="s">
        <v>1861</v>
      </c>
      <c r="D50" s="917" t="s">
        <v>2787</v>
      </c>
      <c r="E50" s="198" t="s">
        <v>1748</v>
      </c>
      <c r="F50" s="332">
        <f>F53</f>
        <v>20.5</v>
      </c>
      <c r="G50" s="332"/>
      <c r="H50" s="332">
        <f t="shared" si="2"/>
        <v>0</v>
      </c>
      <c r="I50" s="333">
        <v>0.27994</v>
      </c>
      <c r="J50" s="334">
        <f t="shared" si="3"/>
        <v>5.738770000000001</v>
      </c>
      <c r="K50" s="693"/>
      <c r="L50" s="693"/>
      <c r="M50" s="693"/>
      <c r="N50" s="693"/>
      <c r="O50" s="693"/>
      <c r="P50" s="693"/>
      <c r="Q50" s="694"/>
      <c r="R50" s="509"/>
      <c r="S50" s="509"/>
      <c r="T50" s="509"/>
      <c r="U50" s="509"/>
    </row>
    <row r="51" spans="1:21" s="22" customFormat="1" ht="30" customHeight="1">
      <c r="A51" s="196" t="s">
        <v>1864</v>
      </c>
      <c r="B51" s="197" t="s">
        <v>1871</v>
      </c>
      <c r="C51" s="683" t="s">
        <v>1872</v>
      </c>
      <c r="D51" s="917" t="s">
        <v>2787</v>
      </c>
      <c r="E51" s="198" t="s">
        <v>1826</v>
      </c>
      <c r="F51" s="332">
        <f>E52</f>
        <v>18.4</v>
      </c>
      <c r="G51" s="332"/>
      <c r="H51" s="332">
        <f>F51*G51</f>
        <v>0</v>
      </c>
      <c r="I51" s="333">
        <v>0.11693</v>
      </c>
      <c r="J51" s="334">
        <f>F51*I51</f>
        <v>2.151512</v>
      </c>
      <c r="K51" s="509"/>
      <c r="L51" s="509"/>
      <c r="M51" s="509"/>
      <c r="N51" s="509"/>
      <c r="O51" s="509"/>
      <c r="P51" s="509"/>
      <c r="Q51" s="509"/>
      <c r="R51" s="509"/>
      <c r="S51" s="509"/>
      <c r="T51" s="509"/>
      <c r="U51" s="509"/>
    </row>
    <row r="52" spans="1:24" s="211" customFormat="1" ht="17.25" customHeight="1">
      <c r="A52" s="223"/>
      <c r="B52" s="224"/>
      <c r="C52" s="205" t="s">
        <v>1057</v>
      </c>
      <c r="D52" s="970"/>
      <c r="E52" s="220">
        <v>18.4</v>
      </c>
      <c r="F52" s="225"/>
      <c r="G52" s="674"/>
      <c r="H52" s="225"/>
      <c r="I52" s="348"/>
      <c r="J52" s="349"/>
      <c r="K52" s="675"/>
      <c r="L52" s="675"/>
      <c r="M52" s="675"/>
      <c r="N52" s="675"/>
      <c r="O52" s="676"/>
      <c r="P52" s="676"/>
      <c r="Q52" s="676"/>
      <c r="R52" s="676"/>
      <c r="S52" s="515"/>
      <c r="T52" s="515"/>
      <c r="U52" s="515"/>
      <c r="V52" s="210"/>
      <c r="W52" s="210"/>
      <c r="X52" s="210"/>
    </row>
    <row r="53" spans="1:21" s="22" customFormat="1" ht="16.5" customHeight="1">
      <c r="A53" s="196" t="s">
        <v>1865</v>
      </c>
      <c r="B53" s="1106" t="s">
        <v>2886</v>
      </c>
      <c r="C53" s="1106" t="s">
        <v>2887</v>
      </c>
      <c r="D53" s="917" t="s">
        <v>2787</v>
      </c>
      <c r="E53" s="198" t="s">
        <v>1748</v>
      </c>
      <c r="F53" s="332">
        <f>E54</f>
        <v>20.5</v>
      </c>
      <c r="G53" s="332"/>
      <c r="H53" s="332">
        <f t="shared" si="2"/>
        <v>0</v>
      </c>
      <c r="I53" s="333">
        <v>0.0739</v>
      </c>
      <c r="J53" s="334">
        <f t="shared" si="3"/>
        <v>1.5149499999999998</v>
      </c>
      <c r="K53" s="693"/>
      <c r="L53" s="693"/>
      <c r="M53" s="693"/>
      <c r="N53" s="693"/>
      <c r="O53" s="693"/>
      <c r="P53" s="693"/>
      <c r="Q53" s="694"/>
      <c r="R53" s="509"/>
      <c r="S53" s="509"/>
      <c r="T53" s="509"/>
      <c r="U53" s="509"/>
    </row>
    <row r="54" spans="1:24" s="211" customFormat="1" ht="16.5" customHeight="1">
      <c r="A54" s="223"/>
      <c r="B54" s="224"/>
      <c r="C54" s="205" t="s">
        <v>1058</v>
      </c>
      <c r="D54" s="970"/>
      <c r="E54" s="220">
        <v>20.5</v>
      </c>
      <c r="F54" s="225"/>
      <c r="G54" s="674"/>
      <c r="H54" s="225"/>
      <c r="I54" s="348"/>
      <c r="J54" s="349"/>
      <c r="K54" s="675"/>
      <c r="L54" s="675"/>
      <c r="M54" s="675"/>
      <c r="N54" s="675"/>
      <c r="O54" s="676"/>
      <c r="P54" s="676"/>
      <c r="Q54" s="676"/>
      <c r="R54" s="676"/>
      <c r="S54" s="515"/>
      <c r="T54" s="515"/>
      <c r="U54" s="515"/>
      <c r="V54" s="210"/>
      <c r="W54" s="210"/>
      <c r="X54" s="210"/>
    </row>
    <row r="55" spans="1:21" s="22" customFormat="1" ht="16.5" customHeight="1">
      <c r="A55" s="196" t="s">
        <v>1870</v>
      </c>
      <c r="B55" s="197" t="s">
        <v>1866</v>
      </c>
      <c r="C55" s="197" t="s">
        <v>1867</v>
      </c>
      <c r="D55" s="917" t="s">
        <v>2787</v>
      </c>
      <c r="E55" s="198" t="s">
        <v>1748</v>
      </c>
      <c r="F55" s="332">
        <f>E56</f>
        <v>20.91</v>
      </c>
      <c r="G55" s="332"/>
      <c r="H55" s="332">
        <f t="shared" si="2"/>
        <v>0</v>
      </c>
      <c r="I55" s="333">
        <v>0.1296</v>
      </c>
      <c r="J55" s="334">
        <f t="shared" si="3"/>
        <v>2.709936</v>
      </c>
      <c r="K55" s="693"/>
      <c r="L55" s="693"/>
      <c r="M55" s="693"/>
      <c r="N55" s="693"/>
      <c r="O55" s="693"/>
      <c r="P55" s="693"/>
      <c r="Q55" s="694"/>
      <c r="R55" s="509"/>
      <c r="S55" s="509"/>
      <c r="T55" s="509"/>
      <c r="U55" s="509"/>
    </row>
    <row r="56" spans="1:24" s="211" customFormat="1" ht="16.5" customHeight="1" thickBot="1">
      <c r="A56" s="312"/>
      <c r="B56" s="313"/>
      <c r="C56" s="242" t="s">
        <v>1059</v>
      </c>
      <c r="D56" s="989"/>
      <c r="E56" s="314">
        <f>20.5*1.02</f>
        <v>20.91</v>
      </c>
      <c r="F56" s="315"/>
      <c r="G56" s="779"/>
      <c r="H56" s="315"/>
      <c r="I56" s="414"/>
      <c r="J56" s="415"/>
      <c r="K56" s="675"/>
      <c r="L56" s="675"/>
      <c r="M56" s="675"/>
      <c r="N56" s="675"/>
      <c r="O56" s="676"/>
      <c r="P56" s="676"/>
      <c r="Q56" s="676"/>
      <c r="R56" s="676"/>
      <c r="S56" s="515"/>
      <c r="T56" s="515"/>
      <c r="U56" s="515"/>
      <c r="V56" s="210"/>
      <c r="W56" s="210"/>
      <c r="X56" s="210"/>
    </row>
    <row r="57" spans="1:21" ht="16.5" customHeight="1" thickBot="1">
      <c r="A57" s="266" t="s">
        <v>1874</v>
      </c>
      <c r="B57" s="175" t="s">
        <v>1875</v>
      </c>
      <c r="C57" s="176" t="s">
        <v>1876</v>
      </c>
      <c r="D57" s="175"/>
      <c r="E57" s="175"/>
      <c r="F57" s="341"/>
      <c r="G57" s="341"/>
      <c r="H57" s="342">
        <f>SUM(H58:H64)</f>
        <v>0</v>
      </c>
      <c r="I57" s="343"/>
      <c r="J57" s="344">
        <f>SUM(J58:J64)</f>
        <v>5.67868664</v>
      </c>
      <c r="K57" s="670"/>
      <c r="L57" s="670"/>
      <c r="M57" s="670"/>
      <c r="N57" s="670"/>
      <c r="O57" s="670"/>
      <c r="P57" s="670"/>
      <c r="Q57" s="670"/>
      <c r="R57" s="670"/>
      <c r="S57" s="670"/>
      <c r="T57" s="670"/>
      <c r="U57" s="670"/>
    </row>
    <row r="58" spans="1:21" s="22" customFormat="1" ht="14.25" customHeight="1">
      <c r="A58" s="190"/>
      <c r="B58" s="191"/>
      <c r="C58" s="191"/>
      <c r="D58" s="964"/>
      <c r="E58" s="192"/>
      <c r="F58" s="345"/>
      <c r="G58" s="345"/>
      <c r="H58" s="345"/>
      <c r="I58" s="346"/>
      <c r="J58" s="347"/>
      <c r="K58" s="509"/>
      <c r="L58" s="509"/>
      <c r="M58" s="509"/>
      <c r="N58" s="509"/>
      <c r="O58" s="509"/>
      <c r="P58" s="509"/>
      <c r="Q58" s="509"/>
      <c r="R58" s="509"/>
      <c r="S58" s="509"/>
      <c r="T58" s="509"/>
      <c r="U58" s="509"/>
    </row>
    <row r="59" spans="1:21" s="22" customFormat="1" ht="20.25" customHeight="1">
      <c r="A59" s="196" t="s">
        <v>1877</v>
      </c>
      <c r="B59" s="197" t="s">
        <v>1890</v>
      </c>
      <c r="C59" s="197" t="s">
        <v>1891</v>
      </c>
      <c r="D59" s="917" t="s">
        <v>2788</v>
      </c>
      <c r="E59" s="198" t="s">
        <v>1826</v>
      </c>
      <c r="F59" s="332">
        <f>E60</f>
        <v>889.24</v>
      </c>
      <c r="G59" s="332"/>
      <c r="H59" s="332">
        <f>F59*G59</f>
        <v>0</v>
      </c>
      <c r="I59" s="333">
        <v>0.00431</v>
      </c>
      <c r="J59" s="334">
        <f>F59*I59</f>
        <v>3.8326244</v>
      </c>
      <c r="K59" s="509"/>
      <c r="L59" s="509"/>
      <c r="M59" s="509"/>
      <c r="N59" s="509"/>
      <c r="O59" s="509"/>
      <c r="P59" s="509"/>
      <c r="Q59" s="509"/>
      <c r="R59" s="509"/>
      <c r="S59" s="509"/>
      <c r="T59" s="509"/>
      <c r="U59" s="509"/>
    </row>
    <row r="60" spans="1:21" s="251" customFormat="1" ht="17.25" customHeight="1">
      <c r="A60" s="248"/>
      <c r="B60" s="249"/>
      <c r="C60" s="250">
        <v>889.24</v>
      </c>
      <c r="D60" s="969"/>
      <c r="E60" s="213">
        <v>889.24</v>
      </c>
      <c r="F60" s="367"/>
      <c r="G60" s="387"/>
      <c r="H60" s="387"/>
      <c r="I60" s="356"/>
      <c r="J60" s="357"/>
      <c r="K60" s="681"/>
      <c r="L60" s="681"/>
      <c r="M60" s="681"/>
      <c r="N60" s="682"/>
      <c r="O60" s="682"/>
      <c r="P60" s="682"/>
      <c r="Q60" s="682"/>
      <c r="R60" s="682"/>
      <c r="S60" s="682"/>
      <c r="T60" s="682"/>
      <c r="U60" s="682"/>
    </row>
    <row r="61" spans="1:21" s="22" customFormat="1" ht="20.25" customHeight="1">
      <c r="A61" s="196" t="s">
        <v>1882</v>
      </c>
      <c r="B61" s="197" t="s">
        <v>1883</v>
      </c>
      <c r="C61" s="197" t="s">
        <v>1884</v>
      </c>
      <c r="D61" s="917" t="s">
        <v>2788</v>
      </c>
      <c r="E61" s="198" t="s">
        <v>1748</v>
      </c>
      <c r="F61" s="332">
        <f>E62</f>
        <v>266.772</v>
      </c>
      <c r="G61" s="332"/>
      <c r="H61" s="332">
        <f>F61*G61</f>
        <v>0</v>
      </c>
      <c r="I61" s="333">
        <v>0.00034</v>
      </c>
      <c r="J61" s="334">
        <f>F61*I61</f>
        <v>0.09070248</v>
      </c>
      <c r="K61" s="693"/>
      <c r="L61" s="693"/>
      <c r="M61" s="693"/>
      <c r="N61" s="693"/>
      <c r="O61" s="693"/>
      <c r="P61" s="693"/>
      <c r="Q61" s="694"/>
      <c r="R61" s="509"/>
      <c r="S61" s="509"/>
      <c r="T61" s="509"/>
      <c r="U61" s="509"/>
    </row>
    <row r="62" spans="1:21" s="251" customFormat="1" ht="17.25" customHeight="1">
      <c r="A62" s="248"/>
      <c r="B62" s="249"/>
      <c r="C62" s="250" t="s">
        <v>1060</v>
      </c>
      <c r="D62" s="969"/>
      <c r="E62" s="213">
        <f>(889.24)*0.3</f>
        <v>266.772</v>
      </c>
      <c r="F62" s="367"/>
      <c r="G62" s="387"/>
      <c r="H62" s="387"/>
      <c r="I62" s="356"/>
      <c r="J62" s="357"/>
      <c r="K62" s="681"/>
      <c r="L62" s="681"/>
      <c r="M62" s="681"/>
      <c r="N62" s="682"/>
      <c r="O62" s="682"/>
      <c r="P62" s="682"/>
      <c r="Q62" s="682"/>
      <c r="R62" s="682"/>
      <c r="S62" s="682"/>
      <c r="T62" s="682"/>
      <c r="U62" s="682"/>
    </row>
    <row r="63" spans="1:21" s="22" customFormat="1" ht="20.25" customHeight="1">
      <c r="A63" s="196" t="s">
        <v>1886</v>
      </c>
      <c r="B63" s="197" t="s">
        <v>1887</v>
      </c>
      <c r="C63" s="197" t="s">
        <v>1888</v>
      </c>
      <c r="D63" s="917" t="s">
        <v>2788</v>
      </c>
      <c r="E63" s="198" t="s">
        <v>1748</v>
      </c>
      <c r="F63" s="332">
        <f>F61</f>
        <v>266.772</v>
      </c>
      <c r="G63" s="332"/>
      <c r="H63" s="332">
        <f>F63*G63</f>
        <v>0</v>
      </c>
      <c r="I63" s="333">
        <v>0.00658</v>
      </c>
      <c r="J63" s="334">
        <f>F63*I63</f>
        <v>1.75535976</v>
      </c>
      <c r="K63" s="693"/>
      <c r="L63" s="693"/>
      <c r="M63" s="693"/>
      <c r="N63" s="693"/>
      <c r="O63" s="693"/>
      <c r="P63" s="693"/>
      <c r="Q63" s="694"/>
      <c r="R63" s="509"/>
      <c r="S63" s="509"/>
      <c r="T63" s="509"/>
      <c r="U63" s="509"/>
    </row>
    <row r="64" spans="1:21" s="22" customFormat="1" ht="15.75" customHeight="1" thickBot="1">
      <c r="A64" s="255"/>
      <c r="B64" s="256"/>
      <c r="C64" s="256"/>
      <c r="D64" s="968"/>
      <c r="E64" s="257"/>
      <c r="F64" s="368"/>
      <c r="G64" s="368"/>
      <c r="H64" s="368"/>
      <c r="I64" s="369"/>
      <c r="J64" s="370"/>
      <c r="K64" s="509"/>
      <c r="L64" s="509"/>
      <c r="M64" s="509"/>
      <c r="N64" s="509"/>
      <c r="O64" s="509"/>
      <c r="P64" s="509"/>
      <c r="Q64" s="509"/>
      <c r="R64" s="509"/>
      <c r="S64" s="509"/>
      <c r="T64" s="509"/>
      <c r="U64" s="509"/>
    </row>
    <row r="65" spans="1:21" ht="16.5" customHeight="1" thickBot="1">
      <c r="A65" s="266" t="s">
        <v>1893</v>
      </c>
      <c r="B65" s="175" t="s">
        <v>1894</v>
      </c>
      <c r="C65" s="176" t="s">
        <v>1895</v>
      </c>
      <c r="D65" s="175"/>
      <c r="E65" s="175"/>
      <c r="F65" s="341"/>
      <c r="G65" s="341"/>
      <c r="H65" s="342">
        <f>SUM(H66:H96)</f>
        <v>0</v>
      </c>
      <c r="I65" s="343"/>
      <c r="J65" s="344">
        <f>SUM(J66:J96)</f>
        <v>120.1772833</v>
      </c>
      <c r="K65" s="670"/>
      <c r="L65" s="670"/>
      <c r="M65" s="670"/>
      <c r="N65" s="670"/>
      <c r="O65" s="670"/>
      <c r="P65" s="670"/>
      <c r="Q65" s="670"/>
      <c r="R65" s="670"/>
      <c r="S65" s="670"/>
      <c r="T65" s="670"/>
      <c r="U65" s="670"/>
    </row>
    <row r="66" spans="1:21" s="22" customFormat="1" ht="14.25" customHeight="1">
      <c r="A66" s="190"/>
      <c r="B66" s="191"/>
      <c r="C66" s="191"/>
      <c r="D66" s="964"/>
      <c r="E66" s="192"/>
      <c r="F66" s="345"/>
      <c r="G66" s="345"/>
      <c r="H66" s="345"/>
      <c r="I66" s="346"/>
      <c r="J66" s="347"/>
      <c r="K66" s="509"/>
      <c r="L66" s="509"/>
      <c r="M66" s="509"/>
      <c r="N66" s="509"/>
      <c r="O66" s="509"/>
      <c r="P66" s="509"/>
      <c r="Q66" s="509"/>
      <c r="R66" s="509"/>
      <c r="S66" s="509"/>
      <c r="T66" s="509"/>
      <c r="U66" s="509"/>
    </row>
    <row r="67" spans="1:21" s="22" customFormat="1" ht="20.25" customHeight="1">
      <c r="A67" s="196" t="s">
        <v>1896</v>
      </c>
      <c r="B67" s="197" t="s">
        <v>1897</v>
      </c>
      <c r="C67" s="197" t="s">
        <v>1898</v>
      </c>
      <c r="D67" s="917" t="s">
        <v>2761</v>
      </c>
      <c r="E67" s="198" t="s">
        <v>1748</v>
      </c>
      <c r="F67" s="332">
        <v>335.37</v>
      </c>
      <c r="G67" s="332"/>
      <c r="H67" s="332">
        <f aca="true" t="shared" si="4" ref="H67:H95">F67*G67</f>
        <v>0</v>
      </c>
      <c r="I67" s="333">
        <v>4E-05</v>
      </c>
      <c r="J67" s="334">
        <f aca="true" t="shared" si="5" ref="J67:J95">F67*I67</f>
        <v>0.013414800000000001</v>
      </c>
      <c r="K67" s="693"/>
      <c r="L67" s="693"/>
      <c r="M67" s="693"/>
      <c r="N67" s="693"/>
      <c r="O67" s="693"/>
      <c r="P67" s="693"/>
      <c r="Q67" s="694"/>
      <c r="R67" s="509"/>
      <c r="S67" s="509"/>
      <c r="T67" s="509"/>
      <c r="U67" s="509"/>
    </row>
    <row r="68" spans="1:21" s="22" customFormat="1" ht="20.25" customHeight="1">
      <c r="A68" s="196" t="s">
        <v>1900</v>
      </c>
      <c r="B68" s="197" t="s">
        <v>1901</v>
      </c>
      <c r="C68" s="197" t="s">
        <v>1902</v>
      </c>
      <c r="D68" s="917" t="s">
        <v>2761</v>
      </c>
      <c r="E68" s="198" t="s">
        <v>1748</v>
      </c>
      <c r="F68" s="332">
        <f>1736.4+45.84+152.52</f>
        <v>1934.76</v>
      </c>
      <c r="G68" s="332"/>
      <c r="H68" s="332">
        <f t="shared" si="4"/>
        <v>0</v>
      </c>
      <c r="I68" s="333">
        <v>2E-05</v>
      </c>
      <c r="J68" s="334">
        <f t="shared" si="5"/>
        <v>0.038695200000000006</v>
      </c>
      <c r="K68" s="693"/>
      <c r="L68" s="693"/>
      <c r="M68" s="693"/>
      <c r="N68" s="693"/>
      <c r="O68" s="693"/>
      <c r="P68" s="693"/>
      <c r="Q68" s="694"/>
      <c r="R68" s="509"/>
      <c r="S68" s="509"/>
      <c r="T68" s="509"/>
      <c r="U68" s="509"/>
    </row>
    <row r="69" spans="1:21" s="22" customFormat="1" ht="20.25" customHeight="1">
      <c r="A69" s="196" t="s">
        <v>1904</v>
      </c>
      <c r="B69" s="197" t="s">
        <v>1905</v>
      </c>
      <c r="C69" s="197" t="s">
        <v>1906</v>
      </c>
      <c r="D69" s="917" t="s">
        <v>2761</v>
      </c>
      <c r="E69" s="198" t="s">
        <v>1748</v>
      </c>
      <c r="F69" s="332">
        <f>1736.4+127.1</f>
        <v>1863.5</v>
      </c>
      <c r="G69" s="332"/>
      <c r="H69" s="332">
        <f t="shared" si="4"/>
        <v>0</v>
      </c>
      <c r="I69" s="333">
        <v>0.04634</v>
      </c>
      <c r="J69" s="334">
        <f t="shared" si="5"/>
        <v>86.35459</v>
      </c>
      <c r="K69" s="693"/>
      <c r="L69" s="693"/>
      <c r="M69" s="693"/>
      <c r="N69" s="693"/>
      <c r="O69" s="693"/>
      <c r="P69" s="693"/>
      <c r="Q69" s="694"/>
      <c r="R69" s="509"/>
      <c r="S69" s="509"/>
      <c r="T69" s="509"/>
      <c r="U69" s="509"/>
    </row>
    <row r="70" spans="1:20" s="1034" customFormat="1" ht="20.25" customHeight="1">
      <c r="A70" s="1023" t="s">
        <v>2844</v>
      </c>
      <c r="B70" s="1024" t="s">
        <v>2837</v>
      </c>
      <c r="C70" s="1024" t="s">
        <v>2838</v>
      </c>
      <c r="D70" s="1108"/>
      <c r="E70" s="1027" t="s">
        <v>1748</v>
      </c>
      <c r="F70" s="1028">
        <f>SUM(E71:E72)</f>
        <v>273.91999999999996</v>
      </c>
      <c r="G70" s="1028"/>
      <c r="H70" s="1028">
        <f>F70*G70</f>
        <v>0</v>
      </c>
      <c r="I70" s="1052">
        <v>0.0063</v>
      </c>
      <c r="J70" s="1060">
        <f>F70*I70</f>
        <v>1.7256959999999997</v>
      </c>
      <c r="K70" s="1033"/>
      <c r="L70" s="1033"/>
      <c r="M70" s="1033"/>
      <c r="N70" s="1033"/>
      <c r="O70" s="1033"/>
      <c r="P70" s="1033"/>
      <c r="Q70" s="1033"/>
      <c r="R70" s="1033"/>
      <c r="S70" s="1033"/>
      <c r="T70" s="1033"/>
    </row>
    <row r="71" spans="1:21" s="1078" customFormat="1" ht="17.25" customHeight="1">
      <c r="A71" s="1071"/>
      <c r="B71" s="1072" t="s">
        <v>1920</v>
      </c>
      <c r="C71" s="1055" t="s">
        <v>1061</v>
      </c>
      <c r="D71" s="1193"/>
      <c r="E71" s="1062">
        <f>(35.4+43.8+1.3+4.5-1.4)*0.7</f>
        <v>58.51999999999998</v>
      </c>
      <c r="F71" s="1073"/>
      <c r="G71" s="1070"/>
      <c r="H71" s="1070"/>
      <c r="I71" s="1074"/>
      <c r="J71" s="1075"/>
      <c r="K71" s="1076"/>
      <c r="L71" s="1076"/>
      <c r="M71" s="1076"/>
      <c r="N71" s="1077"/>
      <c r="O71" s="1077"/>
      <c r="P71" s="1077"/>
      <c r="Q71" s="1077"/>
      <c r="R71" s="1077"/>
      <c r="S71" s="1077"/>
      <c r="T71" s="1077"/>
      <c r="U71" s="1077"/>
    </row>
    <row r="72" spans="1:21" s="1066" customFormat="1" ht="19.5" customHeight="1">
      <c r="A72" s="1054"/>
      <c r="B72" s="1061" t="s">
        <v>1921</v>
      </c>
      <c r="C72" s="1061">
        <v>215.4</v>
      </c>
      <c r="D72" s="1194"/>
      <c r="E72" s="1063">
        <v>215.4</v>
      </c>
      <c r="F72" s="1063"/>
      <c r="G72" s="1063"/>
      <c r="H72" s="1067"/>
      <c r="I72" s="1067"/>
      <c r="J72" s="1068"/>
      <c r="K72" s="1069"/>
      <c r="L72" s="1069"/>
      <c r="M72" s="1064"/>
      <c r="N72" s="1064"/>
      <c r="O72" s="1064"/>
      <c r="P72" s="1064"/>
      <c r="Q72" s="1064"/>
      <c r="R72" s="1064"/>
      <c r="S72" s="1064"/>
      <c r="T72" s="1064"/>
      <c r="U72" s="1064"/>
    </row>
    <row r="73" spans="1:21" s="22" customFormat="1" ht="20.25" customHeight="1">
      <c r="A73" s="196" t="s">
        <v>1907</v>
      </c>
      <c r="B73" s="197" t="s">
        <v>1918</v>
      </c>
      <c r="C73" s="1024" t="s">
        <v>2841</v>
      </c>
      <c r="D73" s="917" t="s">
        <v>2761</v>
      </c>
      <c r="E73" s="198" t="s">
        <v>1748</v>
      </c>
      <c r="F73" s="332">
        <f>SUM(E74:E75)</f>
        <v>273.91999999999996</v>
      </c>
      <c r="G73" s="332"/>
      <c r="H73" s="332">
        <f t="shared" si="4"/>
        <v>0</v>
      </c>
      <c r="I73" s="333">
        <v>0.026</v>
      </c>
      <c r="J73" s="334">
        <f t="shared" si="5"/>
        <v>7.1219199999999985</v>
      </c>
      <c r="K73" s="693"/>
      <c r="L73" s="693"/>
      <c r="M73" s="693"/>
      <c r="N73" s="693"/>
      <c r="O73" s="693"/>
      <c r="P73" s="693"/>
      <c r="Q73" s="694"/>
      <c r="R73" s="509"/>
      <c r="S73" s="509"/>
      <c r="T73" s="509"/>
      <c r="U73" s="509"/>
    </row>
    <row r="74" spans="1:21" s="251" customFormat="1" ht="17.25" customHeight="1">
      <c r="A74" s="248"/>
      <c r="B74" s="249" t="s">
        <v>1920</v>
      </c>
      <c r="C74" s="205" t="s">
        <v>1061</v>
      </c>
      <c r="D74" s="969"/>
      <c r="E74" s="213">
        <f>(35.4+43.8+1.3+4.5-1.4)*0.7</f>
        <v>58.51999999999998</v>
      </c>
      <c r="F74" s="367"/>
      <c r="G74" s="387"/>
      <c r="H74" s="387"/>
      <c r="I74" s="356"/>
      <c r="J74" s="357"/>
      <c r="K74" s="681"/>
      <c r="L74" s="681"/>
      <c r="M74" s="681"/>
      <c r="N74" s="682"/>
      <c r="O74" s="682"/>
      <c r="P74" s="682"/>
      <c r="Q74" s="682"/>
      <c r="R74" s="682"/>
      <c r="S74" s="682"/>
      <c r="T74" s="682"/>
      <c r="U74" s="682"/>
    </row>
    <row r="75" spans="1:21" s="142" customFormat="1" ht="19.5" customHeight="1">
      <c r="A75" s="204"/>
      <c r="B75" s="212" t="s">
        <v>1921</v>
      </c>
      <c r="C75" s="212">
        <v>215.4</v>
      </c>
      <c r="D75" s="971"/>
      <c r="E75" s="141">
        <v>215.4</v>
      </c>
      <c r="F75" s="141"/>
      <c r="G75" s="141"/>
      <c r="H75" s="352"/>
      <c r="I75" s="352"/>
      <c r="J75" s="353"/>
      <c r="K75" s="677"/>
      <c r="L75" s="677"/>
      <c r="M75" s="215"/>
      <c r="N75" s="215"/>
      <c r="O75" s="215"/>
      <c r="P75" s="215"/>
      <c r="Q75" s="215"/>
      <c r="R75" s="215"/>
      <c r="S75" s="215"/>
      <c r="T75" s="215"/>
      <c r="U75" s="215"/>
    </row>
    <row r="76" spans="1:21" s="22" customFormat="1" ht="20.25" customHeight="1">
      <c r="A76" s="196" t="s">
        <v>1914</v>
      </c>
      <c r="B76" s="197" t="s">
        <v>1923</v>
      </c>
      <c r="C76" s="197" t="s">
        <v>1924</v>
      </c>
      <c r="D76" s="917" t="s">
        <v>1925</v>
      </c>
      <c r="E76" s="198" t="s">
        <v>1748</v>
      </c>
      <c r="F76" s="332">
        <f>E77</f>
        <v>45.83999999999999</v>
      </c>
      <c r="G76" s="332"/>
      <c r="H76" s="332">
        <f t="shared" si="4"/>
        <v>0</v>
      </c>
      <c r="I76" s="333">
        <v>0.01021</v>
      </c>
      <c r="J76" s="334">
        <f t="shared" si="5"/>
        <v>0.4680263999999999</v>
      </c>
      <c r="K76" s="509"/>
      <c r="L76" s="509"/>
      <c r="M76" s="509"/>
      <c r="N76" s="509"/>
      <c r="O76" s="509"/>
      <c r="P76" s="509"/>
      <c r="Q76" s="509"/>
      <c r="R76" s="509"/>
      <c r="S76" s="509"/>
      <c r="T76" s="509"/>
      <c r="U76" s="509"/>
    </row>
    <row r="77" spans="1:24" s="211" customFormat="1" ht="21.75" customHeight="1">
      <c r="A77" s="223"/>
      <c r="B77" s="224" t="s">
        <v>1749</v>
      </c>
      <c r="C77" s="205" t="s">
        <v>1054</v>
      </c>
      <c r="D77" s="970"/>
      <c r="E77" s="220">
        <f>(35.4+43.8)*0.8+(1.3+4.5)*0.6-21*1*1</f>
        <v>45.83999999999999</v>
      </c>
      <c r="F77" s="225"/>
      <c r="G77" s="674"/>
      <c r="H77" s="225"/>
      <c r="I77" s="348"/>
      <c r="J77" s="349"/>
      <c r="K77" s="675"/>
      <c r="L77" s="675"/>
      <c r="M77" s="675"/>
      <c r="N77" s="675"/>
      <c r="O77" s="676"/>
      <c r="P77" s="676"/>
      <c r="Q77" s="676"/>
      <c r="R77" s="676"/>
      <c r="S77" s="515"/>
      <c r="T77" s="515"/>
      <c r="U77" s="515"/>
      <c r="V77" s="210"/>
      <c r="W77" s="210"/>
      <c r="X77" s="210"/>
    </row>
    <row r="78" spans="1:21" s="22" customFormat="1" ht="30.75" customHeight="1">
      <c r="A78" s="196" t="s">
        <v>1917</v>
      </c>
      <c r="B78" s="197" t="s">
        <v>1927</v>
      </c>
      <c r="C78" s="199" t="s">
        <v>1928</v>
      </c>
      <c r="D78" s="917" t="s">
        <v>1929</v>
      </c>
      <c r="E78" s="198" t="s">
        <v>1748</v>
      </c>
      <c r="F78" s="332">
        <f>E79</f>
        <v>58.51999999999998</v>
      </c>
      <c r="G78" s="332"/>
      <c r="H78" s="332">
        <f>F78*G78</f>
        <v>0</v>
      </c>
      <c r="I78" s="333">
        <v>0.01396</v>
      </c>
      <c r="J78" s="334">
        <f>F78*I78</f>
        <v>0.8169391999999998</v>
      </c>
      <c r="K78" s="509"/>
      <c r="L78" s="509"/>
      <c r="M78" s="509"/>
      <c r="N78" s="509"/>
      <c r="O78" s="509"/>
      <c r="P78" s="509"/>
      <c r="Q78" s="509"/>
      <c r="R78" s="509"/>
      <c r="S78" s="509"/>
      <c r="T78" s="509"/>
      <c r="U78" s="509"/>
    </row>
    <row r="79" spans="1:21" s="251" customFormat="1" ht="17.25" customHeight="1">
      <c r="A79" s="248"/>
      <c r="B79" s="232" t="s">
        <v>1920</v>
      </c>
      <c r="C79" s="205" t="s">
        <v>1061</v>
      </c>
      <c r="D79" s="969"/>
      <c r="E79" s="213">
        <f>(35.4+43.8+1.3+4.5-1.4)*0.7</f>
        <v>58.51999999999998</v>
      </c>
      <c r="F79" s="367"/>
      <c r="G79" s="387"/>
      <c r="H79" s="387"/>
      <c r="I79" s="356"/>
      <c r="J79" s="357"/>
      <c r="K79" s="681"/>
      <c r="L79" s="681"/>
      <c r="M79" s="681"/>
      <c r="N79" s="682"/>
      <c r="O79" s="682"/>
      <c r="P79" s="682"/>
      <c r="Q79" s="682"/>
      <c r="R79" s="682"/>
      <c r="S79" s="682"/>
      <c r="T79" s="682"/>
      <c r="U79" s="682"/>
    </row>
    <row r="80" spans="1:21" s="22" customFormat="1" ht="20.25" customHeight="1">
      <c r="A80" s="196" t="s">
        <v>1922</v>
      </c>
      <c r="B80" s="197" t="s">
        <v>1939</v>
      </c>
      <c r="C80" s="197" t="s">
        <v>1940</v>
      </c>
      <c r="D80" s="917" t="s">
        <v>1929</v>
      </c>
      <c r="E80" s="198" t="s">
        <v>1748</v>
      </c>
      <c r="F80" s="332">
        <f>F78</f>
        <v>58.51999999999998</v>
      </c>
      <c r="G80" s="332"/>
      <c r="H80" s="332">
        <f t="shared" si="4"/>
        <v>0</v>
      </c>
      <c r="I80" s="333">
        <v>0.00618</v>
      </c>
      <c r="J80" s="334">
        <f t="shared" si="5"/>
        <v>0.36165359999999985</v>
      </c>
      <c r="K80" s="693"/>
      <c r="L80" s="693"/>
      <c r="M80" s="693"/>
      <c r="N80" s="693"/>
      <c r="O80" s="693"/>
      <c r="P80" s="693"/>
      <c r="Q80" s="694"/>
      <c r="R80" s="509"/>
      <c r="S80" s="509"/>
      <c r="T80" s="509"/>
      <c r="U80" s="509"/>
    </row>
    <row r="81" spans="1:21" s="22" customFormat="1" ht="20.25" customHeight="1">
      <c r="A81" s="196" t="s">
        <v>1926</v>
      </c>
      <c r="B81" s="197" t="s">
        <v>1961</v>
      </c>
      <c r="C81" s="197" t="s">
        <v>1962</v>
      </c>
      <c r="D81" s="917" t="s">
        <v>1963</v>
      </c>
      <c r="E81" s="198" t="s">
        <v>1748</v>
      </c>
      <c r="F81" s="332">
        <f>SUM(E82:E83)</f>
        <v>1684.5700000000002</v>
      </c>
      <c r="G81" s="332"/>
      <c r="H81" s="332">
        <f t="shared" si="4"/>
        <v>0</v>
      </c>
      <c r="I81" s="333">
        <v>0.01011</v>
      </c>
      <c r="J81" s="334">
        <f t="shared" si="5"/>
        <v>17.031002700000002</v>
      </c>
      <c r="K81" s="693"/>
      <c r="L81" s="693"/>
      <c r="M81" s="693"/>
      <c r="N81" s="693"/>
      <c r="O81" s="693"/>
      <c r="P81" s="693"/>
      <c r="Q81" s="694"/>
      <c r="R81" s="509"/>
      <c r="S81" s="509"/>
      <c r="T81" s="509"/>
      <c r="U81" s="509"/>
    </row>
    <row r="82" spans="1:21" s="130" customFormat="1" ht="22.5" customHeight="1">
      <c r="A82" s="204"/>
      <c r="B82" s="205"/>
      <c r="C82" s="206" t="s">
        <v>1062</v>
      </c>
      <c r="D82" s="916"/>
      <c r="E82" s="207">
        <f>1736.4-58.52</f>
        <v>1677.88</v>
      </c>
      <c r="F82" s="335"/>
      <c r="G82" s="335"/>
      <c r="H82" s="335"/>
      <c r="I82" s="336"/>
      <c r="J82" s="337"/>
      <c r="K82" s="672"/>
      <c r="L82" s="672"/>
      <c r="M82" s="672"/>
      <c r="N82" s="672"/>
      <c r="O82" s="672"/>
      <c r="P82" s="672"/>
      <c r="Q82" s="673"/>
      <c r="R82" s="508"/>
      <c r="S82" s="508"/>
      <c r="T82" s="508"/>
      <c r="U82" s="508"/>
    </row>
    <row r="83" spans="1:21" s="130" customFormat="1" ht="22.5" customHeight="1">
      <c r="A83" s="204"/>
      <c r="B83" s="205" t="s">
        <v>878</v>
      </c>
      <c r="C83" s="206" t="s">
        <v>879</v>
      </c>
      <c r="D83" s="916"/>
      <c r="E83" s="207">
        <f>(2.86+3.83)</f>
        <v>6.6899999999999995</v>
      </c>
      <c r="F83" s="335"/>
      <c r="G83" s="335"/>
      <c r="H83" s="335"/>
      <c r="I83" s="336"/>
      <c r="J83" s="337"/>
      <c r="K83" s="672"/>
      <c r="L83" s="672"/>
      <c r="M83" s="672"/>
      <c r="N83" s="672"/>
      <c r="O83" s="672"/>
      <c r="P83" s="672"/>
      <c r="Q83" s="673"/>
      <c r="R83" s="508"/>
      <c r="S83" s="508"/>
      <c r="T83" s="508"/>
      <c r="U83" s="508"/>
    </row>
    <row r="84" spans="1:21" s="22" customFormat="1" ht="20.25" customHeight="1">
      <c r="A84" s="196" t="s">
        <v>1931</v>
      </c>
      <c r="B84" s="197" t="s">
        <v>1966</v>
      </c>
      <c r="C84" s="197" t="s">
        <v>1967</v>
      </c>
      <c r="D84" s="917" t="s">
        <v>880</v>
      </c>
      <c r="E84" s="198" t="s">
        <v>1748</v>
      </c>
      <c r="F84" s="332">
        <f>889.24*0.15+0.01</f>
        <v>133.396</v>
      </c>
      <c r="G84" s="332"/>
      <c r="H84" s="332">
        <f t="shared" si="4"/>
        <v>0</v>
      </c>
      <c r="I84" s="333">
        <v>0</v>
      </c>
      <c r="J84" s="334">
        <f t="shared" si="5"/>
        <v>0</v>
      </c>
      <c r="K84" s="693"/>
      <c r="L84" s="693"/>
      <c r="M84" s="693"/>
      <c r="N84" s="693"/>
      <c r="O84" s="693"/>
      <c r="P84" s="693"/>
      <c r="Q84" s="694"/>
      <c r="R84" s="509"/>
      <c r="S84" s="509"/>
      <c r="T84" s="509"/>
      <c r="U84" s="509"/>
    </row>
    <row r="85" spans="1:21" s="22" customFormat="1" ht="31.5" customHeight="1">
      <c r="A85" s="196" t="s">
        <v>1935</v>
      </c>
      <c r="B85" s="197" t="s">
        <v>886</v>
      </c>
      <c r="C85" s="199" t="s">
        <v>2949</v>
      </c>
      <c r="D85" s="917" t="s">
        <v>888</v>
      </c>
      <c r="E85" s="198" t="s">
        <v>1748</v>
      </c>
      <c r="F85" s="332">
        <f>SUM(E86:E86)</f>
        <v>152.51999999999998</v>
      </c>
      <c r="G85" s="332"/>
      <c r="H85" s="332">
        <f t="shared" si="4"/>
        <v>0</v>
      </c>
      <c r="I85" s="333">
        <v>0.00367</v>
      </c>
      <c r="J85" s="334">
        <f t="shared" si="5"/>
        <v>0.5597483999999999</v>
      </c>
      <c r="K85" s="693"/>
      <c r="L85" s="693"/>
      <c r="M85" s="693"/>
      <c r="N85" s="693"/>
      <c r="O85" s="693"/>
      <c r="P85" s="693"/>
      <c r="Q85" s="694"/>
      <c r="R85" s="509"/>
      <c r="S85" s="509"/>
      <c r="T85" s="509"/>
      <c r="U85" s="509"/>
    </row>
    <row r="86" spans="1:21" s="251" customFormat="1" ht="17.25" customHeight="1">
      <c r="A86" s="248"/>
      <c r="B86" s="249"/>
      <c r="C86" s="1139" t="s">
        <v>1063</v>
      </c>
      <c r="D86" s="969"/>
      <c r="E86" s="213">
        <f>127.1*1.2</f>
        <v>152.51999999999998</v>
      </c>
      <c r="F86" s="367"/>
      <c r="G86" s="387"/>
      <c r="H86" s="387"/>
      <c r="I86" s="356"/>
      <c r="J86" s="357"/>
      <c r="K86" s="681"/>
      <c r="L86" s="681"/>
      <c r="M86" s="681"/>
      <c r="N86" s="682"/>
      <c r="O86" s="682"/>
      <c r="P86" s="682"/>
      <c r="Q86" s="682"/>
      <c r="R86" s="682"/>
      <c r="S86" s="682"/>
      <c r="T86" s="682"/>
      <c r="U86" s="682"/>
    </row>
    <row r="87" spans="1:21" s="22" customFormat="1" ht="20.25" customHeight="1">
      <c r="A87" s="196" t="s">
        <v>1938</v>
      </c>
      <c r="B87" s="197" t="s">
        <v>1987</v>
      </c>
      <c r="C87" s="197" t="s">
        <v>1988</v>
      </c>
      <c r="D87" s="917" t="s">
        <v>2761</v>
      </c>
      <c r="E87" s="198" t="s">
        <v>1826</v>
      </c>
      <c r="F87" s="332">
        <v>42.6</v>
      </c>
      <c r="G87" s="332"/>
      <c r="H87" s="332">
        <f>F87*G87</f>
        <v>0</v>
      </c>
      <c r="I87" s="333">
        <v>0.0005</v>
      </c>
      <c r="J87" s="334">
        <f>F87*I87</f>
        <v>0.0213</v>
      </c>
      <c r="K87" s="509"/>
      <c r="L87" s="509"/>
      <c r="M87" s="509"/>
      <c r="N87" s="509"/>
      <c r="O87" s="509"/>
      <c r="P87" s="509"/>
      <c r="Q87" s="509"/>
      <c r="R87" s="509"/>
      <c r="S87" s="509"/>
      <c r="T87" s="509"/>
      <c r="U87" s="509"/>
    </row>
    <row r="88" spans="1:21" s="22" customFormat="1" ht="20.25" customHeight="1">
      <c r="A88" s="196" t="s">
        <v>1942</v>
      </c>
      <c r="B88" s="197" t="s">
        <v>1990</v>
      </c>
      <c r="C88" s="197" t="s">
        <v>1991</v>
      </c>
      <c r="D88" s="917" t="s">
        <v>2761</v>
      </c>
      <c r="E88" s="198" t="s">
        <v>1826</v>
      </c>
      <c r="F88" s="332">
        <v>889.24</v>
      </c>
      <c r="G88" s="332"/>
      <c r="H88" s="332">
        <f t="shared" si="4"/>
        <v>0</v>
      </c>
      <c r="I88" s="333">
        <v>0</v>
      </c>
      <c r="J88" s="334">
        <f t="shared" si="5"/>
        <v>0</v>
      </c>
      <c r="K88" s="693"/>
      <c r="L88" s="693"/>
      <c r="M88" s="693"/>
      <c r="N88" s="693"/>
      <c r="O88" s="693"/>
      <c r="P88" s="693"/>
      <c r="Q88" s="694"/>
      <c r="R88" s="509"/>
      <c r="S88" s="509"/>
      <c r="T88" s="509"/>
      <c r="U88" s="509"/>
    </row>
    <row r="89" spans="1:21" s="22" customFormat="1" ht="20.25" customHeight="1">
      <c r="A89" s="196" t="s">
        <v>1955</v>
      </c>
      <c r="B89" s="197" t="s">
        <v>1993</v>
      </c>
      <c r="C89" s="197" t="s">
        <v>1994</v>
      </c>
      <c r="D89" s="917" t="s">
        <v>2761</v>
      </c>
      <c r="E89" s="198" t="s">
        <v>1826</v>
      </c>
      <c r="F89" s="332">
        <f>E90</f>
        <v>83.59999999999998</v>
      </c>
      <c r="G89" s="332"/>
      <c r="H89" s="332">
        <f t="shared" si="4"/>
        <v>0</v>
      </c>
      <c r="I89" s="333">
        <v>0.00011</v>
      </c>
      <c r="J89" s="334">
        <f t="shared" si="5"/>
        <v>0.009195999999999998</v>
      </c>
      <c r="K89" s="693"/>
      <c r="L89" s="693"/>
      <c r="M89" s="693"/>
      <c r="N89" s="693"/>
      <c r="O89" s="693"/>
      <c r="P89" s="693"/>
      <c r="Q89" s="694"/>
      <c r="R89" s="509"/>
      <c r="S89" s="509"/>
      <c r="T89" s="509"/>
      <c r="U89" s="509"/>
    </row>
    <row r="90" spans="1:21" s="251" customFormat="1" ht="17.25" customHeight="1">
      <c r="A90" s="248"/>
      <c r="B90" s="249"/>
      <c r="C90" s="205" t="s">
        <v>1064</v>
      </c>
      <c r="D90" s="969"/>
      <c r="E90" s="213">
        <f>(35.4+43.8+1.3+4.5-1.4)</f>
        <v>83.59999999999998</v>
      </c>
      <c r="F90" s="367"/>
      <c r="G90" s="387"/>
      <c r="H90" s="387"/>
      <c r="I90" s="356"/>
      <c r="J90" s="357"/>
      <c r="K90" s="681"/>
      <c r="L90" s="681"/>
      <c r="M90" s="681"/>
      <c r="N90" s="682"/>
      <c r="O90" s="682"/>
      <c r="P90" s="682"/>
      <c r="Q90" s="682"/>
      <c r="R90" s="682"/>
      <c r="S90" s="682"/>
      <c r="T90" s="682"/>
      <c r="U90" s="682"/>
    </row>
    <row r="91" spans="1:21" s="22" customFormat="1" ht="20.25" customHeight="1">
      <c r="A91" s="196" t="s">
        <v>1960</v>
      </c>
      <c r="B91" s="197" t="s">
        <v>1996</v>
      </c>
      <c r="C91" s="197" t="s">
        <v>1997</v>
      </c>
      <c r="D91" s="917" t="s">
        <v>2761</v>
      </c>
      <c r="E91" s="198" t="s">
        <v>1826</v>
      </c>
      <c r="F91" s="332">
        <v>706.5</v>
      </c>
      <c r="G91" s="332"/>
      <c r="H91" s="332">
        <f t="shared" si="4"/>
        <v>0</v>
      </c>
      <c r="I91" s="333">
        <v>0.00011</v>
      </c>
      <c r="J91" s="334">
        <f t="shared" si="5"/>
        <v>0.077715</v>
      </c>
      <c r="K91" s="693"/>
      <c r="L91" s="693"/>
      <c r="M91" s="693"/>
      <c r="N91" s="693"/>
      <c r="O91" s="693"/>
      <c r="P91" s="693"/>
      <c r="Q91" s="694"/>
      <c r="R91" s="509"/>
      <c r="S91" s="509"/>
      <c r="T91" s="509"/>
      <c r="U91" s="509"/>
    </row>
    <row r="92" spans="1:21" s="22" customFormat="1" ht="20.25" customHeight="1">
      <c r="A92" s="196" t="s">
        <v>1965</v>
      </c>
      <c r="B92" s="197" t="s">
        <v>1999</v>
      </c>
      <c r="C92" s="197" t="s">
        <v>2000</v>
      </c>
      <c r="D92" s="917" t="s">
        <v>2761</v>
      </c>
      <c r="E92" s="198" t="s">
        <v>1826</v>
      </c>
      <c r="F92" s="332">
        <v>2812.8</v>
      </c>
      <c r="G92" s="332"/>
      <c r="H92" s="332">
        <f t="shared" si="4"/>
        <v>0</v>
      </c>
      <c r="I92" s="333">
        <v>0</v>
      </c>
      <c r="J92" s="334">
        <f t="shared" si="5"/>
        <v>0</v>
      </c>
      <c r="K92" s="693"/>
      <c r="L92" s="509"/>
      <c r="M92" s="693"/>
      <c r="N92" s="693"/>
      <c r="O92" s="693"/>
      <c r="P92" s="693"/>
      <c r="Q92" s="694"/>
      <c r="R92" s="509"/>
      <c r="S92" s="509"/>
      <c r="T92" s="509"/>
      <c r="U92" s="509"/>
    </row>
    <row r="93" spans="1:21" s="22" customFormat="1" ht="20.25" customHeight="1">
      <c r="A93" s="196" t="s">
        <v>1972</v>
      </c>
      <c r="B93" s="197" t="s">
        <v>2002</v>
      </c>
      <c r="C93" s="197" t="s">
        <v>2003</v>
      </c>
      <c r="D93" s="917" t="s">
        <v>2761</v>
      </c>
      <c r="E93" s="198" t="s">
        <v>1748</v>
      </c>
      <c r="F93" s="332">
        <f>1736.2+152.52</f>
        <v>1888.72</v>
      </c>
      <c r="G93" s="332"/>
      <c r="H93" s="332">
        <f t="shared" si="4"/>
        <v>0</v>
      </c>
      <c r="I93" s="333">
        <v>0.00032</v>
      </c>
      <c r="J93" s="334">
        <f t="shared" si="5"/>
        <v>0.6043904000000001</v>
      </c>
      <c r="K93" s="693"/>
      <c r="L93" s="509"/>
      <c r="M93" s="693"/>
      <c r="N93" s="693"/>
      <c r="O93" s="693"/>
      <c r="P93" s="693"/>
      <c r="Q93" s="694"/>
      <c r="R93" s="509"/>
      <c r="S93" s="509"/>
      <c r="T93" s="509"/>
      <c r="U93" s="509"/>
    </row>
    <row r="94" spans="1:21" s="22" customFormat="1" ht="20.25" customHeight="1">
      <c r="A94" s="196" t="s">
        <v>1977</v>
      </c>
      <c r="B94" s="197" t="s">
        <v>2005</v>
      </c>
      <c r="C94" s="197" t="s">
        <v>2006</v>
      </c>
      <c r="D94" s="917" t="s">
        <v>2761</v>
      </c>
      <c r="E94" s="198" t="s">
        <v>1748</v>
      </c>
      <c r="F94" s="332">
        <f>1888.72-58.52-86.21</f>
        <v>1743.99</v>
      </c>
      <c r="G94" s="332"/>
      <c r="H94" s="332">
        <f t="shared" si="4"/>
        <v>0</v>
      </c>
      <c r="I94" s="333">
        <v>0.00284</v>
      </c>
      <c r="J94" s="334">
        <f t="shared" si="5"/>
        <v>4.9529316</v>
      </c>
      <c r="K94" s="693"/>
      <c r="L94" s="693"/>
      <c r="M94" s="693"/>
      <c r="N94" s="693"/>
      <c r="O94" s="693"/>
      <c r="P94" s="693"/>
      <c r="Q94" s="694"/>
      <c r="R94" s="509"/>
      <c r="S94" s="509"/>
      <c r="T94" s="509"/>
      <c r="U94" s="509"/>
    </row>
    <row r="95" spans="1:21" s="22" customFormat="1" ht="20.25" customHeight="1">
      <c r="A95" s="196" t="s">
        <v>1982</v>
      </c>
      <c r="B95" s="197" t="s">
        <v>2008</v>
      </c>
      <c r="C95" s="197" t="s">
        <v>2009</v>
      </c>
      <c r="D95" s="917" t="s">
        <v>2761</v>
      </c>
      <c r="E95" s="198" t="s">
        <v>1826</v>
      </c>
      <c r="F95" s="332">
        <f>F89*3</f>
        <v>250.79999999999995</v>
      </c>
      <c r="G95" s="332"/>
      <c r="H95" s="332">
        <f t="shared" si="4"/>
        <v>0</v>
      </c>
      <c r="I95" s="333">
        <v>8E-05</v>
      </c>
      <c r="J95" s="334">
        <f t="shared" si="5"/>
        <v>0.020064</v>
      </c>
      <c r="K95" s="693"/>
      <c r="L95" s="693"/>
      <c r="M95" s="693"/>
      <c r="N95" s="693"/>
      <c r="O95" s="693"/>
      <c r="P95" s="693"/>
      <c r="Q95" s="694"/>
      <c r="R95" s="509"/>
      <c r="S95" s="509"/>
      <c r="T95" s="509"/>
      <c r="U95" s="509"/>
    </row>
    <row r="96" spans="1:21" s="22" customFormat="1" ht="14.25" customHeight="1" thickBot="1">
      <c r="A96" s="255"/>
      <c r="B96" s="256"/>
      <c r="C96" s="256"/>
      <c r="D96" s="968"/>
      <c r="E96" s="257"/>
      <c r="F96" s="368"/>
      <c r="G96" s="368"/>
      <c r="H96" s="368"/>
      <c r="I96" s="369"/>
      <c r="J96" s="370"/>
      <c r="K96" s="509"/>
      <c r="L96" s="509"/>
      <c r="M96" s="509"/>
      <c r="N96" s="509"/>
      <c r="O96" s="509"/>
      <c r="P96" s="509"/>
      <c r="Q96" s="509"/>
      <c r="R96" s="509"/>
      <c r="S96" s="509"/>
      <c r="T96" s="509"/>
      <c r="U96" s="509"/>
    </row>
    <row r="97" spans="1:21" ht="16.5" customHeight="1" thickBot="1">
      <c r="A97" s="266" t="s">
        <v>2011</v>
      </c>
      <c r="B97" s="175" t="s">
        <v>2012</v>
      </c>
      <c r="C97" s="176" t="s">
        <v>2013</v>
      </c>
      <c r="D97" s="175"/>
      <c r="E97" s="175"/>
      <c r="F97" s="341"/>
      <c r="G97" s="341"/>
      <c r="H97" s="342">
        <f>SUM(H98:H108)</f>
        <v>0</v>
      </c>
      <c r="I97" s="343"/>
      <c r="J97" s="344">
        <f>SUM(J98:J108)</f>
        <v>21.073459138125003</v>
      </c>
      <c r="K97" s="670"/>
      <c r="L97" s="670"/>
      <c r="M97" s="670"/>
      <c r="N97" s="670"/>
      <c r="O97" s="670"/>
      <c r="P97" s="670"/>
      <c r="Q97" s="670"/>
      <c r="R97" s="670"/>
      <c r="S97" s="670"/>
      <c r="T97" s="670"/>
      <c r="U97" s="670"/>
    </row>
    <row r="98" spans="1:21" s="22" customFormat="1" ht="14.25" customHeight="1">
      <c r="A98" s="190"/>
      <c r="B98" s="191"/>
      <c r="C98" s="1098"/>
      <c r="D98" s="964"/>
      <c r="E98" s="192"/>
      <c r="F98" s="345"/>
      <c r="G98" s="345"/>
      <c r="H98" s="345"/>
      <c r="I98" s="346"/>
      <c r="J98" s="347"/>
      <c r="K98" s="509"/>
      <c r="L98" s="509"/>
      <c r="M98" s="509"/>
      <c r="N98" s="509"/>
      <c r="O98" s="509"/>
      <c r="P98" s="509"/>
      <c r="Q98" s="509"/>
      <c r="R98" s="509"/>
      <c r="S98" s="509"/>
      <c r="T98" s="509"/>
      <c r="U98" s="509"/>
    </row>
    <row r="99" spans="1:21" s="22" customFormat="1" ht="20.25" customHeight="1">
      <c r="A99" s="196" t="s">
        <v>2014</v>
      </c>
      <c r="B99" s="197" t="s">
        <v>2015</v>
      </c>
      <c r="C99" s="1024" t="s">
        <v>2856</v>
      </c>
      <c r="D99" s="917"/>
      <c r="E99" s="198" t="s">
        <v>1748</v>
      </c>
      <c r="F99" s="332">
        <f>SUM(E100:E101)</f>
        <v>635.2900000000001</v>
      </c>
      <c r="G99" s="332"/>
      <c r="H99" s="332">
        <f>F99*G99</f>
        <v>0</v>
      </c>
      <c r="I99" s="333">
        <v>0.02193</v>
      </c>
      <c r="J99" s="334">
        <f>F99*I99</f>
        <v>13.931909700000002</v>
      </c>
      <c r="K99" s="509"/>
      <c r="L99" s="509"/>
      <c r="M99" s="509"/>
      <c r="N99" s="509"/>
      <c r="O99" s="509"/>
      <c r="P99" s="509"/>
      <c r="Q99" s="509"/>
      <c r="R99" s="509"/>
      <c r="S99" s="509"/>
      <c r="T99" s="509"/>
      <c r="U99" s="509"/>
    </row>
    <row r="100" spans="1:21" s="130" customFormat="1" ht="18" customHeight="1">
      <c r="A100" s="204"/>
      <c r="B100" s="205" t="s">
        <v>891</v>
      </c>
      <c r="C100" s="206" t="s">
        <v>1065</v>
      </c>
      <c r="D100" s="916" t="s">
        <v>891</v>
      </c>
      <c r="E100" s="207">
        <v>628.6</v>
      </c>
      <c r="F100" s="335"/>
      <c r="G100" s="335"/>
      <c r="H100" s="335"/>
      <c r="I100" s="336"/>
      <c r="J100" s="337"/>
      <c r="K100" s="508"/>
      <c r="L100" s="508"/>
      <c r="M100" s="508"/>
      <c r="N100" s="508"/>
      <c r="O100" s="508"/>
      <c r="P100" s="508"/>
      <c r="Q100" s="508"/>
      <c r="R100" s="508"/>
      <c r="S100" s="508"/>
      <c r="T100" s="508"/>
      <c r="U100" s="508"/>
    </row>
    <row r="101" spans="1:21" s="130" customFormat="1" ht="18" customHeight="1">
      <c r="A101" s="204"/>
      <c r="B101" s="205" t="s">
        <v>878</v>
      </c>
      <c r="C101" s="206" t="s">
        <v>879</v>
      </c>
      <c r="D101" s="916" t="s">
        <v>878</v>
      </c>
      <c r="E101" s="207">
        <f>(2.86+3.83)</f>
        <v>6.6899999999999995</v>
      </c>
      <c r="F101" s="335"/>
      <c r="G101" s="335"/>
      <c r="H101" s="335"/>
      <c r="I101" s="336"/>
      <c r="J101" s="337"/>
      <c r="K101" s="672"/>
      <c r="L101" s="672"/>
      <c r="M101" s="672"/>
      <c r="N101" s="672"/>
      <c r="O101" s="672"/>
      <c r="P101" s="672"/>
      <c r="Q101" s="673"/>
      <c r="R101" s="508"/>
      <c r="S101" s="508"/>
      <c r="T101" s="508"/>
      <c r="U101" s="508"/>
    </row>
    <row r="102" spans="1:21" s="22" customFormat="1" ht="20.25" customHeight="1">
      <c r="A102" s="196" t="s">
        <v>2026</v>
      </c>
      <c r="B102" s="197" t="s">
        <v>1066</v>
      </c>
      <c r="C102" s="197" t="s">
        <v>1067</v>
      </c>
      <c r="D102" s="917" t="s">
        <v>2789</v>
      </c>
      <c r="E102" s="198" t="s">
        <v>1709</v>
      </c>
      <c r="F102" s="332">
        <f>SUM(E103:E103)</f>
        <v>2.28</v>
      </c>
      <c r="G102" s="332"/>
      <c r="H102" s="332">
        <f>F102*G102</f>
        <v>0</v>
      </c>
      <c r="I102" s="333">
        <v>2.525</v>
      </c>
      <c r="J102" s="334">
        <f>F102*I102</f>
        <v>5.757</v>
      </c>
      <c r="K102" s="509"/>
      <c r="L102" s="509"/>
      <c r="M102" s="509"/>
      <c r="N102" s="509"/>
      <c r="O102" s="509"/>
      <c r="P102" s="509"/>
      <c r="Q102" s="509"/>
      <c r="R102" s="509"/>
      <c r="S102" s="509"/>
      <c r="T102" s="509"/>
      <c r="U102" s="509"/>
    </row>
    <row r="103" spans="1:21" s="130" customFormat="1" ht="22.5" customHeight="1">
      <c r="A103" s="204"/>
      <c r="B103" s="205"/>
      <c r="C103" s="206" t="s">
        <v>1068</v>
      </c>
      <c r="D103" s="916"/>
      <c r="E103" s="207">
        <f>15.2*0.15</f>
        <v>2.28</v>
      </c>
      <c r="F103" s="335"/>
      <c r="G103" s="335"/>
      <c r="H103" s="335"/>
      <c r="I103" s="336"/>
      <c r="J103" s="337"/>
      <c r="K103" s="672"/>
      <c r="L103" s="672"/>
      <c r="M103" s="672"/>
      <c r="N103" s="672"/>
      <c r="O103" s="672"/>
      <c r="P103" s="672"/>
      <c r="Q103" s="673"/>
      <c r="R103" s="508"/>
      <c r="S103" s="508"/>
      <c r="T103" s="508"/>
      <c r="U103" s="508"/>
    </row>
    <row r="104" spans="1:21" s="22" customFormat="1" ht="20.25" customHeight="1">
      <c r="A104" s="196" t="s">
        <v>2031</v>
      </c>
      <c r="B104" s="197" t="s">
        <v>2027</v>
      </c>
      <c r="C104" s="197" t="s">
        <v>2028</v>
      </c>
      <c r="D104" s="917" t="s">
        <v>2789</v>
      </c>
      <c r="E104" s="198" t="s">
        <v>1709</v>
      </c>
      <c r="F104" s="332">
        <f>SUM(E105:E105)</f>
        <v>0.5352</v>
      </c>
      <c r="G104" s="332"/>
      <c r="H104" s="332">
        <f>F104*G104</f>
        <v>0</v>
      </c>
      <c r="I104" s="333">
        <v>2.525</v>
      </c>
      <c r="J104" s="334">
        <f>F104*I104</f>
        <v>1.35138</v>
      </c>
      <c r="K104" s="509"/>
      <c r="L104" s="509"/>
      <c r="M104" s="509"/>
      <c r="N104" s="509"/>
      <c r="O104" s="509"/>
      <c r="P104" s="509"/>
      <c r="Q104" s="509"/>
      <c r="R104" s="509"/>
      <c r="S104" s="509"/>
      <c r="T104" s="509"/>
      <c r="U104" s="509"/>
    </row>
    <row r="105" spans="1:21" s="130" customFormat="1" ht="22.5" customHeight="1">
      <c r="A105" s="204"/>
      <c r="B105" s="205" t="s">
        <v>878</v>
      </c>
      <c r="C105" s="206" t="s">
        <v>893</v>
      </c>
      <c r="D105" s="916"/>
      <c r="E105" s="207">
        <f>(2.86+3.83)*0.08</f>
        <v>0.5352</v>
      </c>
      <c r="F105" s="335"/>
      <c r="G105" s="335"/>
      <c r="H105" s="335"/>
      <c r="I105" s="336"/>
      <c r="J105" s="337"/>
      <c r="K105" s="672"/>
      <c r="L105" s="672"/>
      <c r="M105" s="672"/>
      <c r="N105" s="672"/>
      <c r="O105" s="672"/>
      <c r="P105" s="672"/>
      <c r="Q105" s="673"/>
      <c r="R105" s="508"/>
      <c r="S105" s="508"/>
      <c r="T105" s="508"/>
      <c r="U105" s="508"/>
    </row>
    <row r="106" spans="1:21" s="22" customFormat="1" ht="31.5" customHeight="1">
      <c r="A106" s="196" t="s">
        <v>1069</v>
      </c>
      <c r="B106" s="197" t="s">
        <v>2032</v>
      </c>
      <c r="C106" s="199" t="s">
        <v>2033</v>
      </c>
      <c r="D106" s="917" t="s">
        <v>2789</v>
      </c>
      <c r="E106" s="198" t="s">
        <v>1783</v>
      </c>
      <c r="F106" s="332">
        <f>SUM(E107:E107)</f>
        <v>0.031108499999999994</v>
      </c>
      <c r="G106" s="332"/>
      <c r="H106" s="332">
        <f>F106*G106</f>
        <v>0</v>
      </c>
      <c r="I106" s="333">
        <v>1.06625</v>
      </c>
      <c r="J106" s="334">
        <f>F106*I106</f>
        <v>0.03316943812499999</v>
      </c>
      <c r="K106" s="509"/>
      <c r="L106" s="509"/>
      <c r="M106" s="509"/>
      <c r="N106" s="509"/>
      <c r="O106" s="509"/>
      <c r="P106" s="509"/>
      <c r="Q106" s="509"/>
      <c r="R106" s="509"/>
      <c r="S106" s="509"/>
      <c r="T106" s="509"/>
      <c r="U106" s="509"/>
    </row>
    <row r="107" spans="1:21" s="130" customFormat="1" ht="18.75" customHeight="1">
      <c r="A107" s="204"/>
      <c r="B107" s="205" t="s">
        <v>878</v>
      </c>
      <c r="C107" s="206" t="s">
        <v>895</v>
      </c>
      <c r="D107" s="916"/>
      <c r="E107" s="207">
        <f>(2.86+3.83)*0.00465</f>
        <v>0.031108499999999994</v>
      </c>
      <c r="F107" s="335"/>
      <c r="G107" s="335"/>
      <c r="H107" s="335"/>
      <c r="I107" s="336"/>
      <c r="J107" s="337"/>
      <c r="K107" s="672"/>
      <c r="L107" s="672"/>
      <c r="M107" s="672"/>
      <c r="N107" s="672"/>
      <c r="O107" s="672"/>
      <c r="P107" s="672"/>
      <c r="Q107" s="673"/>
      <c r="R107" s="508"/>
      <c r="S107" s="508"/>
      <c r="T107" s="508"/>
      <c r="U107" s="508"/>
    </row>
    <row r="108" spans="1:21" s="22" customFormat="1" ht="15" customHeight="1" thickBot="1">
      <c r="A108" s="255"/>
      <c r="B108" s="256"/>
      <c r="C108" s="256"/>
      <c r="D108" s="968"/>
      <c r="E108" s="257"/>
      <c r="F108" s="368"/>
      <c r="G108" s="368"/>
      <c r="H108" s="368"/>
      <c r="I108" s="369"/>
      <c r="J108" s="370"/>
      <c r="K108" s="509"/>
      <c r="L108" s="509"/>
      <c r="M108" s="509"/>
      <c r="N108" s="509"/>
      <c r="O108" s="509"/>
      <c r="P108" s="509"/>
      <c r="Q108" s="509"/>
      <c r="R108" s="509"/>
      <c r="S108" s="509"/>
      <c r="T108" s="509"/>
      <c r="U108" s="509"/>
    </row>
    <row r="109" spans="1:21" ht="16.5" customHeight="1" thickBot="1">
      <c r="A109" s="266" t="s">
        <v>2036</v>
      </c>
      <c r="B109" s="175" t="s">
        <v>2037</v>
      </c>
      <c r="C109" s="176" t="s">
        <v>2038</v>
      </c>
      <c r="D109" s="1008"/>
      <c r="E109" s="175"/>
      <c r="F109" s="341"/>
      <c r="G109" s="341"/>
      <c r="H109" s="342">
        <f>SUM(H110:H155)</f>
        <v>0</v>
      </c>
      <c r="I109" s="343"/>
      <c r="J109" s="344">
        <f>SUM(J110:J155)</f>
        <v>2.3476472</v>
      </c>
      <c r="K109" s="670"/>
      <c r="L109" s="670"/>
      <c r="M109" s="670"/>
      <c r="N109" s="670"/>
      <c r="O109" s="670"/>
      <c r="P109" s="670"/>
      <c r="Q109" s="670"/>
      <c r="R109" s="670"/>
      <c r="S109" s="670"/>
      <c r="T109" s="670"/>
      <c r="U109" s="670"/>
    </row>
    <row r="110" spans="1:21" s="22" customFormat="1" ht="20.25" customHeight="1">
      <c r="A110" s="190"/>
      <c r="B110" s="191"/>
      <c r="C110" s="191"/>
      <c r="D110" s="964"/>
      <c r="E110" s="192"/>
      <c r="F110" s="345"/>
      <c r="G110" s="345"/>
      <c r="H110" s="345"/>
      <c r="I110" s="346"/>
      <c r="J110" s="347"/>
      <c r="K110" s="509"/>
      <c r="L110" s="509"/>
      <c r="M110" s="509"/>
      <c r="N110" s="509"/>
      <c r="O110" s="509"/>
      <c r="P110" s="509"/>
      <c r="Q110" s="509"/>
      <c r="R110" s="509"/>
      <c r="S110" s="509"/>
      <c r="T110" s="509"/>
      <c r="U110" s="509"/>
    </row>
    <row r="111" spans="1:21" s="22" customFormat="1" ht="20.25" customHeight="1">
      <c r="A111" s="196" t="s">
        <v>2039</v>
      </c>
      <c r="B111" s="197" t="s">
        <v>2040</v>
      </c>
      <c r="C111" s="197" t="s">
        <v>2041</v>
      </c>
      <c r="D111" s="917" t="s">
        <v>2761</v>
      </c>
      <c r="E111" s="198" t="s">
        <v>1831</v>
      </c>
      <c r="F111" s="332">
        <v>97</v>
      </c>
      <c r="G111" s="332"/>
      <c r="H111" s="332">
        <f>F111*G111</f>
        <v>0</v>
      </c>
      <c r="I111" s="333">
        <v>0.0009</v>
      </c>
      <c r="J111" s="334">
        <f>F111*I111</f>
        <v>0.0873</v>
      </c>
      <c r="K111" s="509"/>
      <c r="L111" s="509"/>
      <c r="M111" s="509"/>
      <c r="N111" s="509"/>
      <c r="O111" s="509"/>
      <c r="P111" s="509"/>
      <c r="Q111" s="509"/>
      <c r="R111" s="509"/>
      <c r="S111" s="509"/>
      <c r="T111" s="509"/>
      <c r="U111" s="509"/>
    </row>
    <row r="112" spans="1:21" s="22" customFormat="1" ht="20.25" customHeight="1">
      <c r="A112" s="196" t="s">
        <v>2042</v>
      </c>
      <c r="B112" s="197" t="s">
        <v>2043</v>
      </c>
      <c r="C112" s="197" t="s">
        <v>2044</v>
      </c>
      <c r="D112" s="917" t="s">
        <v>2761</v>
      </c>
      <c r="E112" s="198" t="s">
        <v>1831</v>
      </c>
      <c r="F112" s="332">
        <v>6</v>
      </c>
      <c r="G112" s="332"/>
      <c r="H112" s="332">
        <f>F112*G112</f>
        <v>0</v>
      </c>
      <c r="I112" s="333">
        <v>0.0012</v>
      </c>
      <c r="J112" s="334">
        <f>F112*I112</f>
        <v>0.0072</v>
      </c>
      <c r="K112" s="509"/>
      <c r="L112" s="509"/>
      <c r="M112" s="509"/>
      <c r="N112" s="509"/>
      <c r="O112" s="509"/>
      <c r="P112" s="509"/>
      <c r="Q112" s="509"/>
      <c r="R112" s="509"/>
      <c r="S112" s="509"/>
      <c r="T112" s="509"/>
      <c r="U112" s="509"/>
    </row>
    <row r="113" spans="1:21" s="22" customFormat="1" ht="20.25" customHeight="1">
      <c r="A113" s="196" t="s">
        <v>2045</v>
      </c>
      <c r="B113" s="197" t="s">
        <v>2046</v>
      </c>
      <c r="C113" s="197" t="s">
        <v>2047</v>
      </c>
      <c r="D113" s="917" t="s">
        <v>2761</v>
      </c>
      <c r="E113" s="198" t="s">
        <v>1831</v>
      </c>
      <c r="F113" s="332">
        <v>56</v>
      </c>
      <c r="G113" s="332"/>
      <c r="H113" s="332">
        <f>F113*G113</f>
        <v>0</v>
      </c>
      <c r="I113" s="333">
        <v>0.00165</v>
      </c>
      <c r="J113" s="334">
        <f>F113*I113</f>
        <v>0.0924</v>
      </c>
      <c r="K113" s="509"/>
      <c r="L113" s="509"/>
      <c r="M113" s="509"/>
      <c r="N113" s="509"/>
      <c r="O113" s="509"/>
      <c r="P113" s="509"/>
      <c r="Q113" s="509"/>
      <c r="R113" s="509"/>
      <c r="S113" s="509"/>
      <c r="T113" s="509"/>
      <c r="U113" s="509"/>
    </row>
    <row r="114" spans="1:21" s="22" customFormat="1" ht="20.25" customHeight="1">
      <c r="A114" s="196" t="s">
        <v>2054</v>
      </c>
      <c r="B114" s="197" t="s">
        <v>897</v>
      </c>
      <c r="C114" s="197" t="s">
        <v>898</v>
      </c>
      <c r="D114" s="917" t="s">
        <v>2761</v>
      </c>
      <c r="E114" s="198" t="s">
        <v>1748</v>
      </c>
      <c r="F114" s="332">
        <f>E115</f>
        <v>14.49</v>
      </c>
      <c r="G114" s="332"/>
      <c r="H114" s="332">
        <f>F114*G114</f>
        <v>0</v>
      </c>
      <c r="I114" s="333">
        <v>0.00032</v>
      </c>
      <c r="J114" s="334">
        <f>F114*I114</f>
        <v>0.004636800000000001</v>
      </c>
      <c r="K114" s="693"/>
      <c r="L114" s="693"/>
      <c r="M114" s="693"/>
      <c r="N114" s="693"/>
      <c r="O114" s="693"/>
      <c r="P114" s="693"/>
      <c r="Q114" s="694"/>
      <c r="R114" s="509"/>
      <c r="S114" s="509"/>
      <c r="T114" s="509"/>
      <c r="U114" s="509"/>
    </row>
    <row r="115" spans="1:21" s="130" customFormat="1" ht="21.75" customHeight="1">
      <c r="A115" s="204"/>
      <c r="B115" s="205"/>
      <c r="C115" s="206" t="s">
        <v>1070</v>
      </c>
      <c r="D115" s="916"/>
      <c r="E115" s="207">
        <f>2.1*2.4*2+2.1*2.1*1</f>
        <v>14.49</v>
      </c>
      <c r="F115" s="335"/>
      <c r="G115" s="335"/>
      <c r="H115" s="335"/>
      <c r="I115" s="336"/>
      <c r="J115" s="337"/>
      <c r="K115" s="672"/>
      <c r="L115" s="672"/>
      <c r="M115" s="672"/>
      <c r="N115" s="672"/>
      <c r="O115" s="672"/>
      <c r="P115" s="672"/>
      <c r="Q115" s="673"/>
      <c r="R115" s="508"/>
      <c r="S115" s="508"/>
      <c r="T115" s="508"/>
      <c r="U115" s="508"/>
    </row>
    <row r="116" spans="1:21" s="22" customFormat="1" ht="12.75" customHeight="1">
      <c r="A116" s="196"/>
      <c r="B116" s="197"/>
      <c r="C116" s="197"/>
      <c r="D116" s="917"/>
      <c r="E116" s="198"/>
      <c r="F116" s="332"/>
      <c r="G116" s="332"/>
      <c r="H116" s="332"/>
      <c r="I116" s="333"/>
      <c r="J116" s="334"/>
      <c r="K116" s="509"/>
      <c r="L116" s="509"/>
      <c r="M116" s="509"/>
      <c r="N116" s="509"/>
      <c r="O116" s="509"/>
      <c r="P116" s="509"/>
      <c r="Q116" s="509"/>
      <c r="R116" s="509"/>
      <c r="S116" s="509"/>
      <c r="T116" s="509"/>
      <c r="U116" s="509"/>
    </row>
    <row r="117" spans="1:21" s="22" customFormat="1" ht="62.25" customHeight="1">
      <c r="A117" s="196"/>
      <c r="B117" s="197"/>
      <c r="C117" s="199" t="s">
        <v>2048</v>
      </c>
      <c r="D117" s="917" t="s">
        <v>2761</v>
      </c>
      <c r="E117" s="198"/>
      <c r="F117" s="332"/>
      <c r="G117" s="332"/>
      <c r="H117" s="332"/>
      <c r="I117" s="333"/>
      <c r="J117" s="334"/>
      <c r="K117" s="672" t="s">
        <v>2049</v>
      </c>
      <c r="L117" s="672" t="s">
        <v>2050</v>
      </c>
      <c r="M117" s="672" t="s">
        <v>1748</v>
      </c>
      <c r="N117" s="672" t="s">
        <v>2051</v>
      </c>
      <c r="O117" s="672" t="s">
        <v>2052</v>
      </c>
      <c r="P117" s="672" t="s">
        <v>2053</v>
      </c>
      <c r="Q117" s="673"/>
      <c r="R117" s="509"/>
      <c r="S117" s="509"/>
      <c r="T117" s="509"/>
      <c r="U117" s="509"/>
    </row>
    <row r="118" spans="1:21" s="22" customFormat="1" ht="20.25" customHeight="1">
      <c r="A118" s="196" t="s">
        <v>2059</v>
      </c>
      <c r="B118" s="197" t="s">
        <v>900</v>
      </c>
      <c r="C118" s="197" t="s">
        <v>748</v>
      </c>
      <c r="D118" s="917" t="s">
        <v>901</v>
      </c>
      <c r="E118" s="198" t="s">
        <v>1831</v>
      </c>
      <c r="F118" s="332">
        <v>12</v>
      </c>
      <c r="G118" s="332"/>
      <c r="H118" s="332">
        <f aca="true" t="shared" si="6" ref="H118:H124">F118*G118</f>
        <v>0</v>
      </c>
      <c r="I118" s="333">
        <v>0.00168</v>
      </c>
      <c r="J118" s="334">
        <f aca="true" t="shared" si="7" ref="J118:J124">F118*I118</f>
        <v>0.02016</v>
      </c>
      <c r="K118" s="693">
        <v>0.6</v>
      </c>
      <c r="L118" s="693">
        <v>0.45</v>
      </c>
      <c r="M118" s="693">
        <f aca="true" t="shared" si="8" ref="M118:M133">K118*L118</f>
        <v>0.27</v>
      </c>
      <c r="N118" s="693">
        <f>F118*M118</f>
        <v>3.24</v>
      </c>
      <c r="O118" s="693">
        <f>(K118+L118*2)*F118</f>
        <v>18</v>
      </c>
      <c r="P118" s="693">
        <f aca="true" t="shared" si="9" ref="P118:P133">F118*K118</f>
        <v>7.199999999999999</v>
      </c>
      <c r="Q118" s="694" t="s">
        <v>2109</v>
      </c>
      <c r="R118" s="509"/>
      <c r="S118" s="509"/>
      <c r="T118" s="509"/>
      <c r="U118" s="509"/>
    </row>
    <row r="119" spans="1:21" s="22" customFormat="1" ht="20.25" customHeight="1">
      <c r="A119" s="196" t="s">
        <v>2065</v>
      </c>
      <c r="B119" s="197" t="s">
        <v>1071</v>
      </c>
      <c r="C119" s="197" t="s">
        <v>748</v>
      </c>
      <c r="D119" s="917" t="s">
        <v>901</v>
      </c>
      <c r="E119" s="198" t="s">
        <v>1831</v>
      </c>
      <c r="F119" s="332">
        <v>2</v>
      </c>
      <c r="G119" s="332"/>
      <c r="H119" s="332">
        <f>F119*G119</f>
        <v>0</v>
      </c>
      <c r="I119" s="333">
        <v>0.00168</v>
      </c>
      <c r="J119" s="334">
        <f>F119*I119</f>
        <v>0.00336</v>
      </c>
      <c r="K119" s="693">
        <v>0.6</v>
      </c>
      <c r="L119" s="693">
        <v>0.45</v>
      </c>
      <c r="M119" s="693">
        <f t="shared" si="8"/>
        <v>0.27</v>
      </c>
      <c r="N119" s="693">
        <f aca="true" t="shared" si="10" ref="N119:N133">F119*M119</f>
        <v>0.54</v>
      </c>
      <c r="O119" s="693">
        <f aca="true" t="shared" si="11" ref="O119:O133">(K119+L119*2)*F119</f>
        <v>3</v>
      </c>
      <c r="P119" s="693">
        <f t="shared" si="9"/>
        <v>1.2</v>
      </c>
      <c r="Q119" s="695" t="s">
        <v>1072</v>
      </c>
      <c r="R119" s="509"/>
      <c r="S119" s="509"/>
      <c r="T119" s="509"/>
      <c r="U119" s="509"/>
    </row>
    <row r="120" spans="1:21" s="22" customFormat="1" ht="20.25" customHeight="1">
      <c r="A120" s="196" t="s">
        <v>2069</v>
      </c>
      <c r="B120" s="197" t="s">
        <v>902</v>
      </c>
      <c r="C120" s="197" t="s">
        <v>748</v>
      </c>
      <c r="D120" s="917" t="s">
        <v>901</v>
      </c>
      <c r="E120" s="198" t="s">
        <v>1831</v>
      </c>
      <c r="F120" s="332">
        <v>10</v>
      </c>
      <c r="G120" s="332"/>
      <c r="H120" s="332">
        <f t="shared" si="6"/>
        <v>0</v>
      </c>
      <c r="I120" s="333">
        <v>0.00168</v>
      </c>
      <c r="J120" s="334">
        <f t="shared" si="7"/>
        <v>0.016800000000000002</v>
      </c>
      <c r="K120" s="693">
        <v>0.6</v>
      </c>
      <c r="L120" s="693">
        <v>0.45</v>
      </c>
      <c r="M120" s="693">
        <f t="shared" si="8"/>
        <v>0.27</v>
      </c>
      <c r="N120" s="693">
        <f t="shared" si="10"/>
        <v>2.7</v>
      </c>
      <c r="O120" s="693">
        <f t="shared" si="11"/>
        <v>15</v>
      </c>
      <c r="P120" s="693">
        <f t="shared" si="9"/>
        <v>6</v>
      </c>
      <c r="Q120" s="694" t="s">
        <v>2109</v>
      </c>
      <c r="R120" s="509"/>
      <c r="S120" s="509"/>
      <c r="T120" s="509"/>
      <c r="U120" s="509"/>
    </row>
    <row r="121" spans="1:21" s="22" customFormat="1" ht="20.25" customHeight="1">
      <c r="A121" s="196" t="s">
        <v>2074</v>
      </c>
      <c r="B121" s="197" t="s">
        <v>1073</v>
      </c>
      <c r="C121" s="197" t="s">
        <v>748</v>
      </c>
      <c r="D121" s="917" t="s">
        <v>1074</v>
      </c>
      <c r="E121" s="198" t="s">
        <v>1831</v>
      </c>
      <c r="F121" s="332">
        <v>4</v>
      </c>
      <c r="G121" s="332"/>
      <c r="H121" s="332">
        <f t="shared" si="6"/>
        <v>0</v>
      </c>
      <c r="I121" s="333">
        <v>0.00168</v>
      </c>
      <c r="J121" s="334">
        <f t="shared" si="7"/>
        <v>0.00672</v>
      </c>
      <c r="K121" s="693">
        <v>0.8</v>
      </c>
      <c r="L121" s="693">
        <v>0.45</v>
      </c>
      <c r="M121" s="693">
        <f t="shared" si="8"/>
        <v>0.36000000000000004</v>
      </c>
      <c r="N121" s="693">
        <f t="shared" si="10"/>
        <v>1.4400000000000002</v>
      </c>
      <c r="O121" s="693">
        <f t="shared" si="11"/>
        <v>6.800000000000001</v>
      </c>
      <c r="P121" s="693">
        <f t="shared" si="9"/>
        <v>3.2</v>
      </c>
      <c r="Q121" s="694" t="s">
        <v>2109</v>
      </c>
      <c r="R121" s="509"/>
      <c r="S121" s="509"/>
      <c r="T121" s="509"/>
      <c r="U121" s="509"/>
    </row>
    <row r="122" spans="1:21" s="22" customFormat="1" ht="20.25" customHeight="1">
      <c r="A122" s="196" t="s">
        <v>2078</v>
      </c>
      <c r="B122" s="197" t="s">
        <v>903</v>
      </c>
      <c r="C122" s="197" t="s">
        <v>742</v>
      </c>
      <c r="D122" s="917" t="s">
        <v>904</v>
      </c>
      <c r="E122" s="198" t="s">
        <v>1831</v>
      </c>
      <c r="F122" s="332">
        <v>19</v>
      </c>
      <c r="G122" s="332"/>
      <c r="H122" s="332">
        <f t="shared" si="6"/>
        <v>0</v>
      </c>
      <c r="I122" s="333">
        <v>0.00168</v>
      </c>
      <c r="J122" s="334">
        <f t="shared" si="7"/>
        <v>0.031920000000000004</v>
      </c>
      <c r="K122" s="693">
        <v>0.9</v>
      </c>
      <c r="L122" s="693">
        <v>1.5</v>
      </c>
      <c r="M122" s="693">
        <f t="shared" si="8"/>
        <v>1.35</v>
      </c>
      <c r="N122" s="693">
        <f t="shared" si="10"/>
        <v>25.650000000000002</v>
      </c>
      <c r="O122" s="693">
        <f t="shared" si="11"/>
        <v>74.1</v>
      </c>
      <c r="P122" s="693">
        <f t="shared" si="9"/>
        <v>17.1</v>
      </c>
      <c r="Q122" s="694" t="s">
        <v>740</v>
      </c>
      <c r="R122" s="509"/>
      <c r="S122" s="509"/>
      <c r="T122" s="509"/>
      <c r="U122" s="509"/>
    </row>
    <row r="123" spans="1:21" s="22" customFormat="1" ht="20.25" customHeight="1">
      <c r="A123" s="196" t="s">
        <v>2081</v>
      </c>
      <c r="B123" s="197" t="s">
        <v>1075</v>
      </c>
      <c r="C123" s="197" t="s">
        <v>742</v>
      </c>
      <c r="D123" s="917" t="s">
        <v>1076</v>
      </c>
      <c r="E123" s="198" t="s">
        <v>1831</v>
      </c>
      <c r="F123" s="332">
        <v>5</v>
      </c>
      <c r="G123" s="332"/>
      <c r="H123" s="332">
        <f t="shared" si="6"/>
        <v>0</v>
      </c>
      <c r="I123" s="333">
        <v>0.00168</v>
      </c>
      <c r="J123" s="334">
        <f t="shared" si="7"/>
        <v>0.008400000000000001</v>
      </c>
      <c r="K123" s="693">
        <v>1.35</v>
      </c>
      <c r="L123" s="693">
        <v>1.5</v>
      </c>
      <c r="M123" s="693">
        <f t="shared" si="8"/>
        <v>2.0250000000000004</v>
      </c>
      <c r="N123" s="693">
        <f t="shared" si="10"/>
        <v>10.125000000000002</v>
      </c>
      <c r="O123" s="693">
        <f t="shared" si="11"/>
        <v>21.75</v>
      </c>
      <c r="P123" s="693">
        <f t="shared" si="9"/>
        <v>6.75</v>
      </c>
      <c r="Q123" s="694" t="s">
        <v>740</v>
      </c>
      <c r="R123" s="509"/>
      <c r="S123" s="509"/>
      <c r="T123" s="509"/>
      <c r="U123" s="509"/>
    </row>
    <row r="124" spans="1:21" s="22" customFormat="1" ht="20.25" customHeight="1">
      <c r="A124" s="196" t="s">
        <v>2085</v>
      </c>
      <c r="B124" s="197" t="s">
        <v>1077</v>
      </c>
      <c r="C124" s="197" t="s">
        <v>742</v>
      </c>
      <c r="D124" s="917" t="s">
        <v>1078</v>
      </c>
      <c r="E124" s="198" t="s">
        <v>1831</v>
      </c>
      <c r="F124" s="332">
        <v>1</v>
      </c>
      <c r="G124" s="332"/>
      <c r="H124" s="332">
        <f t="shared" si="6"/>
        <v>0</v>
      </c>
      <c r="I124" s="333">
        <v>0.00168</v>
      </c>
      <c r="J124" s="334">
        <f t="shared" si="7"/>
        <v>0.00168</v>
      </c>
      <c r="K124" s="693">
        <v>1.35</v>
      </c>
      <c r="L124" s="693">
        <v>0.6</v>
      </c>
      <c r="M124" s="693">
        <f t="shared" si="8"/>
        <v>0.81</v>
      </c>
      <c r="N124" s="693">
        <f t="shared" si="10"/>
        <v>0.81</v>
      </c>
      <c r="O124" s="693">
        <f t="shared" si="11"/>
        <v>2.55</v>
      </c>
      <c r="P124" s="693">
        <f t="shared" si="9"/>
        <v>1.35</v>
      </c>
      <c r="Q124" s="694" t="s">
        <v>740</v>
      </c>
      <c r="R124" s="509"/>
      <c r="S124" s="509"/>
      <c r="T124" s="509"/>
      <c r="U124" s="509"/>
    </row>
    <row r="125" spans="1:21" s="22" customFormat="1" ht="20.25" customHeight="1">
      <c r="A125" s="196" t="s">
        <v>2089</v>
      </c>
      <c r="B125" s="197" t="s">
        <v>905</v>
      </c>
      <c r="C125" s="197" t="s">
        <v>742</v>
      </c>
      <c r="D125" s="917" t="s">
        <v>906</v>
      </c>
      <c r="E125" s="198" t="s">
        <v>1831</v>
      </c>
      <c r="F125" s="332">
        <v>43</v>
      </c>
      <c r="G125" s="332"/>
      <c r="H125" s="332">
        <f aca="true" t="shared" si="12" ref="H125:H130">F125*G125</f>
        <v>0</v>
      </c>
      <c r="I125" s="333">
        <v>0.00168</v>
      </c>
      <c r="J125" s="334">
        <f aca="true" t="shared" si="13" ref="J125:J130">F125*I125</f>
        <v>0.07224</v>
      </c>
      <c r="K125" s="693">
        <v>0.9</v>
      </c>
      <c r="L125" s="693">
        <v>1.2</v>
      </c>
      <c r="M125" s="693">
        <f t="shared" si="8"/>
        <v>1.08</v>
      </c>
      <c r="N125" s="693">
        <f t="shared" si="10"/>
        <v>46.440000000000005</v>
      </c>
      <c r="O125" s="693">
        <f t="shared" si="11"/>
        <v>141.9</v>
      </c>
      <c r="P125" s="693">
        <f t="shared" si="9"/>
        <v>38.7</v>
      </c>
      <c r="Q125" s="694" t="s">
        <v>740</v>
      </c>
      <c r="R125" s="509"/>
      <c r="S125" s="509"/>
      <c r="T125" s="509"/>
      <c r="U125" s="509"/>
    </row>
    <row r="126" spans="1:21" s="22" customFormat="1" ht="20.25" customHeight="1">
      <c r="A126" s="196" t="s">
        <v>2093</v>
      </c>
      <c r="B126" s="197" t="s">
        <v>910</v>
      </c>
      <c r="C126" s="197" t="s">
        <v>908</v>
      </c>
      <c r="D126" s="917" t="s">
        <v>911</v>
      </c>
      <c r="E126" s="198" t="s">
        <v>1831</v>
      </c>
      <c r="F126" s="332">
        <v>53</v>
      </c>
      <c r="G126" s="332"/>
      <c r="H126" s="332">
        <f t="shared" si="12"/>
        <v>0</v>
      </c>
      <c r="I126" s="333">
        <v>0.00168</v>
      </c>
      <c r="J126" s="334">
        <f t="shared" si="13"/>
        <v>0.08904000000000001</v>
      </c>
      <c r="K126" s="693">
        <v>2.4</v>
      </c>
      <c r="L126" s="693">
        <v>1.5</v>
      </c>
      <c r="M126" s="693">
        <f t="shared" si="8"/>
        <v>3.5999999999999996</v>
      </c>
      <c r="N126" s="693">
        <f t="shared" si="10"/>
        <v>190.79999999999998</v>
      </c>
      <c r="O126" s="693">
        <f t="shared" si="11"/>
        <v>286.20000000000005</v>
      </c>
      <c r="P126" s="693">
        <f t="shared" si="9"/>
        <v>127.19999999999999</v>
      </c>
      <c r="Q126" s="694" t="s">
        <v>740</v>
      </c>
      <c r="R126" s="509"/>
      <c r="S126" s="509"/>
      <c r="T126" s="509"/>
      <c r="U126" s="509"/>
    </row>
    <row r="127" spans="1:21" s="22" customFormat="1" ht="20.25" customHeight="1">
      <c r="A127" s="196" t="s">
        <v>2097</v>
      </c>
      <c r="B127" s="197" t="s">
        <v>915</v>
      </c>
      <c r="C127" s="197" t="s">
        <v>1079</v>
      </c>
      <c r="D127" s="917" t="s">
        <v>917</v>
      </c>
      <c r="E127" s="198" t="s">
        <v>1831</v>
      </c>
      <c r="F127" s="332">
        <v>3</v>
      </c>
      <c r="G127" s="332"/>
      <c r="H127" s="332">
        <f t="shared" si="12"/>
        <v>0</v>
      </c>
      <c r="I127" s="333">
        <v>0.00168</v>
      </c>
      <c r="J127" s="334">
        <f t="shared" si="13"/>
        <v>0.00504</v>
      </c>
      <c r="K127" s="693">
        <v>3</v>
      </c>
      <c r="L127" s="693">
        <v>1.85</v>
      </c>
      <c r="M127" s="693">
        <f t="shared" si="8"/>
        <v>5.550000000000001</v>
      </c>
      <c r="N127" s="693">
        <f t="shared" si="10"/>
        <v>16.650000000000002</v>
      </c>
      <c r="O127" s="693">
        <f t="shared" si="11"/>
        <v>20.1</v>
      </c>
      <c r="P127" s="693">
        <f t="shared" si="9"/>
        <v>9</v>
      </c>
      <c r="Q127" s="694" t="s">
        <v>740</v>
      </c>
      <c r="R127" s="509"/>
      <c r="S127" s="509"/>
      <c r="T127" s="509"/>
      <c r="U127" s="509"/>
    </row>
    <row r="128" spans="1:21" s="22" customFormat="1" ht="30" customHeight="1">
      <c r="A128" s="196" t="s">
        <v>2101</v>
      </c>
      <c r="B128" s="197" t="s">
        <v>918</v>
      </c>
      <c r="C128" s="199" t="s">
        <v>1080</v>
      </c>
      <c r="D128" s="917" t="s">
        <v>920</v>
      </c>
      <c r="E128" s="198" t="s">
        <v>1831</v>
      </c>
      <c r="F128" s="332">
        <v>2</v>
      </c>
      <c r="G128" s="332"/>
      <c r="H128" s="332">
        <f t="shared" si="12"/>
        <v>0</v>
      </c>
      <c r="I128" s="333">
        <v>0.00168</v>
      </c>
      <c r="J128" s="334">
        <f t="shared" si="13"/>
        <v>0.00336</v>
      </c>
      <c r="K128" s="693">
        <v>2.1</v>
      </c>
      <c r="L128" s="693">
        <v>2.4</v>
      </c>
      <c r="M128" s="693">
        <f t="shared" si="8"/>
        <v>5.04</v>
      </c>
      <c r="N128" s="693">
        <f t="shared" si="10"/>
        <v>10.08</v>
      </c>
      <c r="O128" s="693">
        <f t="shared" si="11"/>
        <v>13.8</v>
      </c>
      <c r="P128" s="693">
        <f t="shared" si="9"/>
        <v>4.2</v>
      </c>
      <c r="Q128" s="694" t="s">
        <v>740</v>
      </c>
      <c r="R128" s="509"/>
      <c r="S128" s="509"/>
      <c r="T128" s="509"/>
      <c r="U128" s="509"/>
    </row>
    <row r="129" spans="1:21" s="22" customFormat="1" ht="20.25" customHeight="1">
      <c r="A129" s="196" t="s">
        <v>2105</v>
      </c>
      <c r="B129" s="197" t="s">
        <v>923</v>
      </c>
      <c r="C129" s="197" t="s">
        <v>1081</v>
      </c>
      <c r="D129" s="917" t="s">
        <v>925</v>
      </c>
      <c r="E129" s="198" t="s">
        <v>1831</v>
      </c>
      <c r="F129" s="332">
        <v>1</v>
      </c>
      <c r="G129" s="332"/>
      <c r="H129" s="332">
        <f t="shared" si="12"/>
        <v>0</v>
      </c>
      <c r="I129" s="333">
        <v>0.00168</v>
      </c>
      <c r="J129" s="334">
        <f t="shared" si="13"/>
        <v>0.00168</v>
      </c>
      <c r="K129" s="693">
        <v>2.1</v>
      </c>
      <c r="L129" s="693">
        <v>0.4</v>
      </c>
      <c r="M129" s="693">
        <f t="shared" si="8"/>
        <v>0.8400000000000001</v>
      </c>
      <c r="N129" s="693">
        <f t="shared" si="10"/>
        <v>0.8400000000000001</v>
      </c>
      <c r="O129" s="693">
        <f t="shared" si="11"/>
        <v>2.9000000000000004</v>
      </c>
      <c r="P129" s="693">
        <f t="shared" si="9"/>
        <v>2.1</v>
      </c>
      <c r="Q129" s="694" t="s">
        <v>740</v>
      </c>
      <c r="R129" s="509"/>
      <c r="S129" s="509"/>
      <c r="T129" s="509"/>
      <c r="U129" s="509"/>
    </row>
    <row r="130" spans="1:21" s="22" customFormat="1" ht="20.25" customHeight="1">
      <c r="A130" s="196" t="s">
        <v>2111</v>
      </c>
      <c r="B130" s="197" t="s">
        <v>926</v>
      </c>
      <c r="C130" s="197" t="s">
        <v>742</v>
      </c>
      <c r="D130" s="917" t="s">
        <v>749</v>
      </c>
      <c r="E130" s="198" t="s">
        <v>1831</v>
      </c>
      <c r="F130" s="332">
        <v>1</v>
      </c>
      <c r="G130" s="332"/>
      <c r="H130" s="332">
        <f t="shared" si="12"/>
        <v>0</v>
      </c>
      <c r="I130" s="333">
        <v>0.00168</v>
      </c>
      <c r="J130" s="334">
        <f t="shared" si="13"/>
        <v>0.00168</v>
      </c>
      <c r="K130" s="693">
        <v>0.9</v>
      </c>
      <c r="L130" s="693">
        <v>0.6</v>
      </c>
      <c r="M130" s="693">
        <f t="shared" si="8"/>
        <v>0.54</v>
      </c>
      <c r="N130" s="693">
        <f t="shared" si="10"/>
        <v>0.54</v>
      </c>
      <c r="O130" s="693">
        <f t="shared" si="11"/>
        <v>2.1</v>
      </c>
      <c r="P130" s="693">
        <f t="shared" si="9"/>
        <v>0.9</v>
      </c>
      <c r="Q130" s="694" t="s">
        <v>740</v>
      </c>
      <c r="R130" s="509"/>
      <c r="S130" s="509"/>
      <c r="T130" s="509"/>
      <c r="U130" s="509"/>
    </row>
    <row r="131" spans="1:21" s="22" customFormat="1" ht="29.25" customHeight="1">
      <c r="A131" s="196" t="s">
        <v>2115</v>
      </c>
      <c r="B131" s="197" t="s">
        <v>1082</v>
      </c>
      <c r="C131" s="199" t="s">
        <v>1083</v>
      </c>
      <c r="D131" s="917" t="s">
        <v>1084</v>
      </c>
      <c r="E131" s="198" t="s">
        <v>1831</v>
      </c>
      <c r="F131" s="332">
        <v>1</v>
      </c>
      <c r="G131" s="332"/>
      <c r="H131" s="332">
        <f>F131*G131</f>
        <v>0</v>
      </c>
      <c r="I131" s="333">
        <v>0.00168</v>
      </c>
      <c r="J131" s="334">
        <f>F131*I131</f>
        <v>0.00168</v>
      </c>
      <c r="K131" s="693">
        <v>2.1</v>
      </c>
      <c r="L131" s="693">
        <v>2.1</v>
      </c>
      <c r="M131" s="693">
        <f t="shared" si="8"/>
        <v>4.41</v>
      </c>
      <c r="N131" s="693">
        <f t="shared" si="10"/>
        <v>4.41</v>
      </c>
      <c r="O131" s="693">
        <f t="shared" si="11"/>
        <v>6.300000000000001</v>
      </c>
      <c r="P131" s="693">
        <f t="shared" si="9"/>
        <v>2.1</v>
      </c>
      <c r="Q131" s="694" t="s">
        <v>740</v>
      </c>
      <c r="R131" s="509"/>
      <c r="S131" s="509"/>
      <c r="T131" s="509"/>
      <c r="U131" s="509"/>
    </row>
    <row r="132" spans="1:21" s="22" customFormat="1" ht="20.25" customHeight="1">
      <c r="A132" s="196" t="s">
        <v>2118</v>
      </c>
      <c r="B132" s="197" t="s">
        <v>1085</v>
      </c>
      <c r="C132" s="197" t="s">
        <v>1086</v>
      </c>
      <c r="D132" s="917" t="s">
        <v>1087</v>
      </c>
      <c r="E132" s="198" t="s">
        <v>1831</v>
      </c>
      <c r="F132" s="332">
        <v>1</v>
      </c>
      <c r="G132" s="332"/>
      <c r="H132" s="332">
        <f>F132*G132</f>
        <v>0</v>
      </c>
      <c r="I132" s="333">
        <v>0.00168</v>
      </c>
      <c r="J132" s="334">
        <f>F132*I132</f>
        <v>0.00168</v>
      </c>
      <c r="K132" s="693">
        <v>2.4</v>
      </c>
      <c r="L132" s="693">
        <v>0.9</v>
      </c>
      <c r="M132" s="693">
        <f t="shared" si="8"/>
        <v>2.16</v>
      </c>
      <c r="N132" s="693">
        <f t="shared" si="10"/>
        <v>2.16</v>
      </c>
      <c r="O132" s="693">
        <f t="shared" si="11"/>
        <v>4.2</v>
      </c>
      <c r="P132" s="693">
        <f t="shared" si="9"/>
        <v>2.4</v>
      </c>
      <c r="Q132" s="694" t="s">
        <v>740</v>
      </c>
      <c r="R132" s="509"/>
      <c r="S132" s="509"/>
      <c r="T132" s="509"/>
      <c r="U132" s="509"/>
    </row>
    <row r="133" spans="1:21" s="22" customFormat="1" ht="20.25" customHeight="1">
      <c r="A133" s="196" t="s">
        <v>2122</v>
      </c>
      <c r="B133" s="197" t="s">
        <v>1088</v>
      </c>
      <c r="C133" s="197" t="s">
        <v>1089</v>
      </c>
      <c r="D133" s="917" t="s">
        <v>1090</v>
      </c>
      <c r="E133" s="198" t="s">
        <v>1831</v>
      </c>
      <c r="F133" s="332">
        <v>4</v>
      </c>
      <c r="G133" s="332"/>
      <c r="H133" s="332">
        <f>F133*G133</f>
        <v>0</v>
      </c>
      <c r="I133" s="333">
        <v>0.00168</v>
      </c>
      <c r="J133" s="334">
        <f>F133*I133</f>
        <v>0.00672</v>
      </c>
      <c r="K133" s="693">
        <v>1.2</v>
      </c>
      <c r="L133" s="693">
        <v>1.2</v>
      </c>
      <c r="M133" s="693">
        <f t="shared" si="8"/>
        <v>1.44</v>
      </c>
      <c r="N133" s="693">
        <f t="shared" si="10"/>
        <v>5.76</v>
      </c>
      <c r="O133" s="693">
        <f t="shared" si="11"/>
        <v>14.399999999999999</v>
      </c>
      <c r="P133" s="693">
        <f t="shared" si="9"/>
        <v>4.8</v>
      </c>
      <c r="Q133" s="694" t="s">
        <v>2109</v>
      </c>
      <c r="R133" s="509"/>
      <c r="S133" s="509"/>
      <c r="T133" s="509"/>
      <c r="U133" s="509"/>
    </row>
    <row r="134" spans="1:21" s="22" customFormat="1" ht="20.25" customHeight="1">
      <c r="A134" s="196"/>
      <c r="B134" s="197"/>
      <c r="C134" s="197"/>
      <c r="D134" s="917"/>
      <c r="E134" s="198"/>
      <c r="F134" s="332"/>
      <c r="G134" s="332"/>
      <c r="H134" s="332"/>
      <c r="I134" s="333"/>
      <c r="J134" s="334"/>
      <c r="K134" s="693"/>
      <c r="L134" s="693"/>
      <c r="M134" s="693"/>
      <c r="N134" s="693"/>
      <c r="O134" s="693"/>
      <c r="P134" s="693"/>
      <c r="Q134" s="694"/>
      <c r="R134" s="509"/>
      <c r="S134" s="509"/>
      <c r="T134" s="509"/>
      <c r="U134" s="509"/>
    </row>
    <row r="135" spans="1:21" s="22" customFormat="1" ht="20.25" customHeight="1">
      <c r="A135" s="196" t="s">
        <v>2127</v>
      </c>
      <c r="B135" s="197" t="s">
        <v>2250</v>
      </c>
      <c r="C135" s="197" t="s">
        <v>750</v>
      </c>
      <c r="D135" s="917" t="s">
        <v>2790</v>
      </c>
      <c r="E135" s="198" t="s">
        <v>1826</v>
      </c>
      <c r="F135" s="332">
        <f>E136</f>
        <v>228.1</v>
      </c>
      <c r="G135" s="332"/>
      <c r="H135" s="332">
        <f>F135*G135</f>
        <v>0</v>
      </c>
      <c r="I135" s="333">
        <v>0.00222</v>
      </c>
      <c r="J135" s="334">
        <f>F135*I135</f>
        <v>0.506382</v>
      </c>
      <c r="K135" s="693"/>
      <c r="L135" s="693"/>
      <c r="M135" s="693"/>
      <c r="N135" s="693"/>
      <c r="O135" s="693"/>
      <c r="P135" s="693"/>
      <c r="Q135" s="694"/>
      <c r="R135" s="509"/>
      <c r="S135" s="509"/>
      <c r="T135" s="509"/>
      <c r="U135" s="509"/>
    </row>
    <row r="136" spans="1:21" s="130" customFormat="1" ht="28.5" customHeight="1">
      <c r="A136" s="204"/>
      <c r="B136" s="205"/>
      <c r="C136" s="206" t="s">
        <v>1091</v>
      </c>
      <c r="D136" s="916"/>
      <c r="E136" s="207">
        <f>(0.6*12+0.6*2+0.6*10+0.85*4+0.9*19+1.35*5+1.35*1+0.9*43+2.4*53+3*3+2.1*1+0.9*1+2.4*1+1.2*4)</f>
        <v>228.1</v>
      </c>
      <c r="F136" s="335"/>
      <c r="G136" s="335"/>
      <c r="H136" s="335"/>
      <c r="I136" s="336"/>
      <c r="J136" s="337"/>
      <c r="K136" s="672"/>
      <c r="L136" s="672"/>
      <c r="M136" s="672"/>
      <c r="N136" s="672"/>
      <c r="O136" s="672"/>
      <c r="P136" s="672"/>
      <c r="Q136" s="673"/>
      <c r="R136" s="508"/>
      <c r="S136" s="508"/>
      <c r="T136" s="508"/>
      <c r="U136" s="508"/>
    </row>
    <row r="137" spans="1:21" s="22" customFormat="1" ht="24" customHeight="1">
      <c r="A137" s="196"/>
      <c r="B137" s="197"/>
      <c r="C137" s="199" t="s">
        <v>2258</v>
      </c>
      <c r="D137" s="917" t="s">
        <v>2790</v>
      </c>
      <c r="E137" s="198"/>
      <c r="F137" s="332"/>
      <c r="G137" s="332"/>
      <c r="H137" s="332"/>
      <c r="I137" s="333"/>
      <c r="J137" s="334"/>
      <c r="K137" s="693"/>
      <c r="L137" s="693"/>
      <c r="M137" s="693"/>
      <c r="N137" s="693"/>
      <c r="O137" s="693"/>
      <c r="P137" s="693"/>
      <c r="Q137" s="694"/>
      <c r="R137" s="509"/>
      <c r="S137" s="509"/>
      <c r="T137" s="509"/>
      <c r="U137" s="509"/>
    </row>
    <row r="138" spans="1:21" s="22" customFormat="1" ht="20.25" customHeight="1">
      <c r="A138" s="196" t="s">
        <v>2131</v>
      </c>
      <c r="B138" s="197" t="s">
        <v>2260</v>
      </c>
      <c r="C138" s="197" t="s">
        <v>2269</v>
      </c>
      <c r="D138" s="917" t="s">
        <v>2790</v>
      </c>
      <c r="E138" s="198" t="s">
        <v>1826</v>
      </c>
      <c r="F138" s="332">
        <f>E139</f>
        <v>250.91000000000003</v>
      </c>
      <c r="G138" s="332"/>
      <c r="H138" s="332">
        <f>F138*G138</f>
        <v>0</v>
      </c>
      <c r="I138" s="333">
        <v>0.0052</v>
      </c>
      <c r="J138" s="334">
        <f>F138*I138</f>
        <v>1.304732</v>
      </c>
      <c r="K138" s="693"/>
      <c r="L138" s="693"/>
      <c r="M138" s="693"/>
      <c r="N138" s="693"/>
      <c r="O138" s="693"/>
      <c r="P138" s="693"/>
      <c r="Q138" s="694"/>
      <c r="R138" s="509"/>
      <c r="S138" s="509"/>
      <c r="T138" s="509"/>
      <c r="U138" s="509"/>
    </row>
    <row r="139" spans="1:21" s="130" customFormat="1" ht="28.5" customHeight="1">
      <c r="A139" s="204"/>
      <c r="B139" s="205"/>
      <c r="C139" s="206" t="s">
        <v>1092</v>
      </c>
      <c r="D139" s="916"/>
      <c r="E139" s="207">
        <f>(0.6*12+0.6*2+0.6*10+0.85*4+0.9*19+1.35*5+1.35*1+0.9*43+2.4*53+3*3+2.1*1+0.9*1+2.4*1+1.2*4)*1.1</f>
        <v>250.91000000000003</v>
      </c>
      <c r="F139" s="335"/>
      <c r="G139" s="335"/>
      <c r="H139" s="335"/>
      <c r="I139" s="336"/>
      <c r="J139" s="337"/>
      <c r="K139" s="672"/>
      <c r="L139" s="672"/>
      <c r="M139" s="672"/>
      <c r="N139" s="672"/>
      <c r="O139" s="672"/>
      <c r="P139" s="672"/>
      <c r="Q139" s="673"/>
      <c r="R139" s="508"/>
      <c r="S139" s="508"/>
      <c r="T139" s="508"/>
      <c r="U139" s="508"/>
    </row>
    <row r="140" spans="1:21" s="22" customFormat="1" ht="20.25" customHeight="1">
      <c r="A140" s="196"/>
      <c r="B140" s="197"/>
      <c r="C140" s="197"/>
      <c r="D140" s="917"/>
      <c r="E140" s="198"/>
      <c r="F140" s="332"/>
      <c r="G140" s="332"/>
      <c r="H140" s="332"/>
      <c r="I140" s="333"/>
      <c r="J140" s="334"/>
      <c r="K140" s="509"/>
      <c r="L140" s="509"/>
      <c r="M140" s="509"/>
      <c r="N140" s="509"/>
      <c r="O140" s="509"/>
      <c r="P140" s="509"/>
      <c r="Q140" s="509"/>
      <c r="R140" s="509"/>
      <c r="S140" s="509"/>
      <c r="T140" s="509"/>
      <c r="U140" s="509"/>
    </row>
    <row r="141" spans="1:21" s="22" customFormat="1" ht="20.25" customHeight="1">
      <c r="A141" s="196" t="s">
        <v>2156</v>
      </c>
      <c r="B141" s="197" t="s">
        <v>2296</v>
      </c>
      <c r="C141" s="197" t="s">
        <v>2297</v>
      </c>
      <c r="D141" s="917" t="s">
        <v>2790</v>
      </c>
      <c r="E141" s="198" t="s">
        <v>1826</v>
      </c>
      <c r="F141" s="332">
        <f>E142</f>
        <v>25.16</v>
      </c>
      <c r="G141" s="332"/>
      <c r="H141" s="332">
        <f>F141*G141</f>
        <v>0</v>
      </c>
      <c r="I141" s="333">
        <v>8E-05</v>
      </c>
      <c r="J141" s="334">
        <f>F141*I141</f>
        <v>0.0020128000000000004</v>
      </c>
      <c r="K141" s="509"/>
      <c r="L141" s="509"/>
      <c r="M141" s="509"/>
      <c r="N141" s="509"/>
      <c r="O141" s="509"/>
      <c r="P141" s="509"/>
      <c r="Q141" s="704"/>
      <c r="R141" s="509"/>
      <c r="S141" s="509"/>
      <c r="T141" s="509"/>
      <c r="U141" s="509"/>
    </row>
    <row r="142" spans="1:21" s="130" customFormat="1" ht="28.5" customHeight="1">
      <c r="A142" s="204"/>
      <c r="B142" s="205"/>
      <c r="C142" s="206" t="s">
        <v>1093</v>
      </c>
      <c r="D142" s="916"/>
      <c r="E142" s="207">
        <f>(2.4+2.4)*2*1+(0.9+1.97)*2*1+(2.72+2.19)*2*1</f>
        <v>25.16</v>
      </c>
      <c r="F142" s="335"/>
      <c r="G142" s="335"/>
      <c r="H142" s="335"/>
      <c r="I142" s="336"/>
      <c r="J142" s="337"/>
      <c r="K142" s="672"/>
      <c r="L142" s="672"/>
      <c r="M142" s="672"/>
      <c r="N142" s="672"/>
      <c r="O142" s="672"/>
      <c r="P142" s="672"/>
      <c r="Q142" s="673"/>
      <c r="R142" s="508"/>
      <c r="S142" s="508"/>
      <c r="T142" s="508"/>
      <c r="U142" s="508"/>
    </row>
    <row r="143" spans="1:21" s="22" customFormat="1" ht="49.5" customHeight="1">
      <c r="A143" s="196"/>
      <c r="B143" s="197"/>
      <c r="C143" s="199" t="s">
        <v>2299</v>
      </c>
      <c r="D143" s="917" t="s">
        <v>2790</v>
      </c>
      <c r="E143" s="198"/>
      <c r="F143" s="332"/>
      <c r="G143" s="332"/>
      <c r="H143" s="332"/>
      <c r="I143" s="333"/>
      <c r="J143" s="334"/>
      <c r="K143" s="693"/>
      <c r="L143" s="693"/>
      <c r="M143" s="693"/>
      <c r="N143" s="693"/>
      <c r="O143" s="693"/>
      <c r="P143" s="693"/>
      <c r="Q143" s="694"/>
      <c r="R143" s="509"/>
      <c r="S143" s="509"/>
      <c r="T143" s="509"/>
      <c r="U143" s="509"/>
    </row>
    <row r="144" spans="1:21" s="22" customFormat="1" ht="40.5" customHeight="1">
      <c r="A144" s="196" t="s">
        <v>2160</v>
      </c>
      <c r="B144" s="197" t="s">
        <v>1094</v>
      </c>
      <c r="C144" s="199" t="s">
        <v>1095</v>
      </c>
      <c r="D144" s="917" t="s">
        <v>1096</v>
      </c>
      <c r="E144" s="198" t="s">
        <v>1831</v>
      </c>
      <c r="F144" s="332">
        <v>1</v>
      </c>
      <c r="G144" s="332"/>
      <c r="H144" s="332">
        <f>F144*G144</f>
        <v>0</v>
      </c>
      <c r="I144" s="333">
        <v>0.00168</v>
      </c>
      <c r="J144" s="334">
        <f>F144*I144</f>
        <v>0.00168</v>
      </c>
      <c r="K144" s="693">
        <v>2.1</v>
      </c>
      <c r="L144" s="693">
        <v>2.1</v>
      </c>
      <c r="M144" s="693">
        <f>K144*L144</f>
        <v>4.41</v>
      </c>
      <c r="N144" s="693">
        <f>F144*M144</f>
        <v>4.41</v>
      </c>
      <c r="O144" s="693">
        <f>(K144+L144*2)*F144</f>
        <v>6.300000000000001</v>
      </c>
      <c r="P144" s="693">
        <v>0</v>
      </c>
      <c r="Q144" s="694" t="s">
        <v>1097</v>
      </c>
      <c r="R144" s="509"/>
      <c r="S144" s="509"/>
      <c r="T144" s="509"/>
      <c r="U144" s="509"/>
    </row>
    <row r="145" spans="1:21" s="22" customFormat="1" ht="20.25" customHeight="1">
      <c r="A145" s="196" t="s">
        <v>2164</v>
      </c>
      <c r="B145" s="197" t="s">
        <v>935</v>
      </c>
      <c r="C145" s="197" t="s">
        <v>936</v>
      </c>
      <c r="D145" s="917" t="s">
        <v>937</v>
      </c>
      <c r="E145" s="198" t="s">
        <v>1831</v>
      </c>
      <c r="F145" s="332">
        <v>1</v>
      </c>
      <c r="G145" s="332"/>
      <c r="H145" s="332">
        <f>F145*G145</f>
        <v>0</v>
      </c>
      <c r="I145" s="333">
        <v>0.00168</v>
      </c>
      <c r="J145" s="334">
        <f>F145*I145</f>
        <v>0.00168</v>
      </c>
      <c r="K145" s="693">
        <v>0.9</v>
      </c>
      <c r="L145" s="693">
        <v>1.97</v>
      </c>
      <c r="M145" s="693">
        <f>K145*L145</f>
        <v>1.773</v>
      </c>
      <c r="N145" s="693">
        <f>F145*M145</f>
        <v>1.773</v>
      </c>
      <c r="O145" s="693">
        <f>(K145+L145*2)*F145</f>
        <v>4.84</v>
      </c>
      <c r="P145" s="693">
        <v>0</v>
      </c>
      <c r="Q145" s="694" t="s">
        <v>740</v>
      </c>
      <c r="R145" s="509"/>
      <c r="S145" s="509"/>
      <c r="T145" s="509"/>
      <c r="U145" s="509"/>
    </row>
    <row r="146" spans="1:21" s="22" customFormat="1" ht="36" customHeight="1">
      <c r="A146" s="196" t="s">
        <v>2168</v>
      </c>
      <c r="B146" s="197" t="s">
        <v>1098</v>
      </c>
      <c r="C146" s="199" t="s">
        <v>1099</v>
      </c>
      <c r="D146" s="917" t="s">
        <v>1100</v>
      </c>
      <c r="E146" s="198" t="s">
        <v>1831</v>
      </c>
      <c r="F146" s="332">
        <v>1</v>
      </c>
      <c r="G146" s="332"/>
      <c r="H146" s="332">
        <f>F146*G146</f>
        <v>0</v>
      </c>
      <c r="I146" s="333">
        <v>0.00168</v>
      </c>
      <c r="J146" s="334">
        <f>F146*I146</f>
        <v>0.00168</v>
      </c>
      <c r="K146" s="693">
        <v>2.72</v>
      </c>
      <c r="L146" s="693">
        <v>2.19</v>
      </c>
      <c r="M146" s="693">
        <f>K146*L146</f>
        <v>5.9568</v>
      </c>
      <c r="N146" s="693">
        <f>F146*M146</f>
        <v>5.9568</v>
      </c>
      <c r="O146" s="693">
        <f>(K146+L146*2)*F146</f>
        <v>7.1</v>
      </c>
      <c r="P146" s="693">
        <v>0</v>
      </c>
      <c r="Q146" s="694" t="s">
        <v>740</v>
      </c>
      <c r="R146" s="509"/>
      <c r="S146" s="509"/>
      <c r="T146" s="509"/>
      <c r="U146" s="509"/>
    </row>
    <row r="147" spans="1:21" s="22" customFormat="1" ht="16.5" customHeight="1">
      <c r="A147" s="196"/>
      <c r="B147" s="197"/>
      <c r="C147" s="199"/>
      <c r="D147" s="917"/>
      <c r="E147" s="198"/>
      <c r="F147" s="332"/>
      <c r="G147" s="332"/>
      <c r="H147" s="332"/>
      <c r="I147" s="333"/>
      <c r="J147" s="334"/>
      <c r="K147" s="509"/>
      <c r="L147" s="509"/>
      <c r="M147" s="509"/>
      <c r="N147" s="509"/>
      <c r="O147" s="509"/>
      <c r="P147" s="509"/>
      <c r="Q147" s="509"/>
      <c r="R147" s="509"/>
      <c r="S147" s="509"/>
      <c r="T147" s="509"/>
      <c r="U147" s="509"/>
    </row>
    <row r="148" spans="1:21" s="22" customFormat="1" ht="20.25" customHeight="1">
      <c r="A148" s="196" t="s">
        <v>2173</v>
      </c>
      <c r="B148" s="197" t="s">
        <v>938</v>
      </c>
      <c r="C148" s="197" t="s">
        <v>939</v>
      </c>
      <c r="D148" s="917" t="s">
        <v>2792</v>
      </c>
      <c r="E148" s="198" t="s">
        <v>1831</v>
      </c>
      <c r="F148" s="332">
        <v>1</v>
      </c>
      <c r="G148" s="332"/>
      <c r="H148" s="332">
        <f>F148*G148</f>
        <v>0</v>
      </c>
      <c r="I148" s="333">
        <v>0.00043</v>
      </c>
      <c r="J148" s="334">
        <f>F148*I148</f>
        <v>0.00043</v>
      </c>
      <c r="K148" s="509"/>
      <c r="L148" s="509"/>
      <c r="M148" s="509"/>
      <c r="N148" s="509"/>
      <c r="O148" s="509"/>
      <c r="P148" s="509"/>
      <c r="Q148" s="509"/>
      <c r="R148" s="509"/>
      <c r="S148" s="509"/>
      <c r="T148" s="509"/>
      <c r="U148" s="509"/>
    </row>
    <row r="149" spans="1:21" s="22" customFormat="1" ht="20.25" customHeight="1">
      <c r="A149" s="196" t="s">
        <v>2177</v>
      </c>
      <c r="B149" s="197" t="s">
        <v>1101</v>
      </c>
      <c r="C149" s="197" t="s">
        <v>941</v>
      </c>
      <c r="D149" s="917" t="s">
        <v>1102</v>
      </c>
      <c r="E149" s="198" t="s">
        <v>1831</v>
      </c>
      <c r="F149" s="332">
        <v>1</v>
      </c>
      <c r="G149" s="332"/>
      <c r="H149" s="332">
        <f>F149*G149</f>
        <v>0</v>
      </c>
      <c r="I149" s="333">
        <v>0.00168</v>
      </c>
      <c r="J149" s="334">
        <f>F149*I149</f>
        <v>0.00168</v>
      </c>
      <c r="K149" s="693">
        <v>0.7</v>
      </c>
      <c r="L149" s="693">
        <v>1.5</v>
      </c>
      <c r="M149" s="693">
        <f>K149*L149</f>
        <v>1.0499999999999998</v>
      </c>
      <c r="N149" s="693">
        <f>F149*M149</f>
        <v>1.0499999999999998</v>
      </c>
      <c r="O149" s="693">
        <f>(K149+L149*2)*F149</f>
        <v>3.7</v>
      </c>
      <c r="P149" s="693">
        <v>0</v>
      </c>
      <c r="Q149" s="694" t="s">
        <v>740</v>
      </c>
      <c r="R149" s="509"/>
      <c r="S149" s="509"/>
      <c r="T149" s="509"/>
      <c r="U149" s="509"/>
    </row>
    <row r="150" spans="1:21" s="22" customFormat="1" ht="20.25" customHeight="1">
      <c r="A150" s="196"/>
      <c r="B150" s="197"/>
      <c r="C150" s="197"/>
      <c r="D150" s="917"/>
      <c r="E150" s="198"/>
      <c r="F150" s="332"/>
      <c r="G150" s="332"/>
      <c r="H150" s="332"/>
      <c r="I150" s="333"/>
      <c r="J150" s="334"/>
      <c r="K150" s="693"/>
      <c r="L150" s="693"/>
      <c r="M150" s="693"/>
      <c r="N150" s="693"/>
      <c r="O150" s="693"/>
      <c r="P150" s="693"/>
      <c r="Q150" s="694"/>
      <c r="R150" s="509"/>
      <c r="S150" s="509"/>
      <c r="T150" s="509"/>
      <c r="U150" s="509"/>
    </row>
    <row r="151" spans="1:21" s="22" customFormat="1" ht="30" customHeight="1">
      <c r="A151" s="196" t="s">
        <v>2180</v>
      </c>
      <c r="B151" s="197" t="s">
        <v>2280</v>
      </c>
      <c r="C151" s="199" t="s">
        <v>2281</v>
      </c>
      <c r="D151" s="917" t="s">
        <v>2761</v>
      </c>
      <c r="E151" s="198" t="s">
        <v>1826</v>
      </c>
      <c r="F151" s="332">
        <f>E152</f>
        <v>655.04</v>
      </c>
      <c r="G151" s="332"/>
      <c r="H151" s="332">
        <f>F151*G151</f>
        <v>0</v>
      </c>
      <c r="I151" s="333">
        <v>4E-05</v>
      </c>
      <c r="J151" s="334">
        <f>F151*I151</f>
        <v>0.026201600000000002</v>
      </c>
      <c r="K151" s="693"/>
      <c r="L151" s="693"/>
      <c r="M151" s="693"/>
      <c r="N151" s="693"/>
      <c r="O151" s="693"/>
      <c r="P151" s="693"/>
      <c r="Q151" s="694"/>
      <c r="R151" s="509"/>
      <c r="S151" s="509"/>
      <c r="T151" s="509"/>
      <c r="U151" s="509"/>
    </row>
    <row r="152" spans="1:21" s="130" customFormat="1" ht="30" customHeight="1">
      <c r="A152" s="204"/>
      <c r="B152" s="205"/>
      <c r="C152" s="206" t="s">
        <v>1103</v>
      </c>
      <c r="D152" s="916"/>
      <c r="E152" s="207">
        <f>18+3+15+6.8+74.1+21.75+2.55+141.9+286.2+20.1+13.8+2.9+2.1+6.3+4.2+14.4+6.3+4.84+7.1+3.7</f>
        <v>655.04</v>
      </c>
      <c r="F152" s="335"/>
      <c r="G152" s="335"/>
      <c r="H152" s="335"/>
      <c r="I152" s="336"/>
      <c r="J152" s="337"/>
      <c r="K152" s="672"/>
      <c r="L152" s="672"/>
      <c r="M152" s="672"/>
      <c r="N152" s="672"/>
      <c r="O152" s="672"/>
      <c r="P152" s="672"/>
      <c r="Q152" s="673"/>
      <c r="R152" s="508"/>
      <c r="S152" s="508"/>
      <c r="T152" s="508"/>
      <c r="U152" s="508"/>
    </row>
    <row r="153" spans="1:21" s="22" customFormat="1" ht="30" customHeight="1">
      <c r="A153" s="196" t="s">
        <v>2184</v>
      </c>
      <c r="B153" s="197" t="s">
        <v>2284</v>
      </c>
      <c r="C153" s="199" t="s">
        <v>2285</v>
      </c>
      <c r="D153" s="917" t="s">
        <v>2761</v>
      </c>
      <c r="E153" s="198" t="s">
        <v>1826</v>
      </c>
      <c r="F153" s="332">
        <f>E154</f>
        <v>234.2</v>
      </c>
      <c r="G153" s="332"/>
      <c r="H153" s="332">
        <f>F153*G153</f>
        <v>0</v>
      </c>
      <c r="I153" s="333">
        <v>0.00016</v>
      </c>
      <c r="J153" s="334">
        <f>F153*I153</f>
        <v>0.037472</v>
      </c>
      <c r="K153" s="693"/>
      <c r="L153" s="693"/>
      <c r="M153" s="693"/>
      <c r="N153" s="693"/>
      <c r="O153" s="693"/>
      <c r="P153" s="693"/>
      <c r="Q153" s="694"/>
      <c r="R153" s="509"/>
      <c r="S153" s="509"/>
      <c r="T153" s="509"/>
      <c r="U153" s="509"/>
    </row>
    <row r="154" spans="1:21" s="130" customFormat="1" ht="22.5" customHeight="1">
      <c r="A154" s="204"/>
      <c r="B154" s="205"/>
      <c r="C154" s="206" t="s">
        <v>1104</v>
      </c>
      <c r="D154" s="916"/>
      <c r="E154" s="207">
        <f>7.2+1.2+6+3.2+17.1+6.75+1.35+38.7+127.2+9+4.2+2.1+0.9+2.1+2.4+4.8</f>
        <v>234.2</v>
      </c>
      <c r="F154" s="335"/>
      <c r="G154" s="335"/>
      <c r="H154" s="335"/>
      <c r="I154" s="336"/>
      <c r="J154" s="337"/>
      <c r="K154" s="672"/>
      <c r="L154" s="672"/>
      <c r="M154" s="672"/>
      <c r="N154" s="672"/>
      <c r="O154" s="672"/>
      <c r="P154" s="672"/>
      <c r="Q154" s="673"/>
      <c r="R154" s="508"/>
      <c r="S154" s="508"/>
      <c r="T154" s="508"/>
      <c r="U154" s="508"/>
    </row>
    <row r="155" spans="1:21" s="22" customFormat="1" ht="20.25" customHeight="1" thickBot="1">
      <c r="A155" s="255"/>
      <c r="B155" s="256"/>
      <c r="C155" s="256"/>
      <c r="D155" s="968"/>
      <c r="E155" s="257"/>
      <c r="F155" s="368"/>
      <c r="G155" s="368"/>
      <c r="H155" s="368"/>
      <c r="I155" s="369"/>
      <c r="J155" s="370"/>
      <c r="K155" s="509"/>
      <c r="L155" s="509"/>
      <c r="M155" s="509"/>
      <c r="N155" s="509"/>
      <c r="O155" s="509"/>
      <c r="P155" s="509"/>
      <c r="Q155" s="509"/>
      <c r="R155" s="509"/>
      <c r="S155" s="509"/>
      <c r="T155" s="509"/>
      <c r="U155" s="509"/>
    </row>
    <row r="156" spans="1:21" ht="16.5" customHeight="1" thickBot="1">
      <c r="A156" s="266" t="s">
        <v>2322</v>
      </c>
      <c r="B156" s="175" t="s">
        <v>2323</v>
      </c>
      <c r="C156" s="176" t="s">
        <v>2324</v>
      </c>
      <c r="D156" s="1008"/>
      <c r="E156" s="175"/>
      <c r="F156" s="341"/>
      <c r="G156" s="341"/>
      <c r="H156" s="342">
        <f>SUM(H157:H159)</f>
        <v>0</v>
      </c>
      <c r="I156" s="343"/>
      <c r="J156" s="344">
        <f>SUM(J157:J159)</f>
        <v>0.3056</v>
      </c>
      <c r="K156" s="670"/>
      <c r="L156" s="670"/>
      <c r="M156" s="670"/>
      <c r="N156" s="670"/>
      <c r="O156" s="670"/>
      <c r="P156" s="670"/>
      <c r="Q156" s="670"/>
      <c r="R156" s="670"/>
      <c r="S156" s="670"/>
      <c r="T156" s="670"/>
      <c r="U156" s="670"/>
    </row>
    <row r="157" spans="1:21" s="22" customFormat="1" ht="23.25" customHeight="1">
      <c r="A157" s="196" t="s">
        <v>2325</v>
      </c>
      <c r="B157" s="197" t="s">
        <v>2329</v>
      </c>
      <c r="C157" s="199" t="s">
        <v>763</v>
      </c>
      <c r="D157" s="917" t="s">
        <v>2749</v>
      </c>
      <c r="E157" s="198" t="s">
        <v>2331</v>
      </c>
      <c r="F157" s="332">
        <v>25</v>
      </c>
      <c r="G157" s="332"/>
      <c r="H157" s="332">
        <f>F157*G157</f>
        <v>0</v>
      </c>
      <c r="I157" s="333"/>
      <c r="J157" s="334"/>
      <c r="K157" s="693"/>
      <c r="L157" s="693"/>
      <c r="M157" s="693"/>
      <c r="N157" s="693"/>
      <c r="O157" s="693"/>
      <c r="P157" s="693"/>
      <c r="Q157" s="694"/>
      <c r="R157" s="509"/>
      <c r="S157" s="509"/>
      <c r="T157" s="509"/>
      <c r="U157" s="509"/>
    </row>
    <row r="158" spans="1:59" s="22" customFormat="1" ht="30" customHeight="1">
      <c r="A158" s="196" t="s">
        <v>2328</v>
      </c>
      <c r="B158" s="197" t="s">
        <v>2333</v>
      </c>
      <c r="C158" s="199" t="s">
        <v>2334</v>
      </c>
      <c r="D158" s="917" t="s">
        <v>2749</v>
      </c>
      <c r="E158" s="198" t="s">
        <v>1718</v>
      </c>
      <c r="F158" s="332">
        <v>4</v>
      </c>
      <c r="G158" s="332"/>
      <c r="H158" s="332">
        <f>F158*G158</f>
        <v>0</v>
      </c>
      <c r="I158" s="333">
        <v>0.0764</v>
      </c>
      <c r="J158" s="334">
        <f>F158*I158</f>
        <v>0.3056</v>
      </c>
      <c r="K158" s="693"/>
      <c r="L158" s="693"/>
      <c r="M158" s="693"/>
      <c r="N158" s="693"/>
      <c r="O158" s="693"/>
      <c r="P158" s="693"/>
      <c r="Q158" s="694">
        <v>2</v>
      </c>
      <c r="R158" s="509"/>
      <c r="S158" s="509"/>
      <c r="T158" s="509"/>
      <c r="U158" s="509"/>
      <c r="AA158" s="22">
        <v>12</v>
      </c>
      <c r="AB158" s="22">
        <v>0</v>
      </c>
      <c r="AC158" s="22">
        <v>30</v>
      </c>
      <c r="BB158" s="22">
        <v>1</v>
      </c>
      <c r="BC158" s="22">
        <f>IF(BB158=1,G158,0)</f>
        <v>0</v>
      </c>
      <c r="BD158" s="22">
        <f>IF(BB158=2,G158,0)</f>
        <v>0</v>
      </c>
      <c r="BE158" s="22">
        <f>IF(BB158=3,G158,0)</f>
        <v>0</v>
      </c>
      <c r="BF158" s="22">
        <f>IF(BB158=4,G158,0)</f>
        <v>0</v>
      </c>
      <c r="BG158" s="22">
        <f>IF(BB158=5,G158,0)</f>
        <v>0</v>
      </c>
    </row>
    <row r="159" spans="1:21" s="22" customFormat="1" ht="30" customHeight="1" thickBot="1">
      <c r="A159" s="196" t="s">
        <v>2332</v>
      </c>
      <c r="B159" s="197" t="s">
        <v>2336</v>
      </c>
      <c r="C159" s="199" t="s">
        <v>2337</v>
      </c>
      <c r="D159" s="917" t="s">
        <v>2749</v>
      </c>
      <c r="E159" s="198" t="s">
        <v>1826</v>
      </c>
      <c r="F159" s="332">
        <v>82</v>
      </c>
      <c r="G159" s="332"/>
      <c r="H159" s="332">
        <f>F159*G159</f>
        <v>0</v>
      </c>
      <c r="I159" s="333"/>
      <c r="J159" s="334"/>
      <c r="K159" s="693"/>
      <c r="L159" s="693"/>
      <c r="M159" s="693"/>
      <c r="N159" s="693"/>
      <c r="O159" s="693"/>
      <c r="P159" s="693"/>
      <c r="Q159" s="694"/>
      <c r="R159" s="509"/>
      <c r="S159" s="509"/>
      <c r="T159" s="509"/>
      <c r="U159" s="509"/>
    </row>
    <row r="160" spans="1:21" ht="16.5" customHeight="1" thickBot="1">
      <c r="A160" s="266" t="s">
        <v>2338</v>
      </c>
      <c r="B160" s="175" t="s">
        <v>2339</v>
      </c>
      <c r="C160" s="176" t="s">
        <v>2340</v>
      </c>
      <c r="D160" s="1008"/>
      <c r="E160" s="175"/>
      <c r="F160" s="341"/>
      <c r="G160" s="341"/>
      <c r="H160" s="342">
        <f>SUM(H161:H169)</f>
        <v>0</v>
      </c>
      <c r="I160" s="343"/>
      <c r="J160" s="344">
        <f>SUM(J161:J168)</f>
        <v>51.544003496</v>
      </c>
      <c r="K160" s="670"/>
      <c r="L160" s="670"/>
      <c r="M160" s="670"/>
      <c r="N160" s="670"/>
      <c r="O160" s="670"/>
      <c r="P160" s="670"/>
      <c r="Q160" s="670"/>
      <c r="R160" s="670"/>
      <c r="S160" s="670"/>
      <c r="T160" s="670"/>
      <c r="U160" s="670"/>
    </row>
    <row r="161" spans="1:21" s="22" customFormat="1" ht="23.25" customHeight="1">
      <c r="A161" s="190" t="s">
        <v>2341</v>
      </c>
      <c r="B161" s="191" t="s">
        <v>2342</v>
      </c>
      <c r="C161" s="265" t="s">
        <v>2343</v>
      </c>
      <c r="D161" s="964"/>
      <c r="E161" s="192" t="s">
        <v>1748</v>
      </c>
      <c r="F161" s="345">
        <f>(1736+335.37)*1.08</f>
        <v>2237.0796</v>
      </c>
      <c r="G161" s="345"/>
      <c r="H161" s="345">
        <f aca="true" t="shared" si="14" ref="H161:H169">F161*G161</f>
        <v>0</v>
      </c>
      <c r="I161" s="346">
        <v>0.01838</v>
      </c>
      <c r="J161" s="347">
        <f aca="true" t="shared" si="15" ref="J161:J168">F161*I161</f>
        <v>41.117523048</v>
      </c>
      <c r="K161" s="509"/>
      <c r="L161" s="509"/>
      <c r="M161" s="509"/>
      <c r="N161" s="509"/>
      <c r="O161" s="509"/>
      <c r="P161" s="509"/>
      <c r="Q161" s="509"/>
      <c r="R161" s="509"/>
      <c r="S161" s="509"/>
      <c r="T161" s="509"/>
      <c r="U161" s="509"/>
    </row>
    <row r="162" spans="1:21" s="22" customFormat="1" ht="23.25" customHeight="1">
      <c r="A162" s="196" t="s">
        <v>2344</v>
      </c>
      <c r="B162" s="197" t="s">
        <v>2345</v>
      </c>
      <c r="C162" s="199" t="s">
        <v>2346</v>
      </c>
      <c r="D162" s="917"/>
      <c r="E162" s="198" t="s">
        <v>1748</v>
      </c>
      <c r="F162" s="332">
        <f>F161*4</f>
        <v>8948.3184</v>
      </c>
      <c r="G162" s="332"/>
      <c r="H162" s="332">
        <f t="shared" si="14"/>
        <v>0</v>
      </c>
      <c r="I162" s="333">
        <v>0.00097</v>
      </c>
      <c r="J162" s="334">
        <f t="shared" si="15"/>
        <v>8.679868848</v>
      </c>
      <c r="K162" s="509"/>
      <c r="L162" s="509"/>
      <c r="M162" s="509"/>
      <c r="N162" s="509"/>
      <c r="O162" s="509"/>
      <c r="P162" s="509"/>
      <c r="Q162" s="509"/>
      <c r="R162" s="509"/>
      <c r="S162" s="509"/>
      <c r="T162" s="509"/>
      <c r="U162" s="509"/>
    </row>
    <row r="163" spans="1:21" s="22" customFormat="1" ht="23.25" customHeight="1">
      <c r="A163" s="196" t="s">
        <v>2347</v>
      </c>
      <c r="B163" s="197" t="s">
        <v>2348</v>
      </c>
      <c r="C163" s="199" t="s">
        <v>2349</v>
      </c>
      <c r="D163" s="917"/>
      <c r="E163" s="198" t="s">
        <v>1748</v>
      </c>
      <c r="F163" s="332">
        <f>F161</f>
        <v>2237.0796</v>
      </c>
      <c r="G163" s="332"/>
      <c r="H163" s="332">
        <f t="shared" si="14"/>
        <v>0</v>
      </c>
      <c r="I163" s="333">
        <v>0</v>
      </c>
      <c r="J163" s="334">
        <f t="shared" si="15"/>
        <v>0</v>
      </c>
      <c r="K163" s="509"/>
      <c r="L163" s="509"/>
      <c r="M163" s="509"/>
      <c r="N163" s="509"/>
      <c r="O163" s="509"/>
      <c r="P163" s="509"/>
      <c r="Q163" s="509"/>
      <c r="R163" s="509"/>
      <c r="S163" s="509"/>
      <c r="T163" s="509"/>
      <c r="U163" s="509"/>
    </row>
    <row r="164" spans="1:21" s="22" customFormat="1" ht="23.25" customHeight="1">
      <c r="A164" s="196" t="s">
        <v>2350</v>
      </c>
      <c r="B164" s="197" t="s">
        <v>2351</v>
      </c>
      <c r="C164" s="199" t="s">
        <v>2352</v>
      </c>
      <c r="D164" s="917"/>
      <c r="E164" s="198" t="s">
        <v>1748</v>
      </c>
      <c r="F164" s="332">
        <f>F161</f>
        <v>2237.0796</v>
      </c>
      <c r="G164" s="332"/>
      <c r="H164" s="332">
        <f t="shared" si="14"/>
        <v>0</v>
      </c>
      <c r="I164" s="333">
        <v>0</v>
      </c>
      <c r="J164" s="334">
        <f t="shared" si="15"/>
        <v>0</v>
      </c>
      <c r="K164" s="509"/>
      <c r="L164" s="509"/>
      <c r="M164" s="509"/>
      <c r="N164" s="509"/>
      <c r="O164" s="509"/>
      <c r="P164" s="509"/>
      <c r="Q164" s="509"/>
      <c r="R164" s="509"/>
      <c r="S164" s="509"/>
      <c r="T164" s="509"/>
      <c r="U164" s="509"/>
    </row>
    <row r="165" spans="1:21" s="22" customFormat="1" ht="23.25" customHeight="1">
      <c r="A165" s="196" t="s">
        <v>2353</v>
      </c>
      <c r="B165" s="197" t="s">
        <v>2354</v>
      </c>
      <c r="C165" s="199" t="s">
        <v>2355</v>
      </c>
      <c r="D165" s="917"/>
      <c r="E165" s="198" t="s">
        <v>1748</v>
      </c>
      <c r="F165" s="332">
        <f>F164*4</f>
        <v>8948.3184</v>
      </c>
      <c r="G165" s="332"/>
      <c r="H165" s="332">
        <f t="shared" si="14"/>
        <v>0</v>
      </c>
      <c r="I165" s="333">
        <v>0</v>
      </c>
      <c r="J165" s="334">
        <f t="shared" si="15"/>
        <v>0</v>
      </c>
      <c r="K165" s="509"/>
      <c r="L165" s="509"/>
      <c r="M165" s="509"/>
      <c r="N165" s="509"/>
      <c r="O165" s="509"/>
      <c r="P165" s="509"/>
      <c r="Q165" s="509"/>
      <c r="R165" s="509"/>
      <c r="S165" s="509"/>
      <c r="T165" s="509"/>
      <c r="U165" s="509"/>
    </row>
    <row r="166" spans="1:21" s="22" customFormat="1" ht="23.25" customHeight="1">
      <c r="A166" s="196" t="s">
        <v>2356</v>
      </c>
      <c r="B166" s="197" t="s">
        <v>2357</v>
      </c>
      <c r="C166" s="199" t="s">
        <v>2358</v>
      </c>
      <c r="D166" s="917"/>
      <c r="E166" s="198" t="s">
        <v>1748</v>
      </c>
      <c r="F166" s="332">
        <f>F164</f>
        <v>2237.0796</v>
      </c>
      <c r="G166" s="332"/>
      <c r="H166" s="332">
        <f t="shared" si="14"/>
        <v>0</v>
      </c>
      <c r="I166" s="333">
        <v>0</v>
      </c>
      <c r="J166" s="334">
        <f t="shared" si="15"/>
        <v>0</v>
      </c>
      <c r="K166" s="509"/>
      <c r="L166" s="509"/>
      <c r="M166" s="509"/>
      <c r="N166" s="509"/>
      <c r="O166" s="509"/>
      <c r="P166" s="509"/>
      <c r="Q166" s="509"/>
      <c r="R166" s="509"/>
      <c r="S166" s="509"/>
      <c r="T166" s="509"/>
      <c r="U166" s="509"/>
    </row>
    <row r="167" spans="1:21" s="22" customFormat="1" ht="23.25" customHeight="1">
      <c r="A167" s="196" t="s">
        <v>2359</v>
      </c>
      <c r="B167" s="197" t="s">
        <v>2360</v>
      </c>
      <c r="C167" s="199" t="s">
        <v>2361</v>
      </c>
      <c r="D167" s="917"/>
      <c r="E167" s="198" t="s">
        <v>1748</v>
      </c>
      <c r="F167" s="332">
        <f>234.2*1.2</f>
        <v>281.03999999999996</v>
      </c>
      <c r="G167" s="332"/>
      <c r="H167" s="332">
        <f t="shared" si="14"/>
        <v>0</v>
      </c>
      <c r="I167" s="333">
        <v>0.00592</v>
      </c>
      <c r="J167" s="334">
        <f t="shared" si="15"/>
        <v>1.6637567999999998</v>
      </c>
      <c r="K167" s="509"/>
      <c r="L167" s="509"/>
      <c r="M167" s="509"/>
      <c r="N167" s="509"/>
      <c r="O167" s="509"/>
      <c r="P167" s="509"/>
      <c r="Q167" s="509"/>
      <c r="R167" s="509"/>
      <c r="S167" s="509"/>
      <c r="T167" s="509"/>
      <c r="U167" s="509"/>
    </row>
    <row r="168" spans="1:21" s="22" customFormat="1" ht="23.25" customHeight="1">
      <c r="A168" s="196" t="s">
        <v>2362</v>
      </c>
      <c r="B168" s="197" t="s">
        <v>2363</v>
      </c>
      <c r="C168" s="199" t="s">
        <v>2364</v>
      </c>
      <c r="D168" s="917"/>
      <c r="E168" s="198" t="s">
        <v>1748</v>
      </c>
      <c r="F168" s="332">
        <f>(1736+335.37)</f>
        <v>2071.37</v>
      </c>
      <c r="G168" s="332"/>
      <c r="H168" s="332">
        <f t="shared" si="14"/>
        <v>0</v>
      </c>
      <c r="I168" s="333">
        <v>4E-05</v>
      </c>
      <c r="J168" s="334">
        <f t="shared" si="15"/>
        <v>0.0828548</v>
      </c>
      <c r="K168" s="509"/>
      <c r="L168" s="509"/>
      <c r="M168" s="509"/>
      <c r="N168" s="509"/>
      <c r="O168" s="509"/>
      <c r="P168" s="509"/>
      <c r="Q168" s="509"/>
      <c r="R168" s="509"/>
      <c r="S168" s="509"/>
      <c r="T168" s="509"/>
      <c r="U168" s="509"/>
    </row>
    <row r="169" spans="1:21" s="22" customFormat="1" ht="23.25" customHeight="1" thickBot="1">
      <c r="A169" s="255" t="s">
        <v>2365</v>
      </c>
      <c r="B169" s="256" t="s">
        <v>2366</v>
      </c>
      <c r="C169" s="264" t="s">
        <v>2367</v>
      </c>
      <c r="D169" s="968"/>
      <c r="E169" s="257" t="s">
        <v>1783</v>
      </c>
      <c r="F169" s="368">
        <f>J160+J156+J109+J97+J65+J57+J41+J39+J37+J29+J18</f>
        <v>340.24321077412503</v>
      </c>
      <c r="G169" s="368"/>
      <c r="H169" s="368">
        <f t="shared" si="14"/>
        <v>0</v>
      </c>
      <c r="I169" s="369">
        <v>0</v>
      </c>
      <c r="J169" s="370"/>
      <c r="K169" s="509"/>
      <c r="L169" s="509"/>
      <c r="M169" s="509"/>
      <c r="N169" s="509"/>
      <c r="O169" s="509"/>
      <c r="P169" s="509"/>
      <c r="Q169" s="509"/>
      <c r="R169" s="509"/>
      <c r="S169" s="509"/>
      <c r="T169" s="509"/>
      <c r="U169" s="509"/>
    </row>
    <row r="170" spans="1:21" ht="16.5" customHeight="1" thickBot="1">
      <c r="A170" s="266" t="s">
        <v>2368</v>
      </c>
      <c r="B170" s="175" t="s">
        <v>2369</v>
      </c>
      <c r="C170" s="176" t="s">
        <v>2370</v>
      </c>
      <c r="D170" s="1008"/>
      <c r="E170" s="175"/>
      <c r="F170" s="341"/>
      <c r="G170" s="341"/>
      <c r="H170" s="1011">
        <f>SUM(H171:H233)</f>
        <v>0</v>
      </c>
      <c r="I170" s="343"/>
      <c r="J170" s="344">
        <f>SUM(J171:J223)</f>
        <v>148.259311</v>
      </c>
      <c r="K170" s="670"/>
      <c r="L170" s="670"/>
      <c r="M170" s="670"/>
      <c r="N170" s="670"/>
      <c r="O170" s="670"/>
      <c r="P170" s="670"/>
      <c r="Q170" s="670"/>
      <c r="R170" s="670"/>
      <c r="S170" s="670"/>
      <c r="T170" s="670"/>
      <c r="U170" s="670"/>
    </row>
    <row r="171" spans="1:21" s="491" customFormat="1" ht="14.25" customHeight="1">
      <c r="A171" s="484"/>
      <c r="B171" s="485"/>
      <c r="C171" s="486"/>
      <c r="D171" s="994"/>
      <c r="E171" s="487"/>
      <c r="F171" s="488"/>
      <c r="G171" s="345"/>
      <c r="H171" s="488"/>
      <c r="I171" s="489"/>
      <c r="J171" s="490"/>
      <c r="K171" s="587"/>
      <c r="L171" s="587"/>
      <c r="M171" s="587"/>
      <c r="N171" s="587"/>
      <c r="O171" s="587"/>
      <c r="P171" s="587"/>
      <c r="Q171" s="587"/>
      <c r="R171" s="587"/>
      <c r="S171" s="587"/>
      <c r="T171" s="587"/>
      <c r="U171" s="587"/>
    </row>
    <row r="172" spans="1:21" s="22" customFormat="1" ht="21.75" customHeight="1">
      <c r="A172" s="196" t="s">
        <v>2374</v>
      </c>
      <c r="B172" s="197" t="s">
        <v>2390</v>
      </c>
      <c r="C172" s="199" t="s">
        <v>2391</v>
      </c>
      <c r="D172" s="917" t="s">
        <v>2786</v>
      </c>
      <c r="E172" s="198" t="s">
        <v>1709</v>
      </c>
      <c r="F172" s="332">
        <f>E173</f>
        <v>1.026</v>
      </c>
      <c r="G172" s="332"/>
      <c r="H172" s="332">
        <f>F172*G172</f>
        <v>0</v>
      </c>
      <c r="I172" s="333">
        <v>1.8</v>
      </c>
      <c r="J172" s="334">
        <f>F172*I172</f>
        <v>1.8468</v>
      </c>
      <c r="K172" s="509"/>
      <c r="L172" s="509"/>
      <c r="M172" s="509"/>
      <c r="N172" s="509"/>
      <c r="O172" s="509"/>
      <c r="P172" s="509"/>
      <c r="Q172" s="509"/>
      <c r="R172" s="509"/>
      <c r="S172" s="509"/>
      <c r="T172" s="509"/>
      <c r="U172" s="509"/>
    </row>
    <row r="173" spans="1:21" s="130" customFormat="1" ht="22.5" customHeight="1">
      <c r="A173" s="204"/>
      <c r="B173" s="205"/>
      <c r="C173" s="206" t="s">
        <v>1105</v>
      </c>
      <c r="D173" s="916"/>
      <c r="E173" s="207">
        <f>2.4*0.95*0.45</f>
        <v>1.026</v>
      </c>
      <c r="F173" s="335"/>
      <c r="G173" s="335"/>
      <c r="H173" s="335"/>
      <c r="I173" s="336"/>
      <c r="J173" s="337"/>
      <c r="K173" s="672"/>
      <c r="L173" s="672"/>
      <c r="M173" s="672"/>
      <c r="N173" s="672"/>
      <c r="O173" s="672"/>
      <c r="P173" s="672"/>
      <c r="Q173" s="673"/>
      <c r="R173" s="508"/>
      <c r="S173" s="508"/>
      <c r="T173" s="508"/>
      <c r="U173" s="508"/>
    </row>
    <row r="174" spans="1:21" s="22" customFormat="1" ht="21.75" customHeight="1">
      <c r="A174" s="196" t="s">
        <v>2379</v>
      </c>
      <c r="B174" s="197" t="s">
        <v>2394</v>
      </c>
      <c r="C174" s="199" t="s">
        <v>2395</v>
      </c>
      <c r="D174" s="917" t="s">
        <v>2793</v>
      </c>
      <c r="E174" s="198" t="s">
        <v>1709</v>
      </c>
      <c r="F174" s="332">
        <v>0.76</v>
      </c>
      <c r="G174" s="332"/>
      <c r="H174" s="332">
        <f>F174*G174</f>
        <v>0</v>
      </c>
      <c r="I174" s="333">
        <v>2.4</v>
      </c>
      <c r="J174" s="334">
        <f>F174*I174</f>
        <v>1.8239999999999998</v>
      </c>
      <c r="K174" s="509"/>
      <c r="L174" s="509"/>
      <c r="M174" s="509"/>
      <c r="N174" s="509"/>
      <c r="O174" s="509"/>
      <c r="P174" s="509"/>
      <c r="Q174" s="509"/>
      <c r="R174" s="509"/>
      <c r="S174" s="509"/>
      <c r="T174" s="509"/>
      <c r="U174" s="509"/>
    </row>
    <row r="175" spans="1:60" s="259" customFormat="1" ht="19.5" customHeight="1">
      <c r="A175" s="196" t="s">
        <v>2383</v>
      </c>
      <c r="B175" s="687" t="s">
        <v>2375</v>
      </c>
      <c r="C175" s="688" t="s">
        <v>2376</v>
      </c>
      <c r="D175" s="974"/>
      <c r="E175" s="287" t="s">
        <v>1748</v>
      </c>
      <c r="F175" s="387">
        <f>SUM(E176)</f>
        <v>45.83999999999999</v>
      </c>
      <c r="G175" s="387"/>
      <c r="H175" s="387">
        <f>F175*G175</f>
        <v>0</v>
      </c>
      <c r="I175" s="689">
        <v>0.059</v>
      </c>
      <c r="J175" s="690">
        <f>F175*I175</f>
        <v>2.7045599999999994</v>
      </c>
      <c r="K175" s="258"/>
      <c r="L175" s="258"/>
      <c r="M175" s="214"/>
      <c r="N175" s="691"/>
      <c r="O175" s="691"/>
      <c r="P175" s="258"/>
      <c r="Q175" s="258"/>
      <c r="R175" s="258">
        <v>2</v>
      </c>
      <c r="S175" s="258"/>
      <c r="T175" s="258"/>
      <c r="U175" s="258"/>
      <c r="V175" s="718"/>
      <c r="W175" s="718"/>
      <c r="X175" s="718"/>
      <c r="Y175" s="718"/>
      <c r="Z175" s="718"/>
      <c r="AA175" s="718"/>
      <c r="AB175" s="718">
        <v>12</v>
      </c>
      <c r="AC175" s="718">
        <v>0</v>
      </c>
      <c r="AD175" s="718">
        <v>25</v>
      </c>
      <c r="AE175" s="718"/>
      <c r="AF175" s="718"/>
      <c r="AG175" s="718"/>
      <c r="AH175" s="718"/>
      <c r="AI175" s="718"/>
      <c r="AJ175" s="718"/>
      <c r="AK175" s="718"/>
      <c r="AL175" s="718"/>
      <c r="AM175" s="718"/>
      <c r="AN175" s="718"/>
      <c r="AO175" s="718"/>
      <c r="AP175" s="718"/>
      <c r="AQ175" s="718"/>
      <c r="AR175" s="718"/>
      <c r="AS175" s="718"/>
      <c r="AT175" s="718"/>
      <c r="AU175" s="718"/>
      <c r="AV175" s="718"/>
      <c r="AW175" s="718"/>
      <c r="AX175" s="718"/>
      <c r="AY175" s="718"/>
      <c r="AZ175" s="718"/>
      <c r="BA175" s="718"/>
      <c r="BB175" s="718"/>
      <c r="BC175" s="718">
        <v>1</v>
      </c>
      <c r="BD175" s="718">
        <f>IF(BC175=1,H175,0)</f>
        <v>0</v>
      </c>
      <c r="BE175" s="718">
        <f>IF(BC175=2,H175,0)</f>
        <v>0</v>
      </c>
      <c r="BF175" s="718">
        <f>IF(BC175=3,H175,0)</f>
        <v>0</v>
      </c>
      <c r="BG175" s="718">
        <f>IF(BC175=4,H175,0)</f>
        <v>0</v>
      </c>
      <c r="BH175" s="718">
        <f>IF(BC175=5,H175,0)</f>
        <v>0</v>
      </c>
    </row>
    <row r="176" spans="1:21" s="130" customFormat="1" ht="20.25" customHeight="1">
      <c r="A176" s="204"/>
      <c r="B176" s="205" t="s">
        <v>950</v>
      </c>
      <c r="C176" s="205" t="s">
        <v>1054</v>
      </c>
      <c r="D176" s="916"/>
      <c r="E176" s="207">
        <f>(35.4+43.8)*0.8+(1.3+4.5)*0.6-21*1*1</f>
        <v>45.83999999999999</v>
      </c>
      <c r="F176" s="335"/>
      <c r="G176" s="335"/>
      <c r="H176" s="335"/>
      <c r="I176" s="336"/>
      <c r="J176" s="337"/>
      <c r="K176" s="672"/>
      <c r="L176" s="672"/>
      <c r="M176" s="672"/>
      <c r="N176" s="672"/>
      <c r="O176" s="672"/>
      <c r="P176" s="672"/>
      <c r="Q176" s="673"/>
      <c r="R176" s="508"/>
      <c r="S176" s="508"/>
      <c r="T176" s="508"/>
      <c r="U176" s="508"/>
    </row>
    <row r="177" spans="1:60" s="259" customFormat="1" ht="25.5" customHeight="1">
      <c r="A177" s="196" t="s">
        <v>2386</v>
      </c>
      <c r="B177" s="687" t="s">
        <v>2384</v>
      </c>
      <c r="C177" s="688" t="s">
        <v>2385</v>
      </c>
      <c r="D177" s="917" t="s">
        <v>2793</v>
      </c>
      <c r="E177" s="287" t="s">
        <v>1748</v>
      </c>
      <c r="F177" s="387">
        <f>SUM(E178:E178)</f>
        <v>45.83999999999999</v>
      </c>
      <c r="G177" s="387"/>
      <c r="H177" s="387">
        <f>F177*G177</f>
        <v>0</v>
      </c>
      <c r="I177" s="689">
        <v>0.014</v>
      </c>
      <c r="J177" s="690">
        <f>F177*I177</f>
        <v>0.6417599999999999</v>
      </c>
      <c r="K177" s="258"/>
      <c r="L177" s="258"/>
      <c r="M177" s="214"/>
      <c r="N177" s="691"/>
      <c r="O177" s="691"/>
      <c r="P177" s="258"/>
      <c r="Q177" s="258"/>
      <c r="R177" s="258">
        <v>2</v>
      </c>
      <c r="S177" s="258"/>
      <c r="T177" s="258"/>
      <c r="U177" s="258"/>
      <c r="V177" s="258"/>
      <c r="W177" s="258"/>
      <c r="X177" s="718"/>
      <c r="Y177" s="718"/>
      <c r="Z177" s="718"/>
      <c r="AA177" s="718"/>
      <c r="AB177" s="718">
        <v>12</v>
      </c>
      <c r="AC177" s="718">
        <v>0</v>
      </c>
      <c r="AD177" s="718">
        <v>9</v>
      </c>
      <c r="AE177" s="718"/>
      <c r="AF177" s="718"/>
      <c r="AG177" s="718"/>
      <c r="AH177" s="718"/>
      <c r="AI177" s="718"/>
      <c r="AJ177" s="718"/>
      <c r="AK177" s="718"/>
      <c r="AL177" s="718"/>
      <c r="AM177" s="718"/>
      <c r="AN177" s="718"/>
      <c r="AO177" s="718"/>
      <c r="AP177" s="718"/>
      <c r="AQ177" s="718"/>
      <c r="AR177" s="718"/>
      <c r="AS177" s="718"/>
      <c r="AT177" s="718"/>
      <c r="AU177" s="718"/>
      <c r="AV177" s="718"/>
      <c r="AW177" s="718"/>
      <c r="AX177" s="718"/>
      <c r="AY177" s="718"/>
      <c r="AZ177" s="718"/>
      <c r="BA177" s="718"/>
      <c r="BB177" s="718"/>
      <c r="BC177" s="718">
        <v>1</v>
      </c>
      <c r="BD177" s="718">
        <f>IF(BC177=1,H177,0)</f>
        <v>0</v>
      </c>
      <c r="BE177" s="718">
        <f>IF(BC177=2,H177,0)</f>
        <v>0</v>
      </c>
      <c r="BF177" s="718">
        <f>IF(BC177=3,H177,0)</f>
        <v>0</v>
      </c>
      <c r="BG177" s="718">
        <f>IF(BC177=4,H177,0)</f>
        <v>0</v>
      </c>
      <c r="BH177" s="718">
        <f>IF(BC177=5,H177,0)</f>
        <v>0</v>
      </c>
    </row>
    <row r="178" spans="1:21" s="130" customFormat="1" ht="20.25" customHeight="1">
      <c r="A178" s="204"/>
      <c r="B178" s="205" t="s">
        <v>950</v>
      </c>
      <c r="C178" s="205" t="s">
        <v>1054</v>
      </c>
      <c r="D178" s="916"/>
      <c r="E178" s="207">
        <f>(35.4+43.8)*0.8+(1.3+4.5)*0.6-21*1*1</f>
        <v>45.83999999999999</v>
      </c>
      <c r="F178" s="335"/>
      <c r="G178" s="335"/>
      <c r="H178" s="335"/>
      <c r="I178" s="336"/>
      <c r="J178" s="337"/>
      <c r="K178" s="672"/>
      <c r="L178" s="672"/>
      <c r="M178" s="672"/>
      <c r="N178" s="672"/>
      <c r="O178" s="672"/>
      <c r="P178" s="672"/>
      <c r="Q178" s="673"/>
      <c r="R178" s="508"/>
      <c r="S178" s="508"/>
      <c r="T178" s="508"/>
      <c r="U178" s="508"/>
    </row>
    <row r="179" spans="1:21" s="22" customFormat="1" ht="21.75" customHeight="1">
      <c r="A179" s="196" t="s">
        <v>2389</v>
      </c>
      <c r="B179" s="197" t="s">
        <v>2387</v>
      </c>
      <c r="C179" s="199" t="s">
        <v>2388</v>
      </c>
      <c r="D179" s="917" t="s">
        <v>2761</v>
      </c>
      <c r="E179" s="198" t="s">
        <v>1748</v>
      </c>
      <c r="F179" s="332">
        <f>1736+64</f>
        <v>1800</v>
      </c>
      <c r="G179" s="332"/>
      <c r="H179" s="332">
        <f aca="true" t="shared" si="16" ref="H179:H187">F179*G179</f>
        <v>0</v>
      </c>
      <c r="I179" s="333">
        <v>0.023</v>
      </c>
      <c r="J179" s="334">
        <f aca="true" t="shared" si="17" ref="J179:J187">F179*I179</f>
        <v>41.4</v>
      </c>
      <c r="K179" s="693"/>
      <c r="L179" s="693"/>
      <c r="M179" s="693"/>
      <c r="N179" s="693"/>
      <c r="O179" s="693"/>
      <c r="P179" s="693"/>
      <c r="Q179" s="694"/>
      <c r="R179" s="509"/>
      <c r="S179" s="509"/>
      <c r="T179" s="509"/>
      <c r="U179" s="509"/>
    </row>
    <row r="180" spans="1:21" s="22" customFormat="1" ht="21.75" customHeight="1">
      <c r="A180" s="196" t="s">
        <v>2393</v>
      </c>
      <c r="B180" s="197" t="s">
        <v>2394</v>
      </c>
      <c r="C180" s="199" t="s">
        <v>2395</v>
      </c>
      <c r="D180" s="917" t="s">
        <v>2786</v>
      </c>
      <c r="E180" s="198" t="s">
        <v>1709</v>
      </c>
      <c r="F180" s="332">
        <f>SUM(E181:E182)</f>
        <v>15.732</v>
      </c>
      <c r="G180" s="332"/>
      <c r="H180" s="332">
        <f t="shared" si="16"/>
        <v>0</v>
      </c>
      <c r="I180" s="333">
        <v>2.4</v>
      </c>
      <c r="J180" s="334">
        <f t="shared" si="17"/>
        <v>37.7568</v>
      </c>
      <c r="K180" s="693"/>
      <c r="L180" s="693"/>
      <c r="M180" s="693"/>
      <c r="N180" s="693"/>
      <c r="O180" s="693"/>
      <c r="P180" s="693"/>
      <c r="Q180" s="694"/>
      <c r="R180" s="509"/>
      <c r="S180" s="509"/>
      <c r="T180" s="509"/>
      <c r="U180" s="509"/>
    </row>
    <row r="181" spans="1:21" s="130" customFormat="1" ht="28.5" customHeight="1">
      <c r="A181" s="204"/>
      <c r="B181" s="205" t="s">
        <v>1911</v>
      </c>
      <c r="C181" s="206" t="s">
        <v>1106</v>
      </c>
      <c r="D181" s="916"/>
      <c r="E181" s="207">
        <f>(9.3+2+0.9*6+9.4+2+0.9*6+24.5+2+0.9*12)*0.1*1.4+(9.3+9.4+24.5)*1*0.1</f>
        <v>14.232</v>
      </c>
      <c r="F181" s="335"/>
      <c r="G181" s="335"/>
      <c r="H181" s="335"/>
      <c r="I181" s="336"/>
      <c r="J181" s="337"/>
      <c r="K181" s="672"/>
      <c r="L181" s="672"/>
      <c r="M181" s="672"/>
      <c r="N181" s="672"/>
      <c r="O181" s="672"/>
      <c r="P181" s="672"/>
      <c r="Q181" s="673"/>
      <c r="R181" s="508"/>
      <c r="S181" s="508"/>
      <c r="T181" s="508"/>
      <c r="U181" s="508"/>
    </row>
    <row r="182" spans="1:21" s="130" customFormat="1" ht="17.25" customHeight="1">
      <c r="A182" s="204"/>
      <c r="B182" s="205"/>
      <c r="C182" s="206" t="s">
        <v>1107</v>
      </c>
      <c r="D182" s="916"/>
      <c r="E182" s="207">
        <f>2*2.5*0.1*2+2*2.5*0.1</f>
        <v>1.5</v>
      </c>
      <c r="F182" s="335"/>
      <c r="G182" s="335"/>
      <c r="H182" s="335"/>
      <c r="I182" s="336"/>
      <c r="J182" s="337"/>
      <c r="K182" s="672"/>
      <c r="L182" s="672"/>
      <c r="M182" s="672"/>
      <c r="N182" s="672"/>
      <c r="O182" s="672"/>
      <c r="P182" s="672"/>
      <c r="Q182" s="673"/>
      <c r="R182" s="508"/>
      <c r="S182" s="508"/>
      <c r="T182" s="508"/>
      <c r="U182" s="508"/>
    </row>
    <row r="183" spans="1:21" s="22" customFormat="1" ht="21.75" customHeight="1">
      <c r="A183" s="196" t="s">
        <v>2397</v>
      </c>
      <c r="B183" s="197" t="s">
        <v>2406</v>
      </c>
      <c r="C183" s="199" t="s">
        <v>2407</v>
      </c>
      <c r="D183" s="917" t="s">
        <v>2787</v>
      </c>
      <c r="E183" s="198" t="s">
        <v>1826</v>
      </c>
      <c r="F183" s="332">
        <f>1.8*3</f>
        <v>5.4</v>
      </c>
      <c r="G183" s="332"/>
      <c r="H183" s="332">
        <f t="shared" si="16"/>
        <v>0</v>
      </c>
      <c r="I183" s="333">
        <v>0.07</v>
      </c>
      <c r="J183" s="334">
        <f t="shared" si="17"/>
        <v>0.37800000000000006</v>
      </c>
      <c r="K183" s="693"/>
      <c r="L183" s="693"/>
      <c r="M183" s="693"/>
      <c r="N183" s="693"/>
      <c r="O183" s="693"/>
      <c r="P183" s="693"/>
      <c r="Q183" s="694"/>
      <c r="R183" s="509"/>
      <c r="S183" s="509"/>
      <c r="T183" s="509"/>
      <c r="U183" s="509"/>
    </row>
    <row r="184" spans="1:21" s="22" customFormat="1" ht="21.75" customHeight="1">
      <c r="A184" s="196" t="s">
        <v>2401</v>
      </c>
      <c r="B184" s="197" t="s">
        <v>953</v>
      </c>
      <c r="C184" s="199" t="s">
        <v>954</v>
      </c>
      <c r="D184" s="917" t="s">
        <v>2787</v>
      </c>
      <c r="E184" s="198" t="s">
        <v>1709</v>
      </c>
      <c r="F184" s="332">
        <f>SUM(E185:E186)</f>
        <v>0.6973499999999999</v>
      </c>
      <c r="G184" s="332"/>
      <c r="H184" s="332">
        <f t="shared" si="16"/>
        <v>0</v>
      </c>
      <c r="I184" s="333">
        <v>2.2</v>
      </c>
      <c r="J184" s="334">
        <f t="shared" si="17"/>
        <v>1.53417</v>
      </c>
      <c r="K184" s="693"/>
      <c r="L184" s="693"/>
      <c r="M184" s="693"/>
      <c r="N184" s="693"/>
      <c r="O184" s="693"/>
      <c r="P184" s="693"/>
      <c r="Q184" s="694"/>
      <c r="R184" s="509"/>
      <c r="S184" s="509"/>
      <c r="T184" s="509"/>
      <c r="U184" s="509"/>
    </row>
    <row r="185" spans="1:21" s="130" customFormat="1" ht="22.5" customHeight="1">
      <c r="A185" s="204"/>
      <c r="B185" s="205" t="s">
        <v>878</v>
      </c>
      <c r="C185" s="206" t="s">
        <v>955</v>
      </c>
      <c r="D185" s="916"/>
      <c r="E185" s="207">
        <f>(2.86+3.83)*0.095</f>
        <v>0.63555</v>
      </c>
      <c r="F185" s="335"/>
      <c r="G185" s="335"/>
      <c r="H185" s="335"/>
      <c r="I185" s="336"/>
      <c r="J185" s="337"/>
      <c r="K185" s="672"/>
      <c r="L185" s="672"/>
      <c r="M185" s="672"/>
      <c r="N185" s="672"/>
      <c r="O185" s="672"/>
      <c r="P185" s="672"/>
      <c r="Q185" s="673"/>
      <c r="R185" s="508"/>
      <c r="S185" s="508"/>
      <c r="T185" s="508"/>
      <c r="U185" s="508"/>
    </row>
    <row r="186" spans="1:21" s="130" customFormat="1" ht="22.5" customHeight="1">
      <c r="A186" s="204"/>
      <c r="B186" s="205"/>
      <c r="C186" s="206" t="s">
        <v>1108</v>
      </c>
      <c r="D186" s="916"/>
      <c r="E186" s="207">
        <f>1.03*0.1*0.6</f>
        <v>0.0618</v>
      </c>
      <c r="F186" s="335"/>
      <c r="G186" s="335"/>
      <c r="H186" s="335"/>
      <c r="I186" s="336"/>
      <c r="J186" s="337"/>
      <c r="K186" s="672"/>
      <c r="L186" s="672"/>
      <c r="M186" s="672"/>
      <c r="N186" s="672"/>
      <c r="O186" s="672"/>
      <c r="P186" s="672"/>
      <c r="Q186" s="673"/>
      <c r="R186" s="508"/>
      <c r="S186" s="508"/>
      <c r="T186" s="508"/>
      <c r="U186" s="508"/>
    </row>
    <row r="187" spans="1:21" s="22" customFormat="1" ht="21.75" customHeight="1">
      <c r="A187" s="196" t="s">
        <v>2405</v>
      </c>
      <c r="B187" s="197" t="s">
        <v>2477</v>
      </c>
      <c r="C187" s="199" t="s">
        <v>773</v>
      </c>
      <c r="D187" s="917" t="s">
        <v>2787</v>
      </c>
      <c r="E187" s="198" t="s">
        <v>1748</v>
      </c>
      <c r="F187" s="332">
        <f>E188</f>
        <v>8.32</v>
      </c>
      <c r="G187" s="332"/>
      <c r="H187" s="332">
        <f t="shared" si="16"/>
        <v>0</v>
      </c>
      <c r="I187" s="333">
        <v>0.02</v>
      </c>
      <c r="J187" s="334">
        <f t="shared" si="17"/>
        <v>0.16640000000000002</v>
      </c>
      <c r="K187" s="693"/>
      <c r="L187" s="693"/>
      <c r="M187" s="693"/>
      <c r="N187" s="693"/>
      <c r="O187" s="693"/>
      <c r="P187" s="693"/>
      <c r="Q187" s="694"/>
      <c r="R187" s="509"/>
      <c r="S187" s="509"/>
      <c r="T187" s="509"/>
      <c r="U187" s="509"/>
    </row>
    <row r="188" spans="1:21" s="130" customFormat="1" ht="22.5" customHeight="1">
      <c r="A188" s="204"/>
      <c r="B188" s="205"/>
      <c r="C188" s="206" t="s">
        <v>1109</v>
      </c>
      <c r="D188" s="916"/>
      <c r="E188" s="207">
        <f>2.4*0.3+3*0.4*2+5.2</f>
        <v>8.32</v>
      </c>
      <c r="F188" s="335"/>
      <c r="G188" s="335"/>
      <c r="H188" s="335"/>
      <c r="I188" s="336"/>
      <c r="J188" s="337"/>
      <c r="K188" s="672"/>
      <c r="L188" s="672"/>
      <c r="M188" s="672"/>
      <c r="N188" s="672"/>
      <c r="O188" s="672"/>
      <c r="P188" s="672"/>
      <c r="Q188" s="673"/>
      <c r="R188" s="508"/>
      <c r="S188" s="508"/>
      <c r="T188" s="508"/>
      <c r="U188" s="508"/>
    </row>
    <row r="189" spans="1:21" s="22" customFormat="1" ht="21.75" customHeight="1">
      <c r="A189" s="196" t="s">
        <v>2409</v>
      </c>
      <c r="B189" s="197" t="s">
        <v>767</v>
      </c>
      <c r="C189" s="199" t="s">
        <v>768</v>
      </c>
      <c r="D189" s="917" t="s">
        <v>2787</v>
      </c>
      <c r="E189" s="198" t="s">
        <v>1748</v>
      </c>
      <c r="F189" s="332">
        <v>24.6</v>
      </c>
      <c r="G189" s="332"/>
      <c r="H189" s="332">
        <f>F189*G189</f>
        <v>0</v>
      </c>
      <c r="I189" s="333">
        <v>0.225</v>
      </c>
      <c r="J189" s="334">
        <f>F189*I189</f>
        <v>5.535</v>
      </c>
      <c r="K189" s="509"/>
      <c r="L189" s="509"/>
      <c r="M189" s="509"/>
      <c r="N189" s="509"/>
      <c r="O189" s="509"/>
      <c r="P189" s="509"/>
      <c r="Q189" s="509"/>
      <c r="R189" s="509"/>
      <c r="S189" s="509"/>
      <c r="T189" s="509"/>
      <c r="U189" s="509"/>
    </row>
    <row r="190" spans="1:21" s="22" customFormat="1" ht="21.75" customHeight="1">
      <c r="A190" s="196" t="s">
        <v>2412</v>
      </c>
      <c r="B190" s="197" t="s">
        <v>770</v>
      </c>
      <c r="C190" s="199" t="s">
        <v>771</v>
      </c>
      <c r="D190" s="917" t="s">
        <v>2787</v>
      </c>
      <c r="E190" s="198" t="s">
        <v>1826</v>
      </c>
      <c r="F190" s="332">
        <v>25.4</v>
      </c>
      <c r="G190" s="332"/>
      <c r="H190" s="332">
        <f>F190*G190</f>
        <v>0</v>
      </c>
      <c r="I190" s="333">
        <v>0</v>
      </c>
      <c r="J190" s="334">
        <f>F190*I190</f>
        <v>0</v>
      </c>
      <c r="K190" s="509"/>
      <c r="L190" s="509"/>
      <c r="M190" s="509"/>
      <c r="N190" s="509"/>
      <c r="O190" s="509"/>
      <c r="P190" s="509"/>
      <c r="Q190" s="509"/>
      <c r="R190" s="509"/>
      <c r="S190" s="509"/>
      <c r="T190" s="509"/>
      <c r="U190" s="509"/>
    </row>
    <row r="191" spans="1:21" s="22" customFormat="1" ht="21.75" customHeight="1">
      <c r="A191" s="196" t="s">
        <v>2414</v>
      </c>
      <c r="B191" s="197" t="s">
        <v>2415</v>
      </c>
      <c r="C191" s="199" t="s">
        <v>2416</v>
      </c>
      <c r="D191" s="917" t="s">
        <v>2761</v>
      </c>
      <c r="E191" s="198" t="s">
        <v>1831</v>
      </c>
      <c r="F191" s="332">
        <f>E192</f>
        <v>248</v>
      </c>
      <c r="G191" s="332"/>
      <c r="H191" s="332">
        <f>F191*G191</f>
        <v>0</v>
      </c>
      <c r="I191" s="333">
        <v>0</v>
      </c>
      <c r="J191" s="334">
        <f>F191*I191</f>
        <v>0</v>
      </c>
      <c r="K191" s="693"/>
      <c r="L191" s="693"/>
      <c r="M191" s="693"/>
      <c r="N191" s="693"/>
      <c r="O191" s="693"/>
      <c r="P191" s="693"/>
      <c r="Q191" s="694"/>
      <c r="R191" s="509"/>
      <c r="S191" s="509"/>
      <c r="T191" s="509"/>
      <c r="U191" s="509"/>
    </row>
    <row r="192" spans="1:21" s="130" customFormat="1" ht="22.5" customHeight="1">
      <c r="A192" s="204"/>
      <c r="B192" s="205"/>
      <c r="C192" s="206" t="s">
        <v>1110</v>
      </c>
      <c r="D192" s="916"/>
      <c r="E192" s="207">
        <f>12+2+10+4+19+5+1+43+53+53+18+12+3+1+6+2+4</f>
        <v>248</v>
      </c>
      <c r="F192" s="335"/>
      <c r="G192" s="335"/>
      <c r="H192" s="335"/>
      <c r="I192" s="336"/>
      <c r="J192" s="337"/>
      <c r="K192" s="672"/>
      <c r="L192" s="672"/>
      <c r="M192" s="672"/>
      <c r="N192" s="672"/>
      <c r="O192" s="672"/>
      <c r="P192" s="672"/>
      <c r="Q192" s="673"/>
      <c r="R192" s="508"/>
      <c r="S192" s="508"/>
      <c r="T192" s="508"/>
      <c r="U192" s="508"/>
    </row>
    <row r="193" spans="1:21" s="22" customFormat="1" ht="21.75" customHeight="1">
      <c r="A193" s="196" t="s">
        <v>2418</v>
      </c>
      <c r="B193" s="197" t="s">
        <v>2419</v>
      </c>
      <c r="C193" s="199" t="s">
        <v>2420</v>
      </c>
      <c r="D193" s="917" t="s">
        <v>2761</v>
      </c>
      <c r="E193" s="198" t="s">
        <v>1748</v>
      </c>
      <c r="F193" s="332">
        <f>E194</f>
        <v>84.95</v>
      </c>
      <c r="G193" s="332"/>
      <c r="H193" s="332">
        <f>F193*G193</f>
        <v>0</v>
      </c>
      <c r="I193" s="333">
        <v>0.031</v>
      </c>
      <c r="J193" s="334">
        <f>F193*I193</f>
        <v>2.6334500000000003</v>
      </c>
      <c r="K193" s="693"/>
      <c r="L193" s="693"/>
      <c r="M193" s="693"/>
      <c r="N193" s="693"/>
      <c r="O193" s="693"/>
      <c r="P193" s="693"/>
      <c r="Q193" s="694"/>
      <c r="R193" s="509"/>
      <c r="S193" s="509"/>
      <c r="T193" s="509"/>
      <c r="U193" s="509"/>
    </row>
    <row r="194" spans="1:21" s="130" customFormat="1" ht="22.5" customHeight="1">
      <c r="A194" s="204"/>
      <c r="B194" s="205"/>
      <c r="C194" s="206" t="s">
        <v>1111</v>
      </c>
      <c r="D194" s="916"/>
      <c r="E194" s="207">
        <f>0.54+25.65+10.13+0.81+46.44+0.84+0.54</f>
        <v>84.95</v>
      </c>
      <c r="F194" s="335"/>
      <c r="G194" s="335"/>
      <c r="H194" s="335"/>
      <c r="I194" s="336"/>
      <c r="J194" s="337"/>
      <c r="K194" s="672"/>
      <c r="L194" s="672"/>
      <c r="M194" s="672"/>
      <c r="N194" s="672"/>
      <c r="O194" s="672"/>
      <c r="P194" s="672"/>
      <c r="Q194" s="673"/>
      <c r="R194" s="508"/>
      <c r="S194" s="508"/>
      <c r="T194" s="508"/>
      <c r="U194" s="508"/>
    </row>
    <row r="195" spans="1:21" s="22" customFormat="1" ht="21.75" customHeight="1">
      <c r="A195" s="196" t="s">
        <v>2422</v>
      </c>
      <c r="B195" s="197" t="s">
        <v>2423</v>
      </c>
      <c r="C195" s="199" t="s">
        <v>2424</v>
      </c>
      <c r="D195" s="917" t="s">
        <v>2761</v>
      </c>
      <c r="E195" s="198" t="s">
        <v>1748</v>
      </c>
      <c r="F195" s="332">
        <f>E196</f>
        <v>192.96</v>
      </c>
      <c r="G195" s="332"/>
      <c r="H195" s="332">
        <f>F195*G195</f>
        <v>0</v>
      </c>
      <c r="I195" s="333">
        <v>0.027</v>
      </c>
      <c r="J195" s="334">
        <f>F195*I195</f>
        <v>5.20992</v>
      </c>
      <c r="K195" s="693"/>
      <c r="L195" s="693"/>
      <c r="M195" s="693"/>
      <c r="N195" s="693"/>
      <c r="O195" s="693"/>
      <c r="P195" s="693"/>
      <c r="Q195" s="694"/>
      <c r="R195" s="509"/>
      <c r="S195" s="509"/>
      <c r="T195" s="509"/>
      <c r="U195" s="509"/>
    </row>
    <row r="196" spans="1:21" s="130" customFormat="1" ht="22.5" customHeight="1">
      <c r="A196" s="204"/>
      <c r="B196" s="205"/>
      <c r="C196" s="206" t="s">
        <v>1112</v>
      </c>
      <c r="D196" s="916"/>
      <c r="E196" s="207">
        <f>190.8+2.16</f>
        <v>192.96</v>
      </c>
      <c r="F196" s="335"/>
      <c r="G196" s="335"/>
      <c r="H196" s="335"/>
      <c r="I196" s="336"/>
      <c r="J196" s="337"/>
      <c r="K196" s="672"/>
      <c r="L196" s="672"/>
      <c r="M196" s="672"/>
      <c r="N196" s="672"/>
      <c r="O196" s="672"/>
      <c r="P196" s="672"/>
      <c r="Q196" s="673"/>
      <c r="R196" s="508"/>
      <c r="S196" s="508"/>
      <c r="T196" s="508"/>
      <c r="U196" s="508"/>
    </row>
    <row r="197" spans="1:21" s="22" customFormat="1" ht="21.75" customHeight="1">
      <c r="A197" s="196" t="s">
        <v>2426</v>
      </c>
      <c r="B197" s="197" t="s">
        <v>961</v>
      </c>
      <c r="C197" s="199" t="s">
        <v>962</v>
      </c>
      <c r="D197" s="917" t="s">
        <v>2761</v>
      </c>
      <c r="E197" s="198" t="s">
        <v>1748</v>
      </c>
      <c r="F197" s="332">
        <f>E198</f>
        <v>31.139999999999997</v>
      </c>
      <c r="G197" s="332"/>
      <c r="H197" s="332">
        <f>F197*G197</f>
        <v>0</v>
      </c>
      <c r="I197" s="333">
        <v>0.023</v>
      </c>
      <c r="J197" s="334">
        <f>F197*I197</f>
        <v>0.71622</v>
      </c>
      <c r="K197" s="693"/>
      <c r="L197" s="693"/>
      <c r="M197" s="693"/>
      <c r="N197" s="693"/>
      <c r="O197" s="693"/>
      <c r="P197" s="693"/>
      <c r="Q197" s="694"/>
      <c r="R197" s="509"/>
      <c r="S197" s="509"/>
      <c r="T197" s="509"/>
      <c r="U197" s="509"/>
    </row>
    <row r="198" spans="1:21" s="130" customFormat="1" ht="22.5" customHeight="1">
      <c r="A198" s="204"/>
      <c r="B198" s="205"/>
      <c r="C198" s="206" t="s">
        <v>1113</v>
      </c>
      <c r="D198" s="916"/>
      <c r="E198" s="207">
        <f>16.65+10.08+4.41</f>
        <v>31.139999999999997</v>
      </c>
      <c r="F198" s="335"/>
      <c r="G198" s="335"/>
      <c r="H198" s="335"/>
      <c r="I198" s="336"/>
      <c r="J198" s="337"/>
      <c r="K198" s="672"/>
      <c r="L198" s="672"/>
      <c r="M198" s="672"/>
      <c r="N198" s="672"/>
      <c r="O198" s="672"/>
      <c r="P198" s="672"/>
      <c r="Q198" s="673"/>
      <c r="R198" s="508"/>
      <c r="S198" s="508"/>
      <c r="T198" s="508"/>
      <c r="U198" s="508"/>
    </row>
    <row r="199" spans="1:21" s="22" customFormat="1" ht="12.75" customHeight="1">
      <c r="A199" s="196"/>
      <c r="B199" s="197"/>
      <c r="C199" s="199"/>
      <c r="D199" s="917"/>
      <c r="E199" s="198"/>
      <c r="F199" s="332"/>
      <c r="G199" s="332"/>
      <c r="H199" s="332"/>
      <c r="I199" s="333"/>
      <c r="J199" s="334"/>
      <c r="K199" s="693"/>
      <c r="L199" s="693"/>
      <c r="M199" s="693"/>
      <c r="N199" s="693"/>
      <c r="O199" s="693"/>
      <c r="P199" s="693"/>
      <c r="Q199" s="694"/>
      <c r="R199" s="509"/>
      <c r="S199" s="509"/>
      <c r="T199" s="509"/>
      <c r="U199" s="509"/>
    </row>
    <row r="200" spans="1:21" s="22" customFormat="1" ht="21.75" customHeight="1">
      <c r="A200" s="196" t="s">
        <v>2430</v>
      </c>
      <c r="B200" s="197" t="s">
        <v>2439</v>
      </c>
      <c r="C200" s="199" t="s">
        <v>2440</v>
      </c>
      <c r="D200" s="917" t="s">
        <v>2761</v>
      </c>
      <c r="E200" s="198" t="s">
        <v>1718</v>
      </c>
      <c r="F200" s="332">
        <v>6</v>
      </c>
      <c r="G200" s="332"/>
      <c r="H200" s="332">
        <f>F200*G200</f>
        <v>0</v>
      </c>
      <c r="I200" s="333">
        <v>0</v>
      </c>
      <c r="J200" s="334">
        <f>F200*I200</f>
        <v>0</v>
      </c>
      <c r="K200" s="693"/>
      <c r="L200" s="693"/>
      <c r="M200" s="693"/>
      <c r="N200" s="693"/>
      <c r="O200" s="693"/>
      <c r="P200" s="693"/>
      <c r="Q200" s="694"/>
      <c r="R200" s="509"/>
      <c r="S200" s="509"/>
      <c r="T200" s="509"/>
      <c r="U200" s="509"/>
    </row>
    <row r="201" spans="1:21" s="22" customFormat="1" ht="21.75" customHeight="1">
      <c r="A201" s="196" t="s">
        <v>2434</v>
      </c>
      <c r="B201" s="197" t="s">
        <v>2442</v>
      </c>
      <c r="C201" s="199" t="s">
        <v>2443</v>
      </c>
      <c r="D201" s="917" t="s">
        <v>2761</v>
      </c>
      <c r="E201" s="198" t="s">
        <v>1748</v>
      </c>
      <c r="F201" s="332">
        <f>E202</f>
        <v>2.8200000000000003</v>
      </c>
      <c r="G201" s="332"/>
      <c r="H201" s="332">
        <f>F201*G201</f>
        <v>0</v>
      </c>
      <c r="I201" s="333">
        <v>0.088</v>
      </c>
      <c r="J201" s="334">
        <f>F201*I201</f>
        <v>0.24816000000000002</v>
      </c>
      <c r="K201" s="693"/>
      <c r="L201" s="693"/>
      <c r="M201" s="693"/>
      <c r="N201" s="693"/>
      <c r="O201" s="693"/>
      <c r="P201" s="693"/>
      <c r="Q201" s="694"/>
      <c r="R201" s="509"/>
      <c r="S201" s="509"/>
      <c r="T201" s="509"/>
      <c r="U201" s="509"/>
    </row>
    <row r="202" spans="1:21" s="130" customFormat="1" ht="22.5" customHeight="1">
      <c r="A202" s="204"/>
      <c r="B202" s="205"/>
      <c r="C202" s="206" t="s">
        <v>1114</v>
      </c>
      <c r="D202" s="916"/>
      <c r="E202" s="207">
        <f>1.77+1.05</f>
        <v>2.8200000000000003</v>
      </c>
      <c r="F202" s="335"/>
      <c r="G202" s="335"/>
      <c r="H202" s="335"/>
      <c r="I202" s="336"/>
      <c r="J202" s="337"/>
      <c r="K202" s="672"/>
      <c r="L202" s="672"/>
      <c r="M202" s="672"/>
      <c r="N202" s="672"/>
      <c r="O202" s="672"/>
      <c r="P202" s="672"/>
      <c r="Q202" s="673"/>
      <c r="R202" s="508"/>
      <c r="S202" s="508"/>
      <c r="T202" s="508"/>
      <c r="U202" s="508"/>
    </row>
    <row r="203" spans="1:21" s="22" customFormat="1" ht="21.75" customHeight="1">
      <c r="A203" s="196" t="s">
        <v>2438</v>
      </c>
      <c r="B203" s="197" t="s">
        <v>2445</v>
      </c>
      <c r="C203" s="199" t="s">
        <v>2446</v>
      </c>
      <c r="D203" s="917" t="s">
        <v>2761</v>
      </c>
      <c r="E203" s="198" t="s">
        <v>1748</v>
      </c>
      <c r="F203" s="332">
        <f>E204</f>
        <v>10.370000000000001</v>
      </c>
      <c r="G203" s="332"/>
      <c r="H203" s="332">
        <f>F203*G203</f>
        <v>0</v>
      </c>
      <c r="I203" s="333">
        <v>0.067</v>
      </c>
      <c r="J203" s="334">
        <f>F203*I203</f>
        <v>0.6947900000000001</v>
      </c>
      <c r="K203" s="693"/>
      <c r="L203" s="693"/>
      <c r="M203" s="693"/>
      <c r="N203" s="693"/>
      <c r="O203" s="693"/>
      <c r="P203" s="693"/>
      <c r="Q203" s="694"/>
      <c r="R203" s="509"/>
      <c r="S203" s="509"/>
      <c r="T203" s="509"/>
      <c r="U203" s="509"/>
    </row>
    <row r="204" spans="1:21" s="130" customFormat="1" ht="22.5" customHeight="1">
      <c r="A204" s="204"/>
      <c r="B204" s="205"/>
      <c r="C204" s="206" t="s">
        <v>1115</v>
      </c>
      <c r="D204" s="916"/>
      <c r="E204" s="207">
        <f>4.41+5.96</f>
        <v>10.370000000000001</v>
      </c>
      <c r="F204" s="335"/>
      <c r="G204" s="335"/>
      <c r="H204" s="335"/>
      <c r="I204" s="336"/>
      <c r="J204" s="337"/>
      <c r="K204" s="672"/>
      <c r="L204" s="672"/>
      <c r="M204" s="672"/>
      <c r="N204" s="672"/>
      <c r="O204" s="672"/>
      <c r="P204" s="672"/>
      <c r="Q204" s="673"/>
      <c r="R204" s="508"/>
      <c r="S204" s="508"/>
      <c r="T204" s="508"/>
      <c r="U204" s="508"/>
    </row>
    <row r="205" spans="1:21" s="22" customFormat="1" ht="12" customHeight="1">
      <c r="A205" s="196"/>
      <c r="B205" s="197"/>
      <c r="C205" s="199"/>
      <c r="D205" s="917"/>
      <c r="E205" s="198"/>
      <c r="F205" s="332"/>
      <c r="G205" s="332"/>
      <c r="H205" s="332"/>
      <c r="I205" s="333"/>
      <c r="J205" s="334"/>
      <c r="K205" s="693"/>
      <c r="L205" s="693"/>
      <c r="M205" s="693"/>
      <c r="N205" s="693"/>
      <c r="O205" s="693"/>
      <c r="P205" s="693"/>
      <c r="Q205" s="694"/>
      <c r="R205" s="509"/>
      <c r="S205" s="509"/>
      <c r="T205" s="509"/>
      <c r="U205" s="509"/>
    </row>
    <row r="206" spans="1:21" s="22" customFormat="1" ht="27" customHeight="1">
      <c r="A206" s="196" t="s">
        <v>2441</v>
      </c>
      <c r="B206" s="197" t="s">
        <v>2449</v>
      </c>
      <c r="C206" s="199" t="s">
        <v>2450</v>
      </c>
      <c r="D206" s="917" t="s">
        <v>2761</v>
      </c>
      <c r="E206" s="198" t="s">
        <v>1748</v>
      </c>
      <c r="F206" s="332">
        <f>E207</f>
        <v>13.14</v>
      </c>
      <c r="G206" s="332"/>
      <c r="H206" s="332">
        <f>F206*G206</f>
        <v>0</v>
      </c>
      <c r="I206" s="333">
        <v>0.065</v>
      </c>
      <c r="J206" s="334">
        <f>F206*I206</f>
        <v>0.8541000000000001</v>
      </c>
      <c r="K206" s="693"/>
      <c r="L206" s="693"/>
      <c r="M206" s="693"/>
      <c r="N206" s="693"/>
      <c r="O206" s="693"/>
      <c r="P206" s="693"/>
      <c r="Q206" s="694"/>
      <c r="R206" s="509"/>
      <c r="S206" s="509"/>
      <c r="T206" s="509"/>
      <c r="U206" s="509"/>
    </row>
    <row r="207" spans="1:21" s="130" customFormat="1" ht="22.5" customHeight="1">
      <c r="A207" s="204"/>
      <c r="B207" s="205"/>
      <c r="C207" s="206" t="s">
        <v>1116</v>
      </c>
      <c r="D207" s="916"/>
      <c r="E207" s="207">
        <f>3.24+2.7+1.44+5.76</f>
        <v>13.14</v>
      </c>
      <c r="F207" s="335"/>
      <c r="G207" s="335"/>
      <c r="H207" s="335"/>
      <c r="I207" s="336"/>
      <c r="J207" s="337"/>
      <c r="K207" s="672"/>
      <c r="L207" s="672"/>
      <c r="M207" s="672"/>
      <c r="N207" s="672"/>
      <c r="O207" s="672"/>
      <c r="P207" s="672"/>
      <c r="Q207" s="673"/>
      <c r="R207" s="508"/>
      <c r="S207" s="508"/>
      <c r="T207" s="508"/>
      <c r="U207" s="508"/>
    </row>
    <row r="208" spans="1:21" s="22" customFormat="1" ht="21.75" customHeight="1">
      <c r="A208" s="196" t="s">
        <v>2444</v>
      </c>
      <c r="B208" s="197" t="s">
        <v>2466</v>
      </c>
      <c r="C208" s="199" t="s">
        <v>2467</v>
      </c>
      <c r="D208" s="917" t="s">
        <v>2794</v>
      </c>
      <c r="E208" s="198" t="s">
        <v>1709</v>
      </c>
      <c r="F208" s="332">
        <v>2.35</v>
      </c>
      <c r="G208" s="332"/>
      <c r="H208" s="332">
        <f aca="true" t="shared" si="18" ref="H208:H220">F208*G208</f>
        <v>0</v>
      </c>
      <c r="I208" s="333">
        <v>1.671</v>
      </c>
      <c r="J208" s="334">
        <f aca="true" t="shared" si="19" ref="J208:J220">F208*I208</f>
        <v>3.9268500000000004</v>
      </c>
      <c r="K208" s="509"/>
      <c r="L208" s="509"/>
      <c r="M208" s="509"/>
      <c r="N208" s="509"/>
      <c r="O208" s="509"/>
      <c r="P208" s="509"/>
      <c r="Q208" s="509"/>
      <c r="R208" s="509"/>
      <c r="S208" s="509"/>
      <c r="T208" s="509"/>
      <c r="U208" s="509"/>
    </row>
    <row r="209" spans="1:21" s="22" customFormat="1" ht="21.75" customHeight="1">
      <c r="A209" s="196" t="s">
        <v>2448</v>
      </c>
      <c r="B209" s="197" t="s">
        <v>975</v>
      </c>
      <c r="C209" s="199" t="s">
        <v>976</v>
      </c>
      <c r="D209" s="917" t="s">
        <v>2761</v>
      </c>
      <c r="E209" s="198" t="s">
        <v>1826</v>
      </c>
      <c r="F209" s="332">
        <v>14.7</v>
      </c>
      <c r="G209" s="332"/>
      <c r="H209" s="332">
        <f t="shared" si="18"/>
        <v>0</v>
      </c>
      <c r="I209" s="333">
        <v>0.037</v>
      </c>
      <c r="J209" s="334">
        <f t="shared" si="19"/>
        <v>0.5438999999999999</v>
      </c>
      <c r="K209" s="509"/>
      <c r="L209" s="509"/>
      <c r="M209" s="509"/>
      <c r="N209" s="509"/>
      <c r="O209" s="509"/>
      <c r="P209" s="509"/>
      <c r="Q209" s="509"/>
      <c r="R209" s="509"/>
      <c r="S209" s="509"/>
      <c r="T209" s="509"/>
      <c r="U209" s="509"/>
    </row>
    <row r="210" spans="1:21" s="22" customFormat="1" ht="21.75" customHeight="1">
      <c r="A210" s="196" t="s">
        <v>2452</v>
      </c>
      <c r="B210" s="197" t="s">
        <v>2483</v>
      </c>
      <c r="C210" s="199" t="s">
        <v>2484</v>
      </c>
      <c r="D210" s="917" t="s">
        <v>2761</v>
      </c>
      <c r="E210" s="198" t="s">
        <v>1831</v>
      </c>
      <c r="F210" s="332">
        <v>4</v>
      </c>
      <c r="G210" s="332"/>
      <c r="H210" s="332">
        <f t="shared" si="18"/>
        <v>0</v>
      </c>
      <c r="I210" s="333">
        <v>0.037</v>
      </c>
      <c r="J210" s="334">
        <f t="shared" si="19"/>
        <v>0.148</v>
      </c>
      <c r="K210" s="509"/>
      <c r="L210" s="509"/>
      <c r="M210" s="509"/>
      <c r="N210" s="509"/>
      <c r="O210" s="509"/>
      <c r="P210" s="509"/>
      <c r="Q210" s="509"/>
      <c r="R210" s="509"/>
      <c r="S210" s="509"/>
      <c r="T210" s="509"/>
      <c r="U210" s="509"/>
    </row>
    <row r="211" spans="1:21" s="22" customFormat="1" ht="21.75" customHeight="1">
      <c r="A211" s="196" t="s">
        <v>2455</v>
      </c>
      <c r="B211" s="197" t="s">
        <v>2490</v>
      </c>
      <c r="C211" s="199" t="s">
        <v>2491</v>
      </c>
      <c r="D211" s="917" t="s">
        <v>2761</v>
      </c>
      <c r="E211" s="198" t="s">
        <v>1826</v>
      </c>
      <c r="F211" s="332">
        <v>212.2</v>
      </c>
      <c r="G211" s="332"/>
      <c r="H211" s="332">
        <f t="shared" si="18"/>
        <v>0</v>
      </c>
      <c r="I211" s="333">
        <v>0.00135</v>
      </c>
      <c r="J211" s="334">
        <f t="shared" si="19"/>
        <v>0.28647</v>
      </c>
      <c r="K211" s="509"/>
      <c r="L211" s="509"/>
      <c r="M211" s="509"/>
      <c r="N211" s="509"/>
      <c r="O211" s="509"/>
      <c r="P211" s="509"/>
      <c r="Q211" s="509"/>
      <c r="R211" s="509"/>
      <c r="S211" s="509"/>
      <c r="T211" s="509"/>
      <c r="U211" s="509"/>
    </row>
    <row r="212" spans="1:21" s="22" customFormat="1" ht="21.75" customHeight="1">
      <c r="A212" s="196" t="s">
        <v>2465</v>
      </c>
      <c r="B212" s="197" t="s">
        <v>2493</v>
      </c>
      <c r="C212" s="199" t="s">
        <v>2494</v>
      </c>
      <c r="D212" s="917" t="s">
        <v>2761</v>
      </c>
      <c r="E212" s="198" t="s">
        <v>1826</v>
      </c>
      <c r="F212" s="332">
        <f>125.6+119.6+6</f>
        <v>251.2</v>
      </c>
      <c r="G212" s="332"/>
      <c r="H212" s="332">
        <f t="shared" si="18"/>
        <v>0</v>
      </c>
      <c r="I212" s="333">
        <v>0.00175</v>
      </c>
      <c r="J212" s="334">
        <f t="shared" si="19"/>
        <v>0.4396</v>
      </c>
      <c r="K212" s="509"/>
      <c r="L212" s="509"/>
      <c r="M212" s="509"/>
      <c r="N212" s="509"/>
      <c r="O212" s="509"/>
      <c r="P212" s="509"/>
      <c r="Q212" s="509"/>
      <c r="R212" s="509"/>
      <c r="S212" s="509"/>
      <c r="T212" s="509"/>
      <c r="U212" s="509"/>
    </row>
    <row r="213" spans="1:21" s="22" customFormat="1" ht="21.75" customHeight="1">
      <c r="A213" s="196" t="s">
        <v>2468</v>
      </c>
      <c r="B213" s="197" t="s">
        <v>2496</v>
      </c>
      <c r="C213" s="199" t="s">
        <v>2497</v>
      </c>
      <c r="D213" s="917" t="s">
        <v>2761</v>
      </c>
      <c r="E213" s="198" t="s">
        <v>1826</v>
      </c>
      <c r="F213" s="332">
        <v>683.4</v>
      </c>
      <c r="G213" s="332"/>
      <c r="H213" s="332">
        <f t="shared" si="18"/>
        <v>0</v>
      </c>
      <c r="I213" s="333">
        <v>0.00395</v>
      </c>
      <c r="J213" s="334">
        <f t="shared" si="19"/>
        <v>2.69943</v>
      </c>
      <c r="K213" s="509"/>
      <c r="L213" s="509"/>
      <c r="M213" s="509"/>
      <c r="N213" s="509"/>
      <c r="O213" s="509"/>
      <c r="P213" s="509"/>
      <c r="Q213" s="509"/>
      <c r="R213" s="509"/>
      <c r="S213" s="509"/>
      <c r="T213" s="509"/>
      <c r="U213" s="509"/>
    </row>
    <row r="214" spans="1:21" s="22" customFormat="1" ht="21.75" customHeight="1">
      <c r="A214" s="196" t="s">
        <v>2473</v>
      </c>
      <c r="B214" s="197" t="s">
        <v>2499</v>
      </c>
      <c r="C214" s="199" t="s">
        <v>2500</v>
      </c>
      <c r="D214" s="917" t="s">
        <v>2761</v>
      </c>
      <c r="E214" s="198" t="s">
        <v>1826</v>
      </c>
      <c r="F214" s="332">
        <v>16.7</v>
      </c>
      <c r="G214" s="332"/>
      <c r="H214" s="332">
        <f t="shared" si="18"/>
        <v>0</v>
      </c>
      <c r="I214" s="333">
        <v>0.0023</v>
      </c>
      <c r="J214" s="334">
        <f t="shared" si="19"/>
        <v>0.03841</v>
      </c>
      <c r="K214" s="509"/>
      <c r="L214" s="509"/>
      <c r="M214" s="509"/>
      <c r="N214" s="509"/>
      <c r="O214" s="509"/>
      <c r="P214" s="509"/>
      <c r="Q214" s="509"/>
      <c r="R214" s="509"/>
      <c r="S214" s="509"/>
      <c r="T214" s="509"/>
      <c r="U214" s="509"/>
    </row>
    <row r="215" spans="1:21" s="22" customFormat="1" ht="21.75" customHeight="1">
      <c r="A215" s="196" t="s">
        <v>2476</v>
      </c>
      <c r="B215" s="197" t="s">
        <v>782</v>
      </c>
      <c r="C215" s="199" t="s">
        <v>783</v>
      </c>
      <c r="D215" s="917" t="s">
        <v>2761</v>
      </c>
      <c r="E215" s="198" t="s">
        <v>1826</v>
      </c>
      <c r="F215" s="332">
        <v>93.5</v>
      </c>
      <c r="G215" s="332"/>
      <c r="H215" s="332">
        <f t="shared" si="18"/>
        <v>0</v>
      </c>
      <c r="I215" s="333">
        <v>0.00392</v>
      </c>
      <c r="J215" s="334">
        <f t="shared" si="19"/>
        <v>0.36652</v>
      </c>
      <c r="K215" s="693"/>
      <c r="L215" s="693"/>
      <c r="M215" s="693"/>
      <c r="N215" s="693"/>
      <c r="O215" s="693"/>
      <c r="P215" s="693"/>
      <c r="Q215" s="694"/>
      <c r="R215" s="509"/>
      <c r="S215" s="509"/>
      <c r="T215" s="509"/>
      <c r="U215" s="509"/>
    </row>
    <row r="216" spans="1:21" s="22" customFormat="1" ht="21.75" customHeight="1">
      <c r="A216" s="196" t="s">
        <v>2482</v>
      </c>
      <c r="B216" s="197" t="s">
        <v>2508</v>
      </c>
      <c r="C216" s="199" t="s">
        <v>2509</v>
      </c>
      <c r="D216" s="917" t="s">
        <v>2761</v>
      </c>
      <c r="E216" s="198" t="s">
        <v>1826</v>
      </c>
      <c r="F216" s="332">
        <v>391.5</v>
      </c>
      <c r="G216" s="332"/>
      <c r="H216" s="332">
        <f t="shared" si="18"/>
        <v>0</v>
      </c>
      <c r="I216" s="333">
        <v>0.00324</v>
      </c>
      <c r="J216" s="334">
        <f t="shared" si="19"/>
        <v>1.26846</v>
      </c>
      <c r="K216" s="693"/>
      <c r="L216" s="693"/>
      <c r="M216" s="693"/>
      <c r="N216" s="693"/>
      <c r="O216" s="693"/>
      <c r="P216" s="693"/>
      <c r="Q216" s="694"/>
      <c r="R216" s="509"/>
      <c r="S216" s="509"/>
      <c r="T216" s="509"/>
      <c r="U216" s="509"/>
    </row>
    <row r="217" spans="1:21" s="22" customFormat="1" ht="21.75" customHeight="1">
      <c r="A217" s="196" t="s">
        <v>2485</v>
      </c>
      <c r="B217" s="197" t="s">
        <v>2511</v>
      </c>
      <c r="C217" s="199" t="s">
        <v>2512</v>
      </c>
      <c r="D217" s="917" t="s">
        <v>2795</v>
      </c>
      <c r="E217" s="198" t="s">
        <v>2513</v>
      </c>
      <c r="F217" s="332">
        <v>54.5</v>
      </c>
      <c r="G217" s="332"/>
      <c r="H217" s="332">
        <f t="shared" si="18"/>
        <v>0</v>
      </c>
      <c r="I217" s="333">
        <v>0.00285</v>
      </c>
      <c r="J217" s="334">
        <f t="shared" si="19"/>
        <v>0.15532500000000002</v>
      </c>
      <c r="K217" s="693"/>
      <c r="L217" s="693"/>
      <c r="M217" s="693"/>
      <c r="N217" s="693"/>
      <c r="O217" s="693"/>
      <c r="P217" s="693"/>
      <c r="Q217" s="694"/>
      <c r="R217" s="509"/>
      <c r="S217" s="509"/>
      <c r="T217" s="509"/>
      <c r="U217" s="509"/>
    </row>
    <row r="218" spans="1:21" s="22" customFormat="1" ht="21.75" customHeight="1">
      <c r="A218" s="196" t="s">
        <v>2489</v>
      </c>
      <c r="B218" s="197" t="s">
        <v>2515</v>
      </c>
      <c r="C218" s="199" t="s">
        <v>2516</v>
      </c>
      <c r="D218" s="917" t="s">
        <v>2795</v>
      </c>
      <c r="E218" s="198" t="s">
        <v>1831</v>
      </c>
      <c r="F218" s="332">
        <v>6</v>
      </c>
      <c r="G218" s="332"/>
      <c r="H218" s="332">
        <f t="shared" si="18"/>
        <v>0</v>
      </c>
      <c r="I218" s="333">
        <v>0.03522</v>
      </c>
      <c r="J218" s="334">
        <f t="shared" si="19"/>
        <v>0.21132</v>
      </c>
      <c r="K218" s="509"/>
      <c r="L218" s="509"/>
      <c r="M218" s="509"/>
      <c r="N218" s="509"/>
      <c r="O218" s="509"/>
      <c r="P218" s="509"/>
      <c r="Q218" s="509"/>
      <c r="R218" s="509"/>
      <c r="S218" s="509"/>
      <c r="T218" s="509"/>
      <c r="U218" s="509"/>
    </row>
    <row r="219" spans="1:21" s="22" customFormat="1" ht="18.75" customHeight="1">
      <c r="A219" s="196" t="s">
        <v>2492</v>
      </c>
      <c r="B219" s="197" t="s">
        <v>2523</v>
      </c>
      <c r="C219" s="199" t="s">
        <v>2524</v>
      </c>
      <c r="D219" s="917" t="s">
        <v>2525</v>
      </c>
      <c r="E219" s="198" t="s">
        <v>1831</v>
      </c>
      <c r="F219" s="332">
        <v>18</v>
      </c>
      <c r="G219" s="332"/>
      <c r="H219" s="332">
        <f t="shared" si="18"/>
        <v>0</v>
      </c>
      <c r="I219" s="333">
        <v>0.00463</v>
      </c>
      <c r="J219" s="334">
        <f t="shared" si="19"/>
        <v>0.08334</v>
      </c>
      <c r="K219" s="509"/>
      <c r="L219" s="509"/>
      <c r="M219" s="509"/>
      <c r="N219" s="509"/>
      <c r="O219" s="509"/>
      <c r="P219" s="509"/>
      <c r="Q219" s="509"/>
      <c r="R219" s="509"/>
      <c r="S219" s="509"/>
      <c r="T219" s="509"/>
      <c r="U219" s="509"/>
    </row>
    <row r="220" spans="1:21" s="22" customFormat="1" ht="21.75" customHeight="1">
      <c r="A220" s="196" t="s">
        <v>2495</v>
      </c>
      <c r="B220" s="197" t="s">
        <v>2518</v>
      </c>
      <c r="C220" s="199" t="s">
        <v>2519</v>
      </c>
      <c r="D220" s="917" t="s">
        <v>2795</v>
      </c>
      <c r="E220" s="198" t="s">
        <v>1748</v>
      </c>
      <c r="F220" s="332">
        <f>E221</f>
        <v>773.3</v>
      </c>
      <c r="G220" s="332"/>
      <c r="H220" s="332">
        <f t="shared" si="18"/>
        <v>0</v>
      </c>
      <c r="I220" s="333">
        <v>0.00732</v>
      </c>
      <c r="J220" s="334">
        <f t="shared" si="19"/>
        <v>5.660556</v>
      </c>
      <c r="K220" s="509"/>
      <c r="L220" s="509"/>
      <c r="M220" s="509"/>
      <c r="N220" s="509"/>
      <c r="O220" s="509"/>
      <c r="P220" s="509"/>
      <c r="Q220" s="509"/>
      <c r="R220" s="509"/>
      <c r="S220" s="509"/>
      <c r="T220" s="509"/>
      <c r="U220" s="509"/>
    </row>
    <row r="221" spans="1:21" s="130" customFormat="1" ht="21.75" customHeight="1">
      <c r="A221" s="204"/>
      <c r="B221" s="205"/>
      <c r="C221" s="206" t="s">
        <v>1117</v>
      </c>
      <c r="D221" s="916"/>
      <c r="E221" s="207">
        <f>709.3+64</f>
        <v>773.3</v>
      </c>
      <c r="F221" s="335"/>
      <c r="G221" s="335"/>
      <c r="H221" s="335"/>
      <c r="I221" s="336"/>
      <c r="J221" s="337"/>
      <c r="K221" s="508"/>
      <c r="L221" s="508"/>
      <c r="M221" s="508"/>
      <c r="N221" s="508"/>
      <c r="O221" s="508"/>
      <c r="P221" s="508"/>
      <c r="Q221" s="508"/>
      <c r="R221" s="508"/>
      <c r="S221" s="508"/>
      <c r="T221" s="508"/>
      <c r="U221" s="508"/>
    </row>
    <row r="222" spans="1:21" s="22" customFormat="1" ht="20.25" customHeight="1">
      <c r="A222" s="196" t="s">
        <v>2498</v>
      </c>
      <c r="B222" s="197" t="s">
        <v>2474</v>
      </c>
      <c r="C222" s="199" t="s">
        <v>2475</v>
      </c>
      <c r="D222" s="917" t="s">
        <v>2791</v>
      </c>
      <c r="E222" s="198" t="s">
        <v>1748</v>
      </c>
      <c r="F222" s="332">
        <f>SUM(E223)</f>
        <v>628.6</v>
      </c>
      <c r="G222" s="332"/>
      <c r="H222" s="332">
        <f>F222*G222</f>
        <v>0</v>
      </c>
      <c r="I222" s="333">
        <v>0.045</v>
      </c>
      <c r="J222" s="334">
        <f>F222*I222</f>
        <v>28.287</v>
      </c>
      <c r="K222" s="509"/>
      <c r="L222" s="509"/>
      <c r="M222" s="509"/>
      <c r="N222" s="509"/>
      <c r="O222" s="509"/>
      <c r="P222" s="509"/>
      <c r="Q222" s="509"/>
      <c r="R222" s="509"/>
      <c r="S222" s="509"/>
      <c r="T222" s="509"/>
      <c r="U222" s="509"/>
    </row>
    <row r="223" spans="1:21" s="130" customFormat="1" ht="18.75" customHeight="1">
      <c r="A223" s="204"/>
      <c r="B223" s="205"/>
      <c r="C223" s="206" t="s">
        <v>1065</v>
      </c>
      <c r="D223" s="916"/>
      <c r="E223" s="207">
        <v>628.6</v>
      </c>
      <c r="F223" s="335"/>
      <c r="G223" s="335"/>
      <c r="H223" s="335"/>
      <c r="I223" s="336"/>
      <c r="J223" s="337"/>
      <c r="K223" s="672"/>
      <c r="L223" s="672"/>
      <c r="M223" s="672"/>
      <c r="N223" s="672"/>
      <c r="O223" s="672"/>
      <c r="P223" s="672"/>
      <c r="Q223" s="673"/>
      <c r="R223" s="508"/>
      <c r="S223" s="672"/>
      <c r="T223" s="508"/>
      <c r="U223" s="508"/>
    </row>
    <row r="224" spans="1:21" s="22" customFormat="1" ht="21.75" customHeight="1">
      <c r="A224" s="196" t="s">
        <v>2501</v>
      </c>
      <c r="B224" s="197" t="s">
        <v>2527</v>
      </c>
      <c r="C224" s="199" t="s">
        <v>2528</v>
      </c>
      <c r="D224" s="917"/>
      <c r="E224" s="198" t="s">
        <v>1783</v>
      </c>
      <c r="F224" s="332">
        <f>F225*0.8</f>
        <v>118.6074488</v>
      </c>
      <c r="G224" s="332"/>
      <c r="H224" s="332">
        <f aca="true" t="shared" si="20" ref="H224:H232">F224*G224</f>
        <v>0</v>
      </c>
      <c r="I224" s="333">
        <v>0</v>
      </c>
      <c r="J224" s="334"/>
      <c r="K224" s="509"/>
      <c r="L224" s="509"/>
      <c r="M224" s="509"/>
      <c r="N224" s="509"/>
      <c r="O224" s="509"/>
      <c r="P224" s="509"/>
      <c r="Q224" s="509"/>
      <c r="R224" s="509"/>
      <c r="S224" s="509"/>
      <c r="T224" s="509"/>
      <c r="U224" s="509"/>
    </row>
    <row r="225" spans="1:21" s="22" customFormat="1" ht="21.75" customHeight="1">
      <c r="A225" s="196" t="s">
        <v>2504</v>
      </c>
      <c r="B225" s="197" t="s">
        <v>2530</v>
      </c>
      <c r="C225" s="199" t="s">
        <v>2531</v>
      </c>
      <c r="D225" s="917"/>
      <c r="E225" s="198" t="s">
        <v>1783</v>
      </c>
      <c r="F225" s="332">
        <f>J170</f>
        <v>148.259311</v>
      </c>
      <c r="G225" s="332"/>
      <c r="H225" s="332">
        <f t="shared" si="20"/>
        <v>0</v>
      </c>
      <c r="I225" s="333">
        <v>0</v>
      </c>
      <c r="J225" s="334"/>
      <c r="K225" s="509"/>
      <c r="L225" s="509"/>
      <c r="M225" s="509"/>
      <c r="N225" s="509"/>
      <c r="O225" s="509"/>
      <c r="P225" s="509"/>
      <c r="Q225" s="509"/>
      <c r="R225" s="509"/>
      <c r="S225" s="509"/>
      <c r="T225" s="509"/>
      <c r="U225" s="509"/>
    </row>
    <row r="226" spans="1:21" s="22" customFormat="1" ht="21.75" customHeight="1">
      <c r="A226" s="196" t="s">
        <v>2507</v>
      </c>
      <c r="B226" s="197" t="s">
        <v>2533</v>
      </c>
      <c r="C226" s="199" t="s">
        <v>2534</v>
      </c>
      <c r="D226" s="917"/>
      <c r="E226" s="198" t="s">
        <v>1783</v>
      </c>
      <c r="F226" s="332">
        <f>F225</f>
        <v>148.259311</v>
      </c>
      <c r="G226" s="332"/>
      <c r="H226" s="332">
        <f t="shared" si="20"/>
        <v>0</v>
      </c>
      <c r="I226" s="333">
        <v>0</v>
      </c>
      <c r="J226" s="334"/>
      <c r="K226" s="509"/>
      <c r="L226" s="509"/>
      <c r="M226" s="509"/>
      <c r="N226" s="509"/>
      <c r="O226" s="509"/>
      <c r="P226" s="509"/>
      <c r="Q226" s="509"/>
      <c r="R226" s="509"/>
      <c r="S226" s="509"/>
      <c r="T226" s="509"/>
      <c r="U226" s="509"/>
    </row>
    <row r="227" spans="1:21" s="22" customFormat="1" ht="21.75" customHeight="1">
      <c r="A227" s="196" t="s">
        <v>2510</v>
      </c>
      <c r="B227" s="197" t="s">
        <v>2536</v>
      </c>
      <c r="C227" s="199" t="s">
        <v>2537</v>
      </c>
      <c r="D227" s="917"/>
      <c r="E227" s="198" t="s">
        <v>1783</v>
      </c>
      <c r="F227" s="332">
        <f>F225</f>
        <v>148.259311</v>
      </c>
      <c r="G227" s="332"/>
      <c r="H227" s="332">
        <f t="shared" si="20"/>
        <v>0</v>
      </c>
      <c r="I227" s="333">
        <v>0</v>
      </c>
      <c r="J227" s="334"/>
      <c r="K227" s="509"/>
      <c r="L227" s="509"/>
      <c r="M227" s="509"/>
      <c r="N227" s="509"/>
      <c r="O227" s="509"/>
      <c r="P227" s="509"/>
      <c r="Q227" s="509"/>
      <c r="R227" s="509"/>
      <c r="S227" s="509"/>
      <c r="T227" s="509"/>
      <c r="U227" s="509"/>
    </row>
    <row r="228" spans="1:21" s="22" customFormat="1" ht="21.75" customHeight="1">
      <c r="A228" s="196" t="s">
        <v>2514</v>
      </c>
      <c r="B228" s="197" t="s">
        <v>2539</v>
      </c>
      <c r="C228" s="199" t="s">
        <v>2540</v>
      </c>
      <c r="D228" s="917"/>
      <c r="E228" s="198" t="s">
        <v>1783</v>
      </c>
      <c r="F228" s="332">
        <f>F225*14</f>
        <v>2075.630354</v>
      </c>
      <c r="G228" s="332"/>
      <c r="H228" s="332">
        <f t="shared" si="20"/>
        <v>0</v>
      </c>
      <c r="I228" s="333">
        <v>0</v>
      </c>
      <c r="J228" s="334"/>
      <c r="K228" s="509"/>
      <c r="L228" s="509"/>
      <c r="M228" s="509"/>
      <c r="N228" s="509"/>
      <c r="O228" s="509"/>
      <c r="P228" s="509"/>
      <c r="Q228" s="509"/>
      <c r="R228" s="509"/>
      <c r="S228" s="509"/>
      <c r="T228" s="509"/>
      <c r="U228" s="509"/>
    </row>
    <row r="229" spans="1:21" s="22" customFormat="1" ht="21.75" customHeight="1">
      <c r="A229" s="196" t="s">
        <v>2517</v>
      </c>
      <c r="B229" s="197" t="s">
        <v>2542</v>
      </c>
      <c r="C229" s="199" t="s">
        <v>2543</v>
      </c>
      <c r="D229" s="917"/>
      <c r="E229" s="198" t="s">
        <v>1783</v>
      </c>
      <c r="F229" s="332">
        <f>F226-F230-F231+F232</f>
        <v>126.00134</v>
      </c>
      <c r="G229" s="332"/>
      <c r="H229" s="332">
        <f t="shared" si="20"/>
        <v>0</v>
      </c>
      <c r="I229" s="333">
        <v>0</v>
      </c>
      <c r="J229" s="334"/>
      <c r="K229" s="693"/>
      <c r="L229" s="693"/>
      <c r="M229" s="693"/>
      <c r="N229" s="693"/>
      <c r="O229" s="693"/>
      <c r="P229" s="693"/>
      <c r="Q229" s="694"/>
      <c r="R229" s="509"/>
      <c r="S229" s="509"/>
      <c r="T229" s="509"/>
      <c r="U229" s="509"/>
    </row>
    <row r="230" spans="1:21" s="22" customFormat="1" ht="21.75" customHeight="1">
      <c r="A230" s="854" t="s">
        <v>2522</v>
      </c>
      <c r="B230" s="855" t="s">
        <v>2545</v>
      </c>
      <c r="C230" s="856" t="s">
        <v>2546</v>
      </c>
      <c r="D230" s="975"/>
      <c r="E230" s="857" t="s">
        <v>1783</v>
      </c>
      <c r="F230" s="858">
        <f>0</f>
        <v>0</v>
      </c>
      <c r="G230" s="858"/>
      <c r="H230" s="858">
        <f t="shared" si="20"/>
        <v>0</v>
      </c>
      <c r="I230" s="859">
        <v>0</v>
      </c>
      <c r="J230" s="860"/>
      <c r="K230" s="509"/>
      <c r="L230" s="509"/>
      <c r="M230" s="509"/>
      <c r="N230" s="509"/>
      <c r="O230" s="509"/>
      <c r="P230" s="509"/>
      <c r="Q230" s="509"/>
      <c r="R230" s="509"/>
      <c r="S230" s="509"/>
      <c r="T230" s="509"/>
      <c r="U230" s="509"/>
    </row>
    <row r="231" spans="1:10" s="847" customFormat="1" ht="21.75" customHeight="1">
      <c r="A231" s="868" t="s">
        <v>2526</v>
      </c>
      <c r="B231" s="869" t="s">
        <v>2743</v>
      </c>
      <c r="C231" s="870" t="s">
        <v>2744</v>
      </c>
      <c r="D231" s="990"/>
      <c r="E231" s="871" t="s">
        <v>1783</v>
      </c>
      <c r="F231" s="872">
        <f>J193+J195+J197+J201+J203+J206*0.5</f>
        <v>9.92959</v>
      </c>
      <c r="G231" s="872"/>
      <c r="H231" s="872">
        <f t="shared" si="20"/>
        <v>0</v>
      </c>
      <c r="I231" s="873"/>
      <c r="J231" s="874"/>
    </row>
    <row r="232" spans="1:10" s="847" customFormat="1" ht="21.75" customHeight="1">
      <c r="A232" s="868" t="s">
        <v>2529</v>
      </c>
      <c r="B232" s="862" t="s">
        <v>2745</v>
      </c>
      <c r="C232" s="863" t="s">
        <v>2746</v>
      </c>
      <c r="D232" s="976"/>
      <c r="E232" s="864" t="s">
        <v>1783</v>
      </c>
      <c r="F232" s="865">
        <f>(J206*0.5+J209+J210+J211+J212+J213+J214+J215+J216+J217+J218+J219+J220)*-1</f>
        <v>-12.328381</v>
      </c>
      <c r="G232" s="865"/>
      <c r="H232" s="865">
        <f t="shared" si="20"/>
        <v>0</v>
      </c>
      <c r="I232" s="866"/>
      <c r="J232" s="867"/>
    </row>
    <row r="233" spans="1:20" s="22" customFormat="1" ht="14.25" customHeight="1" thickBot="1">
      <c r="A233" s="255"/>
      <c r="B233" s="256"/>
      <c r="C233" s="264"/>
      <c r="D233" s="968"/>
      <c r="E233" s="257"/>
      <c r="F233" s="368"/>
      <c r="G233" s="368"/>
      <c r="H233" s="368"/>
      <c r="I233" s="369"/>
      <c r="J233" s="370"/>
      <c r="K233" s="509"/>
      <c r="L233" s="509"/>
      <c r="M233" s="509"/>
      <c r="N233" s="509"/>
      <c r="O233" s="509"/>
      <c r="P233" s="509"/>
      <c r="Q233" s="509"/>
      <c r="R233" s="509"/>
      <c r="S233" s="509"/>
      <c r="T233" s="509"/>
    </row>
    <row r="234" spans="1:21" ht="16.5" customHeight="1" thickBot="1">
      <c r="A234" s="266" t="s">
        <v>2547</v>
      </c>
      <c r="B234" s="175" t="s">
        <v>2548</v>
      </c>
      <c r="C234" s="176" t="s">
        <v>2549</v>
      </c>
      <c r="D234" s="1008"/>
      <c r="E234" s="175"/>
      <c r="F234" s="341"/>
      <c r="G234" s="341"/>
      <c r="H234" s="342">
        <f>SUM(H235:H259)</f>
        <v>0</v>
      </c>
      <c r="I234" s="343"/>
      <c r="J234" s="344">
        <f>SUM(J235:J258)</f>
        <v>0.4638176599999998</v>
      </c>
      <c r="K234" s="670"/>
      <c r="L234" s="670"/>
      <c r="M234" s="670"/>
      <c r="N234" s="670"/>
      <c r="O234" s="670"/>
      <c r="P234" s="670"/>
      <c r="Q234" s="670"/>
      <c r="R234" s="670"/>
      <c r="S234" s="670"/>
      <c r="T234" s="670"/>
      <c r="U234" s="670"/>
    </row>
    <row r="235" spans="1:21" s="22" customFormat="1" ht="29.25" customHeight="1">
      <c r="A235" s="190" t="s">
        <v>2550</v>
      </c>
      <c r="B235" s="191" t="s">
        <v>2551</v>
      </c>
      <c r="C235" s="265" t="s">
        <v>2552</v>
      </c>
      <c r="D235" s="964" t="s">
        <v>2786</v>
      </c>
      <c r="E235" s="192" t="s">
        <v>1748</v>
      </c>
      <c r="F235" s="345">
        <f>SUM(E236)</f>
        <v>45.83999999999999</v>
      </c>
      <c r="G235" s="345"/>
      <c r="H235" s="345">
        <f>F235*G235</f>
        <v>0</v>
      </c>
      <c r="I235" s="346">
        <v>0.00052</v>
      </c>
      <c r="J235" s="347">
        <f>F235*I235</f>
        <v>0.02383679999999999</v>
      </c>
      <c r="K235" s="509"/>
      <c r="L235" s="509"/>
      <c r="M235" s="509"/>
      <c r="N235" s="509"/>
      <c r="O235" s="509"/>
      <c r="P235" s="509"/>
      <c r="Q235" s="509"/>
      <c r="R235" s="509"/>
      <c r="S235" s="509"/>
      <c r="T235" s="509"/>
      <c r="U235" s="509"/>
    </row>
    <row r="236" spans="1:21" s="130" customFormat="1" ht="20.25" customHeight="1">
      <c r="A236" s="204"/>
      <c r="B236" s="224" t="s">
        <v>1749</v>
      </c>
      <c r="C236" s="205" t="s">
        <v>1054</v>
      </c>
      <c r="D236" s="916"/>
      <c r="E236" s="207">
        <f>(35.4+43.8)*0.8+(1.3+4.5)*0.6-21*1*1</f>
        <v>45.83999999999999</v>
      </c>
      <c r="F236" s="335"/>
      <c r="G236" s="335"/>
      <c r="H236" s="335"/>
      <c r="I236" s="336"/>
      <c r="J236" s="337"/>
      <c r="K236" s="672"/>
      <c r="L236" s="672"/>
      <c r="M236" s="672"/>
      <c r="N236" s="672"/>
      <c r="O236" s="672"/>
      <c r="P236" s="672"/>
      <c r="Q236" s="673"/>
      <c r="R236" s="508"/>
      <c r="S236" s="508"/>
      <c r="T236" s="508"/>
      <c r="U236" s="508"/>
    </row>
    <row r="237" spans="1:21" s="22" customFormat="1" ht="22.5" customHeight="1">
      <c r="A237" s="196" t="s">
        <v>2554</v>
      </c>
      <c r="B237" s="197" t="s">
        <v>2555</v>
      </c>
      <c r="C237" s="199" t="s">
        <v>2556</v>
      </c>
      <c r="D237" s="917" t="s">
        <v>2786</v>
      </c>
      <c r="E237" s="198" t="s">
        <v>1748</v>
      </c>
      <c r="F237" s="332">
        <f>E238</f>
        <v>45.83999999999999</v>
      </c>
      <c r="G237" s="332"/>
      <c r="H237" s="332">
        <f>F237*G237</f>
        <v>0</v>
      </c>
      <c r="I237" s="333">
        <v>0.00058</v>
      </c>
      <c r="J237" s="334">
        <f>F237*I237</f>
        <v>0.026587199999999995</v>
      </c>
      <c r="K237" s="693"/>
      <c r="L237" s="693"/>
      <c r="M237" s="693"/>
      <c r="N237" s="693"/>
      <c r="O237" s="693"/>
      <c r="P237" s="693"/>
      <c r="Q237" s="694"/>
      <c r="R237" s="509"/>
      <c r="S237" s="509"/>
      <c r="T237" s="509"/>
      <c r="U237" s="509"/>
    </row>
    <row r="238" spans="1:21" s="130" customFormat="1" ht="20.25" customHeight="1">
      <c r="A238" s="204"/>
      <c r="B238" s="224" t="s">
        <v>1749</v>
      </c>
      <c r="C238" s="205" t="s">
        <v>1054</v>
      </c>
      <c r="D238" s="916"/>
      <c r="E238" s="1198">
        <f>(35.4+43.8)*0.8+(1.3+4.5)*0.6-21*1*1</f>
        <v>45.83999999999999</v>
      </c>
      <c r="F238" s="335"/>
      <c r="G238" s="335"/>
      <c r="H238" s="335"/>
      <c r="I238" s="336"/>
      <c r="J238" s="337"/>
      <c r="K238" s="672"/>
      <c r="L238" s="672"/>
      <c r="M238" s="672"/>
      <c r="N238" s="672"/>
      <c r="O238" s="672"/>
      <c r="P238" s="672"/>
      <c r="Q238" s="673"/>
      <c r="R238" s="508"/>
      <c r="S238" s="508"/>
      <c r="T238" s="508"/>
      <c r="U238" s="508"/>
    </row>
    <row r="239" spans="1:21" s="22" customFormat="1" ht="22.5" customHeight="1">
      <c r="A239" s="196" t="s">
        <v>2557</v>
      </c>
      <c r="B239" s="197" t="s">
        <v>2558</v>
      </c>
      <c r="C239" s="199" t="s">
        <v>2559</v>
      </c>
      <c r="D239" s="1177" t="s">
        <v>2786</v>
      </c>
      <c r="E239" s="198" t="s">
        <v>1748</v>
      </c>
      <c r="F239" s="1028">
        <f>E240</f>
        <v>70.21439999999998</v>
      </c>
      <c r="G239" s="332"/>
      <c r="H239" s="332">
        <f>F239*G239</f>
        <v>0</v>
      </c>
      <c r="I239" s="333">
        <v>0.0045</v>
      </c>
      <c r="J239" s="334">
        <f>F239*I239</f>
        <v>0.3159647999999999</v>
      </c>
      <c r="K239" s="693"/>
      <c r="L239" s="693"/>
      <c r="M239" s="693"/>
      <c r="N239" s="693"/>
      <c r="O239" s="693"/>
      <c r="P239" s="693"/>
      <c r="Q239" s="694"/>
      <c r="R239" s="509"/>
      <c r="S239" s="509"/>
      <c r="T239" s="509"/>
      <c r="U239" s="509"/>
    </row>
    <row r="240" spans="1:21" s="130" customFormat="1" ht="20.25" customHeight="1">
      <c r="A240" s="204"/>
      <c r="B240" s="224" t="s">
        <v>1749</v>
      </c>
      <c r="C240" s="205" t="s">
        <v>2852</v>
      </c>
      <c r="D240" s="1176"/>
      <c r="E240" s="1051">
        <f>((35.4+43.8)*0.8*1.2+(1.3+4.5)*0.6-21*1*1)*1.2</f>
        <v>70.21439999999998</v>
      </c>
      <c r="F240" s="335"/>
      <c r="G240" s="335"/>
      <c r="H240" s="335"/>
      <c r="I240" s="336"/>
      <c r="J240" s="337"/>
      <c r="K240" s="672"/>
      <c r="L240" s="672"/>
      <c r="M240" s="672"/>
      <c r="N240" s="672"/>
      <c r="O240" s="672"/>
      <c r="P240" s="672"/>
      <c r="Q240" s="673"/>
      <c r="R240" s="508"/>
      <c r="S240" s="508"/>
      <c r="T240" s="508"/>
      <c r="U240" s="508"/>
    </row>
    <row r="241" spans="1:21" s="22" customFormat="1" ht="13.5" customHeight="1">
      <c r="A241" s="196"/>
      <c r="B241" s="197"/>
      <c r="C241" s="199"/>
      <c r="D241" s="917"/>
      <c r="E241" s="198"/>
      <c r="F241" s="332"/>
      <c r="G241" s="332"/>
      <c r="H241" s="332"/>
      <c r="I241" s="333"/>
      <c r="J241" s="334"/>
      <c r="K241" s="693"/>
      <c r="L241" s="693"/>
      <c r="M241" s="693"/>
      <c r="N241" s="693"/>
      <c r="O241" s="693"/>
      <c r="P241" s="693"/>
      <c r="Q241" s="694"/>
      <c r="R241" s="509"/>
      <c r="S241" s="509"/>
      <c r="T241" s="509"/>
      <c r="U241" s="509"/>
    </row>
    <row r="242" spans="1:21" s="22" customFormat="1" ht="26.25" customHeight="1">
      <c r="A242" s="196" t="s">
        <v>2560</v>
      </c>
      <c r="B242" s="197" t="s">
        <v>978</v>
      </c>
      <c r="C242" s="199" t="s">
        <v>979</v>
      </c>
      <c r="D242" s="917" t="s">
        <v>2786</v>
      </c>
      <c r="E242" s="198" t="s">
        <v>1748</v>
      </c>
      <c r="F242" s="332">
        <f>SUM(E243:E243)</f>
        <v>6.259</v>
      </c>
      <c r="G242" s="332"/>
      <c r="H242" s="332">
        <f>F242*G242</f>
        <v>0</v>
      </c>
      <c r="I242" s="333">
        <v>0.00017</v>
      </c>
      <c r="J242" s="334">
        <f>F242*I242</f>
        <v>0.00106403</v>
      </c>
      <c r="K242" s="693"/>
      <c r="L242" s="693"/>
      <c r="M242" s="693"/>
      <c r="N242" s="693"/>
      <c r="O242" s="693"/>
      <c r="P242" s="693"/>
      <c r="Q242" s="694"/>
      <c r="R242" s="509"/>
      <c r="S242" s="509"/>
      <c r="T242" s="509"/>
      <c r="U242" s="509"/>
    </row>
    <row r="243" spans="1:21" s="130" customFormat="1" ht="22.5" customHeight="1">
      <c r="A243" s="204"/>
      <c r="B243" s="205" t="s">
        <v>878</v>
      </c>
      <c r="C243" s="206" t="s">
        <v>980</v>
      </c>
      <c r="D243" s="916"/>
      <c r="E243" s="207">
        <f>(2.36+3.33)*1.1</f>
        <v>6.259</v>
      </c>
      <c r="F243" s="335"/>
      <c r="G243" s="335"/>
      <c r="H243" s="335"/>
      <c r="I243" s="336"/>
      <c r="J243" s="337"/>
      <c r="K243" s="672"/>
      <c r="L243" s="672"/>
      <c r="M243" s="672"/>
      <c r="N243" s="672"/>
      <c r="O243" s="672"/>
      <c r="P243" s="672"/>
      <c r="Q243" s="673"/>
      <c r="R243" s="508"/>
      <c r="S243" s="508"/>
      <c r="T243" s="508"/>
      <c r="U243" s="508"/>
    </row>
    <row r="244" spans="1:21" s="22" customFormat="1" ht="15" customHeight="1">
      <c r="A244" s="196"/>
      <c r="B244" s="197"/>
      <c r="C244" s="199"/>
      <c r="D244" s="917"/>
      <c r="E244" s="198"/>
      <c r="F244" s="332"/>
      <c r="G244" s="332"/>
      <c r="H244" s="332"/>
      <c r="I244" s="333"/>
      <c r="J244" s="334"/>
      <c r="K244" s="693"/>
      <c r="L244" s="693"/>
      <c r="M244" s="693"/>
      <c r="N244" s="693"/>
      <c r="O244" s="693"/>
      <c r="P244" s="693"/>
      <c r="Q244" s="694"/>
      <c r="R244" s="509"/>
      <c r="S244" s="509"/>
      <c r="T244" s="509"/>
      <c r="U244" s="509"/>
    </row>
    <row r="245" spans="1:21" s="22" customFormat="1" ht="22.5" customHeight="1">
      <c r="A245" s="196" t="s">
        <v>2563</v>
      </c>
      <c r="B245" s="197" t="s">
        <v>982</v>
      </c>
      <c r="C245" s="199" t="s">
        <v>983</v>
      </c>
      <c r="D245" s="917" t="s">
        <v>2786</v>
      </c>
      <c r="E245" s="198" t="s">
        <v>1748</v>
      </c>
      <c r="F245" s="332">
        <f>SUM(E246:E246)</f>
        <v>6.259</v>
      </c>
      <c r="G245" s="332"/>
      <c r="H245" s="332">
        <f>F245*G245</f>
        <v>0</v>
      </c>
      <c r="I245" s="333">
        <v>0.00041</v>
      </c>
      <c r="J245" s="334">
        <f>F245*I245</f>
        <v>0.00256619</v>
      </c>
      <c r="K245" s="693"/>
      <c r="L245" s="693"/>
      <c r="M245" s="693"/>
      <c r="N245" s="693"/>
      <c r="O245" s="693"/>
      <c r="P245" s="693"/>
      <c r="Q245" s="694"/>
      <c r="R245" s="509"/>
      <c r="S245" s="509"/>
      <c r="T245" s="509"/>
      <c r="U245" s="509"/>
    </row>
    <row r="246" spans="1:21" s="130" customFormat="1" ht="22.5" customHeight="1">
      <c r="A246" s="204"/>
      <c r="B246" s="205" t="s">
        <v>878</v>
      </c>
      <c r="C246" s="206" t="s">
        <v>980</v>
      </c>
      <c r="D246" s="916"/>
      <c r="E246" s="207">
        <f>(2.36+3.33)*1.1</f>
        <v>6.259</v>
      </c>
      <c r="F246" s="335"/>
      <c r="G246" s="335"/>
      <c r="H246" s="335"/>
      <c r="I246" s="336"/>
      <c r="J246" s="337"/>
      <c r="K246" s="672"/>
      <c r="L246" s="672"/>
      <c r="M246" s="672"/>
      <c r="N246" s="672"/>
      <c r="O246" s="672"/>
      <c r="P246" s="672"/>
      <c r="Q246" s="673"/>
      <c r="R246" s="508"/>
      <c r="S246" s="508"/>
      <c r="T246" s="508"/>
      <c r="U246" s="508"/>
    </row>
    <row r="247" spans="1:21" s="22" customFormat="1" ht="22.5" customHeight="1">
      <c r="A247" s="196" t="s">
        <v>2566</v>
      </c>
      <c r="B247" s="197" t="s">
        <v>2619</v>
      </c>
      <c r="C247" s="199" t="s">
        <v>984</v>
      </c>
      <c r="D247" s="1177" t="s">
        <v>2786</v>
      </c>
      <c r="E247" s="198" t="s">
        <v>1748</v>
      </c>
      <c r="F247" s="1028">
        <f>SUM(E248:E248)</f>
        <v>7.112499999999999</v>
      </c>
      <c r="G247" s="332"/>
      <c r="H247" s="332">
        <f>F247*G247</f>
        <v>0</v>
      </c>
      <c r="I247" s="333">
        <v>0.004</v>
      </c>
      <c r="J247" s="334">
        <f>F247*I247</f>
        <v>0.028449999999999996</v>
      </c>
      <c r="K247" s="693"/>
      <c r="L247" s="693"/>
      <c r="M247" s="693"/>
      <c r="N247" s="693"/>
      <c r="O247" s="693"/>
      <c r="P247" s="693"/>
      <c r="Q247" s="694"/>
      <c r="R247" s="509"/>
      <c r="S247" s="509"/>
      <c r="T247" s="509"/>
      <c r="U247" s="509"/>
    </row>
    <row r="248" spans="1:21" s="130" customFormat="1" ht="22.5" customHeight="1">
      <c r="A248" s="204"/>
      <c r="B248" s="205" t="s">
        <v>878</v>
      </c>
      <c r="C248" s="206" t="s">
        <v>2857</v>
      </c>
      <c r="D248" s="1176"/>
      <c r="E248" s="1051">
        <f>(2.36+3.33)*1.25</f>
        <v>7.112499999999999</v>
      </c>
      <c r="F248" s="335"/>
      <c r="G248" s="335"/>
      <c r="H248" s="335"/>
      <c r="I248" s="336"/>
      <c r="J248" s="337"/>
      <c r="K248" s="672"/>
      <c r="L248" s="672"/>
      <c r="M248" s="672"/>
      <c r="N248" s="672"/>
      <c r="O248" s="672"/>
      <c r="P248" s="672"/>
      <c r="Q248" s="673"/>
      <c r="R248" s="508"/>
      <c r="S248" s="508"/>
      <c r="T248" s="508"/>
      <c r="U248" s="508"/>
    </row>
    <row r="249" spans="1:20" s="1034" customFormat="1" ht="22.5" customHeight="1">
      <c r="A249" s="1023" t="s">
        <v>2861</v>
      </c>
      <c r="B249" s="1024" t="s">
        <v>2859</v>
      </c>
      <c r="C249" s="1025" t="s">
        <v>2860</v>
      </c>
      <c r="D249" s="1109"/>
      <c r="E249" s="1027" t="s">
        <v>1748</v>
      </c>
      <c r="F249" s="1028">
        <f>F250</f>
        <v>6.259</v>
      </c>
      <c r="G249" s="1028"/>
      <c r="H249" s="1028">
        <f>F249*G249</f>
        <v>0</v>
      </c>
      <c r="I249" s="1029">
        <v>0.00021</v>
      </c>
      <c r="J249" s="1090">
        <f>F249*I249</f>
        <v>0.0013143900000000001</v>
      </c>
      <c r="K249" s="1033"/>
      <c r="L249" s="1033"/>
      <c r="M249" s="1033"/>
      <c r="N249" s="1033"/>
      <c r="O249" s="1033"/>
      <c r="P249" s="1033"/>
      <c r="Q249" s="1033"/>
      <c r="R249" s="1033"/>
      <c r="S249" s="1033"/>
      <c r="T249" s="1033"/>
    </row>
    <row r="250" spans="1:21" s="22" customFormat="1" ht="27.75" customHeight="1">
      <c r="A250" s="196" t="s">
        <v>2569</v>
      </c>
      <c r="B250" s="197" t="s">
        <v>2570</v>
      </c>
      <c r="C250" s="199" t="s">
        <v>2571</v>
      </c>
      <c r="D250" s="917" t="s">
        <v>2786</v>
      </c>
      <c r="E250" s="198" t="s">
        <v>1748</v>
      </c>
      <c r="F250" s="332">
        <f>SUM(E251:E251)</f>
        <v>6.259</v>
      </c>
      <c r="G250" s="332"/>
      <c r="H250" s="332">
        <f>F250*G250</f>
        <v>0</v>
      </c>
      <c r="I250" s="333">
        <v>0.003</v>
      </c>
      <c r="J250" s="334">
        <f>F250*I250</f>
        <v>0.018777000000000002</v>
      </c>
      <c r="K250" s="693"/>
      <c r="L250" s="693"/>
      <c r="M250" s="693"/>
      <c r="N250" s="693"/>
      <c r="O250" s="693"/>
      <c r="P250" s="693"/>
      <c r="Q250" s="694"/>
      <c r="R250" s="509"/>
      <c r="S250" s="509"/>
      <c r="T250" s="509"/>
      <c r="U250" s="509"/>
    </row>
    <row r="251" spans="1:21" s="130" customFormat="1" ht="22.5" customHeight="1">
      <c r="A251" s="204"/>
      <c r="B251" s="205" t="s">
        <v>878</v>
      </c>
      <c r="C251" s="206" t="s">
        <v>980</v>
      </c>
      <c r="D251" s="916"/>
      <c r="E251" s="207">
        <f>(2.36+3.33)*1.1</f>
        <v>6.259</v>
      </c>
      <c r="F251" s="335"/>
      <c r="G251" s="335"/>
      <c r="H251" s="335"/>
      <c r="I251" s="336"/>
      <c r="J251" s="337"/>
      <c r="K251" s="672"/>
      <c r="L251" s="672"/>
      <c r="M251" s="672"/>
      <c r="N251" s="672"/>
      <c r="O251" s="672"/>
      <c r="P251" s="672"/>
      <c r="Q251" s="673"/>
      <c r="R251" s="508"/>
      <c r="S251" s="508"/>
      <c r="T251" s="508"/>
      <c r="U251" s="508"/>
    </row>
    <row r="252" spans="1:21" s="22" customFormat="1" ht="30" customHeight="1">
      <c r="A252" s="196" t="s">
        <v>2573</v>
      </c>
      <c r="B252" s="197" t="s">
        <v>1720</v>
      </c>
      <c r="C252" s="199" t="s">
        <v>2574</v>
      </c>
      <c r="D252" s="917" t="s">
        <v>2786</v>
      </c>
      <c r="E252" s="198" t="s">
        <v>1748</v>
      </c>
      <c r="F252" s="332">
        <f>SUM(E253:E253)</f>
        <v>6.259</v>
      </c>
      <c r="G252" s="332"/>
      <c r="H252" s="332">
        <f>F252*G252</f>
        <v>0</v>
      </c>
      <c r="I252" s="333">
        <v>0.003</v>
      </c>
      <c r="J252" s="334">
        <f>F252*I252</f>
        <v>0.018777000000000002</v>
      </c>
      <c r="K252" s="693"/>
      <c r="L252" s="693"/>
      <c r="M252" s="693"/>
      <c r="N252" s="693"/>
      <c r="O252" s="693"/>
      <c r="P252" s="693"/>
      <c r="Q252" s="694"/>
      <c r="R252" s="509"/>
      <c r="S252" s="509"/>
      <c r="T252" s="509"/>
      <c r="U252" s="509"/>
    </row>
    <row r="253" spans="1:21" s="130" customFormat="1" ht="22.5" customHeight="1">
      <c r="A253" s="204"/>
      <c r="B253" s="205" t="s">
        <v>878</v>
      </c>
      <c r="C253" s="206" t="s">
        <v>980</v>
      </c>
      <c r="D253" s="916"/>
      <c r="E253" s="207">
        <f>(2.36+3.33)*1.1</f>
        <v>6.259</v>
      </c>
      <c r="F253" s="335"/>
      <c r="G253" s="335"/>
      <c r="H253" s="335"/>
      <c r="I253" s="336"/>
      <c r="J253" s="337"/>
      <c r="K253" s="672"/>
      <c r="L253" s="672"/>
      <c r="M253" s="672"/>
      <c r="N253" s="672"/>
      <c r="O253" s="672"/>
      <c r="P253" s="672"/>
      <c r="Q253" s="673"/>
      <c r="R253" s="508"/>
      <c r="S253" s="508"/>
      <c r="T253" s="508"/>
      <c r="U253" s="508"/>
    </row>
    <row r="254" spans="1:21" s="22" customFormat="1" ht="22.5" customHeight="1">
      <c r="A254" s="196" t="s">
        <v>2575</v>
      </c>
      <c r="B254" s="197" t="s">
        <v>2576</v>
      </c>
      <c r="C254" s="199" t="s">
        <v>2577</v>
      </c>
      <c r="D254" s="917" t="s">
        <v>2786</v>
      </c>
      <c r="E254" s="198" t="s">
        <v>1826</v>
      </c>
      <c r="F254" s="332">
        <v>8.4</v>
      </c>
      <c r="G254" s="332"/>
      <c r="H254" s="332">
        <f>F254*G254</f>
        <v>0</v>
      </c>
      <c r="I254" s="333">
        <v>0.003</v>
      </c>
      <c r="J254" s="334">
        <f>F254*I254</f>
        <v>0.0252</v>
      </c>
      <c r="K254" s="693"/>
      <c r="L254" s="693"/>
      <c r="M254" s="693"/>
      <c r="N254" s="693"/>
      <c r="O254" s="693"/>
      <c r="P254" s="693"/>
      <c r="Q254" s="694"/>
      <c r="R254" s="509"/>
      <c r="S254" s="509"/>
      <c r="T254" s="509"/>
      <c r="U254" s="509"/>
    </row>
    <row r="255" spans="1:21" s="22" customFormat="1" ht="22.5" customHeight="1">
      <c r="A255" s="196" t="s">
        <v>2578</v>
      </c>
      <c r="B255" s="197" t="s">
        <v>2579</v>
      </c>
      <c r="C255" s="199" t="s">
        <v>2580</v>
      </c>
      <c r="D255" s="917" t="s">
        <v>2786</v>
      </c>
      <c r="E255" s="198" t="s">
        <v>1748</v>
      </c>
      <c r="F255" s="332">
        <f>SUM(E256:E256)</f>
        <v>6.259</v>
      </c>
      <c r="G255" s="332"/>
      <c r="H255" s="332">
        <f>F255*G255</f>
        <v>0</v>
      </c>
      <c r="I255" s="333">
        <v>0</v>
      </c>
      <c r="J255" s="334">
        <f>F255*I255</f>
        <v>0</v>
      </c>
      <c r="K255" s="693"/>
      <c r="L255" s="693"/>
      <c r="M255" s="693"/>
      <c r="N255" s="693"/>
      <c r="O255" s="693"/>
      <c r="P255" s="693"/>
      <c r="Q255" s="694"/>
      <c r="R255" s="509"/>
      <c r="S255" s="509"/>
      <c r="T255" s="509"/>
      <c r="U255" s="509"/>
    </row>
    <row r="256" spans="1:21" s="130" customFormat="1" ht="22.5" customHeight="1">
      <c r="A256" s="204"/>
      <c r="B256" s="205" t="s">
        <v>878</v>
      </c>
      <c r="C256" s="206" t="s">
        <v>980</v>
      </c>
      <c r="D256" s="916"/>
      <c r="E256" s="207">
        <f>(2.36+3.33)*1.1</f>
        <v>6.259</v>
      </c>
      <c r="F256" s="335"/>
      <c r="G256" s="335"/>
      <c r="H256" s="335"/>
      <c r="I256" s="336"/>
      <c r="J256" s="337"/>
      <c r="K256" s="672"/>
      <c r="L256" s="672"/>
      <c r="M256" s="672"/>
      <c r="N256" s="672"/>
      <c r="O256" s="672"/>
      <c r="P256" s="672"/>
      <c r="Q256" s="673"/>
      <c r="R256" s="508"/>
      <c r="S256" s="508"/>
      <c r="T256" s="508"/>
      <c r="U256" s="508"/>
    </row>
    <row r="257" spans="1:21" s="22" customFormat="1" ht="17.25" customHeight="1">
      <c r="A257" s="196" t="s">
        <v>2581</v>
      </c>
      <c r="B257" s="197" t="s">
        <v>2582</v>
      </c>
      <c r="C257" s="199" t="s">
        <v>2583</v>
      </c>
      <c r="D257" s="1177" t="s">
        <v>2786</v>
      </c>
      <c r="E257" s="198" t="s">
        <v>1748</v>
      </c>
      <c r="F257" s="1028">
        <f>SUM(E258:E258)</f>
        <v>7.112499999999999</v>
      </c>
      <c r="G257" s="332"/>
      <c r="H257" s="332">
        <f>F257*G257</f>
        <v>0</v>
      </c>
      <c r="I257" s="333">
        <v>0.00018</v>
      </c>
      <c r="J257" s="334">
        <f>F257*I257</f>
        <v>0.00128025</v>
      </c>
      <c r="K257" s="693"/>
      <c r="L257" s="693"/>
      <c r="M257" s="693"/>
      <c r="N257" s="693"/>
      <c r="O257" s="693"/>
      <c r="P257" s="693"/>
      <c r="Q257" s="694"/>
      <c r="R257" s="509"/>
      <c r="S257" s="509"/>
      <c r="T257" s="509"/>
      <c r="U257" s="509"/>
    </row>
    <row r="258" spans="1:21" s="130" customFormat="1" ht="22.5" customHeight="1">
      <c r="A258" s="204"/>
      <c r="B258" s="205" t="s">
        <v>878</v>
      </c>
      <c r="C258" s="206" t="s">
        <v>2857</v>
      </c>
      <c r="D258" s="1176"/>
      <c r="E258" s="1051">
        <f>(2.36+3.33)*1.25</f>
        <v>7.112499999999999</v>
      </c>
      <c r="F258" s="335"/>
      <c r="G258" s="335"/>
      <c r="H258" s="335"/>
      <c r="I258" s="336"/>
      <c r="J258" s="337"/>
      <c r="K258" s="672"/>
      <c r="L258" s="672"/>
      <c r="M258" s="672"/>
      <c r="N258" s="672"/>
      <c r="O258" s="672"/>
      <c r="P258" s="672"/>
      <c r="Q258" s="673"/>
      <c r="R258" s="508"/>
      <c r="S258" s="508"/>
      <c r="T258" s="508"/>
      <c r="U258" s="508"/>
    </row>
    <row r="259" spans="1:21" s="22" customFormat="1" ht="22.5" customHeight="1" thickBot="1">
      <c r="A259" s="255" t="s">
        <v>2586</v>
      </c>
      <c r="B259" s="256" t="s">
        <v>2587</v>
      </c>
      <c r="C259" s="264" t="s">
        <v>2588</v>
      </c>
      <c r="D259" s="968"/>
      <c r="E259" s="257" t="s">
        <v>1783</v>
      </c>
      <c r="F259" s="1120">
        <f>J234</f>
        <v>0.4638176599999998</v>
      </c>
      <c r="G259" s="368"/>
      <c r="H259" s="368">
        <f>F259*G259</f>
        <v>0</v>
      </c>
      <c r="I259" s="369">
        <v>0</v>
      </c>
      <c r="J259" s="370"/>
      <c r="K259" s="509"/>
      <c r="L259" s="509"/>
      <c r="M259" s="509"/>
      <c r="N259" s="509"/>
      <c r="O259" s="509"/>
      <c r="P259" s="509"/>
      <c r="Q259" s="509"/>
      <c r="R259" s="509"/>
      <c r="S259" s="509"/>
      <c r="T259" s="509"/>
      <c r="U259" s="509"/>
    </row>
    <row r="260" spans="1:21" ht="16.5" customHeight="1" thickBot="1">
      <c r="A260" s="266" t="s">
        <v>2589</v>
      </c>
      <c r="B260" s="175" t="s">
        <v>2590</v>
      </c>
      <c r="C260" s="176" t="s">
        <v>2591</v>
      </c>
      <c r="D260" s="1006"/>
      <c r="E260" s="175"/>
      <c r="F260" s="341"/>
      <c r="G260" s="341"/>
      <c r="H260" s="342">
        <f>SUM(H261:H276)</f>
        <v>0</v>
      </c>
      <c r="I260" s="343"/>
      <c r="J260" s="344">
        <f>SUM(J261:J274)</f>
        <v>11.842127000000001</v>
      </c>
      <c r="K260" s="670"/>
      <c r="L260" s="670"/>
      <c r="M260" s="670"/>
      <c r="N260" s="670"/>
      <c r="O260" s="670"/>
      <c r="P260" s="670"/>
      <c r="Q260" s="670"/>
      <c r="R260" s="670"/>
      <c r="S260" s="670"/>
      <c r="T260" s="670"/>
      <c r="U260" s="670"/>
    </row>
    <row r="261" spans="1:21" s="22" customFormat="1" ht="30.75" customHeight="1">
      <c r="A261" s="190" t="s">
        <v>2592</v>
      </c>
      <c r="B261" s="191" t="s">
        <v>2593</v>
      </c>
      <c r="C261" s="265" t="s">
        <v>2594</v>
      </c>
      <c r="D261" s="964" t="s">
        <v>2795</v>
      </c>
      <c r="E261" s="192" t="s">
        <v>1748</v>
      </c>
      <c r="F261" s="345">
        <f>E262</f>
        <v>628.6</v>
      </c>
      <c r="G261" s="345"/>
      <c r="H261" s="345">
        <f>F261*G261</f>
        <v>0</v>
      </c>
      <c r="I261" s="346">
        <v>0</v>
      </c>
      <c r="J261" s="347">
        <f>F261*I261</f>
        <v>0</v>
      </c>
      <c r="K261" s="509"/>
      <c r="L261" s="509"/>
      <c r="M261" s="509"/>
      <c r="N261" s="509"/>
      <c r="O261" s="509"/>
      <c r="P261" s="509"/>
      <c r="Q261" s="509"/>
      <c r="R261" s="509"/>
      <c r="S261" s="509"/>
      <c r="T261" s="509"/>
      <c r="U261" s="509"/>
    </row>
    <row r="262" spans="1:21" s="130" customFormat="1" ht="24" customHeight="1">
      <c r="A262" s="204"/>
      <c r="B262" s="205" t="s">
        <v>985</v>
      </c>
      <c r="C262" s="206" t="s">
        <v>1065</v>
      </c>
      <c r="D262" s="916"/>
      <c r="E262" s="207">
        <v>628.6</v>
      </c>
      <c r="F262" s="335"/>
      <c r="G262" s="335"/>
      <c r="H262" s="335"/>
      <c r="I262" s="336"/>
      <c r="J262" s="337"/>
      <c r="K262" s="508"/>
      <c r="L262" s="508"/>
      <c r="M262" s="508"/>
      <c r="N262" s="508"/>
      <c r="O262" s="508"/>
      <c r="P262" s="508"/>
      <c r="Q262" s="508"/>
      <c r="R262" s="508"/>
      <c r="S262" s="508"/>
      <c r="T262" s="508"/>
      <c r="U262" s="508"/>
    </row>
    <row r="263" spans="1:21" s="22" customFormat="1" ht="16.5" customHeight="1">
      <c r="A263" s="196"/>
      <c r="B263" s="197"/>
      <c r="C263" s="199"/>
      <c r="D263" s="917"/>
      <c r="E263" s="198"/>
      <c r="F263" s="332"/>
      <c r="G263" s="332"/>
      <c r="H263" s="332"/>
      <c r="I263" s="333"/>
      <c r="J263" s="334"/>
      <c r="K263" s="693"/>
      <c r="L263" s="693"/>
      <c r="M263" s="693"/>
      <c r="N263" s="693"/>
      <c r="O263" s="693"/>
      <c r="P263" s="693"/>
      <c r="Q263" s="694"/>
      <c r="R263" s="509"/>
      <c r="S263" s="509"/>
      <c r="T263" s="509"/>
      <c r="U263" s="509"/>
    </row>
    <row r="264" spans="1:21" s="22" customFormat="1" ht="29.25" customHeight="1">
      <c r="A264" s="196" t="s">
        <v>2598</v>
      </c>
      <c r="B264" s="197" t="s">
        <v>2599</v>
      </c>
      <c r="C264" s="199" t="s">
        <v>986</v>
      </c>
      <c r="D264" s="917" t="s">
        <v>2795</v>
      </c>
      <c r="E264" s="198" t="s">
        <v>1748</v>
      </c>
      <c r="F264" s="332">
        <f>E265</f>
        <v>773.3</v>
      </c>
      <c r="G264" s="332"/>
      <c r="H264" s="332">
        <f aca="true" t="shared" si="21" ref="H264:H272">F264*G264</f>
        <v>0</v>
      </c>
      <c r="I264" s="333">
        <v>0</v>
      </c>
      <c r="J264" s="334">
        <f aca="true" t="shared" si="22" ref="J264:J272">F264*I264</f>
        <v>0</v>
      </c>
      <c r="K264" s="693"/>
      <c r="L264" s="693"/>
      <c r="M264" s="693"/>
      <c r="N264" s="693"/>
      <c r="O264" s="693"/>
      <c r="P264" s="693"/>
      <c r="Q264" s="694"/>
      <c r="R264" s="509"/>
      <c r="S264" s="509"/>
      <c r="T264" s="509"/>
      <c r="U264" s="509"/>
    </row>
    <row r="265" spans="1:21" s="130" customFormat="1" ht="24" customHeight="1">
      <c r="A265" s="204"/>
      <c r="B265" s="205" t="s">
        <v>987</v>
      </c>
      <c r="C265" s="206" t="s">
        <v>1117</v>
      </c>
      <c r="D265" s="916"/>
      <c r="E265" s="207">
        <f>709.3+64</f>
        <v>773.3</v>
      </c>
      <c r="F265" s="335"/>
      <c r="G265" s="335"/>
      <c r="H265" s="335"/>
      <c r="I265" s="336"/>
      <c r="J265" s="337"/>
      <c r="K265" s="508"/>
      <c r="L265" s="508"/>
      <c r="M265" s="508"/>
      <c r="N265" s="508"/>
      <c r="O265" s="508"/>
      <c r="P265" s="508"/>
      <c r="Q265" s="508"/>
      <c r="R265" s="508"/>
      <c r="S265" s="508"/>
      <c r="T265" s="508"/>
      <c r="U265" s="508"/>
    </row>
    <row r="266" spans="1:21" s="22" customFormat="1" ht="24" customHeight="1">
      <c r="A266" s="196" t="s">
        <v>2601</v>
      </c>
      <c r="B266" s="197" t="s">
        <v>2602</v>
      </c>
      <c r="C266" s="199" t="s">
        <v>2603</v>
      </c>
      <c r="D266" s="917" t="s">
        <v>2795</v>
      </c>
      <c r="E266" s="198" t="s">
        <v>1748</v>
      </c>
      <c r="F266" s="1028">
        <f>E267</f>
        <v>889.2949999999998</v>
      </c>
      <c r="G266" s="332"/>
      <c r="H266" s="332">
        <f t="shared" si="21"/>
        <v>0</v>
      </c>
      <c r="I266" s="333">
        <v>0.0047</v>
      </c>
      <c r="J266" s="334">
        <f t="shared" si="22"/>
        <v>4.1796865</v>
      </c>
      <c r="K266" s="693"/>
      <c r="L266" s="693"/>
      <c r="M266" s="693"/>
      <c r="N266" s="693"/>
      <c r="O266" s="693"/>
      <c r="P266" s="693"/>
      <c r="Q266" s="694"/>
      <c r="R266" s="509"/>
      <c r="S266" s="509"/>
      <c r="T266" s="509"/>
      <c r="U266" s="509"/>
    </row>
    <row r="267" spans="1:21" s="130" customFormat="1" ht="24" customHeight="1">
      <c r="A267" s="204"/>
      <c r="B267" s="205" t="s">
        <v>987</v>
      </c>
      <c r="C267" s="206" t="s">
        <v>2950</v>
      </c>
      <c r="D267" s="916"/>
      <c r="E267" s="1051">
        <f>(709.3+64)*1.15</f>
        <v>889.2949999999998</v>
      </c>
      <c r="F267" s="335"/>
      <c r="G267" s="335"/>
      <c r="H267" s="335"/>
      <c r="I267" s="336"/>
      <c r="J267" s="337"/>
      <c r="K267" s="508"/>
      <c r="L267" s="508"/>
      <c r="M267" s="508"/>
      <c r="N267" s="508"/>
      <c r="O267" s="508"/>
      <c r="P267" s="508"/>
      <c r="Q267" s="508"/>
      <c r="R267" s="508"/>
      <c r="S267" s="508"/>
      <c r="T267" s="508"/>
      <c r="U267" s="508"/>
    </row>
    <row r="268" spans="1:21" s="22" customFormat="1" ht="24" customHeight="1">
      <c r="A268" s="196" t="s">
        <v>2607</v>
      </c>
      <c r="B268" s="197" t="s">
        <v>2611</v>
      </c>
      <c r="C268" s="199" t="s">
        <v>2612</v>
      </c>
      <c r="D268" s="917" t="s">
        <v>2795</v>
      </c>
      <c r="E268" s="198" t="s">
        <v>1748</v>
      </c>
      <c r="F268" s="332">
        <f>E269</f>
        <v>850.63</v>
      </c>
      <c r="G268" s="332"/>
      <c r="H268" s="332">
        <f t="shared" si="21"/>
        <v>0</v>
      </c>
      <c r="I268" s="333">
        <v>0.00035</v>
      </c>
      <c r="J268" s="334">
        <f t="shared" si="22"/>
        <v>0.2977205</v>
      </c>
      <c r="K268" s="693"/>
      <c r="L268" s="693"/>
      <c r="M268" s="693"/>
      <c r="N268" s="693"/>
      <c r="O268" s="693"/>
      <c r="P268" s="693"/>
      <c r="Q268" s="694"/>
      <c r="R268" s="509"/>
      <c r="S268" s="509"/>
      <c r="T268" s="509"/>
      <c r="U268" s="509"/>
    </row>
    <row r="269" spans="1:21" s="130" customFormat="1" ht="24" customHeight="1">
      <c r="A269" s="204"/>
      <c r="B269" s="205" t="s">
        <v>987</v>
      </c>
      <c r="C269" s="206" t="s">
        <v>1118</v>
      </c>
      <c r="D269" s="916"/>
      <c r="E269" s="207">
        <f>(709.3+64)*1.1</f>
        <v>850.63</v>
      </c>
      <c r="F269" s="335"/>
      <c r="G269" s="335"/>
      <c r="H269" s="335"/>
      <c r="I269" s="336"/>
      <c r="J269" s="337"/>
      <c r="K269" s="508"/>
      <c r="L269" s="508"/>
      <c r="M269" s="508"/>
      <c r="N269" s="508"/>
      <c r="O269" s="508"/>
      <c r="P269" s="508"/>
      <c r="Q269" s="508"/>
      <c r="R269" s="508"/>
      <c r="S269" s="508"/>
      <c r="T269" s="508"/>
      <c r="U269" s="508"/>
    </row>
    <row r="270" spans="1:21" s="22" customFormat="1" ht="24" customHeight="1">
      <c r="A270" s="196" t="s">
        <v>2610</v>
      </c>
      <c r="B270" s="197" t="s">
        <v>2614</v>
      </c>
      <c r="C270" s="199" t="s">
        <v>2615</v>
      </c>
      <c r="D270" s="917" t="s">
        <v>2795</v>
      </c>
      <c r="E270" s="198" t="s">
        <v>1748</v>
      </c>
      <c r="F270" s="1028">
        <f>E271</f>
        <v>966.625</v>
      </c>
      <c r="G270" s="332"/>
      <c r="H270" s="332">
        <f t="shared" si="21"/>
        <v>0</v>
      </c>
      <c r="I270" s="333">
        <v>0.0044</v>
      </c>
      <c r="J270" s="334">
        <f t="shared" si="22"/>
        <v>4.253150000000001</v>
      </c>
      <c r="K270" s="693"/>
      <c r="L270" s="693"/>
      <c r="M270" s="693"/>
      <c r="N270" s="693"/>
      <c r="O270" s="693"/>
      <c r="P270" s="693"/>
      <c r="Q270" s="694"/>
      <c r="R270" s="509"/>
      <c r="S270" s="509"/>
      <c r="T270" s="509"/>
      <c r="U270" s="509"/>
    </row>
    <row r="271" spans="1:21" s="130" customFormat="1" ht="24" customHeight="1">
      <c r="A271" s="204"/>
      <c r="B271" s="205" t="s">
        <v>987</v>
      </c>
      <c r="C271" s="206" t="s">
        <v>2954</v>
      </c>
      <c r="D271" s="916"/>
      <c r="E271" s="1051">
        <f>(709.3+64)*1.25</f>
        <v>966.625</v>
      </c>
      <c r="F271" s="335"/>
      <c r="G271" s="335"/>
      <c r="H271" s="335"/>
      <c r="I271" s="336"/>
      <c r="J271" s="337"/>
      <c r="K271" s="508"/>
      <c r="L271" s="508"/>
      <c r="M271" s="508"/>
      <c r="N271" s="508"/>
      <c r="O271" s="508"/>
      <c r="P271" s="508"/>
      <c r="Q271" s="508"/>
      <c r="R271" s="508"/>
      <c r="S271" s="508"/>
      <c r="T271" s="508"/>
      <c r="U271" s="508"/>
    </row>
    <row r="272" spans="1:21" s="22" customFormat="1" ht="24" customHeight="1">
      <c r="A272" s="196" t="s">
        <v>2613</v>
      </c>
      <c r="B272" s="197" t="s">
        <v>2611</v>
      </c>
      <c r="C272" s="199" t="s">
        <v>2617</v>
      </c>
      <c r="D272" s="917" t="s">
        <v>2795</v>
      </c>
      <c r="E272" s="198" t="s">
        <v>1748</v>
      </c>
      <c r="F272" s="332">
        <f>SUM(E273:E273)</f>
        <v>628.6</v>
      </c>
      <c r="G272" s="332"/>
      <c r="H272" s="332">
        <f t="shared" si="21"/>
        <v>0</v>
      </c>
      <c r="I272" s="333">
        <v>0.00035</v>
      </c>
      <c r="J272" s="334">
        <f t="shared" si="22"/>
        <v>0.22001</v>
      </c>
      <c r="K272" s="693"/>
      <c r="L272" s="693"/>
      <c r="M272" s="693"/>
      <c r="N272" s="693"/>
      <c r="O272" s="693"/>
      <c r="P272" s="693"/>
      <c r="Q272" s="694"/>
      <c r="R272" s="509"/>
      <c r="S272" s="509"/>
      <c r="T272" s="509"/>
      <c r="U272" s="509"/>
    </row>
    <row r="273" spans="1:21" s="130" customFormat="1" ht="24" customHeight="1">
      <c r="A273" s="204"/>
      <c r="B273" s="205" t="s">
        <v>985</v>
      </c>
      <c r="C273" s="206" t="s">
        <v>1065</v>
      </c>
      <c r="D273" s="916"/>
      <c r="E273" s="207">
        <v>628.6</v>
      </c>
      <c r="F273" s="335"/>
      <c r="G273" s="335"/>
      <c r="H273" s="335"/>
      <c r="I273" s="336"/>
      <c r="J273" s="337"/>
      <c r="K273" s="508"/>
      <c r="L273" s="508"/>
      <c r="M273" s="508"/>
      <c r="N273" s="508"/>
      <c r="O273" s="508"/>
      <c r="P273" s="508"/>
      <c r="Q273" s="508"/>
      <c r="R273" s="508"/>
      <c r="S273" s="508"/>
      <c r="T273" s="508"/>
      <c r="U273" s="508"/>
    </row>
    <row r="274" spans="1:21" s="22" customFormat="1" ht="21" customHeight="1">
      <c r="A274" s="196" t="s">
        <v>2616</v>
      </c>
      <c r="B274" s="197" t="s">
        <v>2619</v>
      </c>
      <c r="C274" s="199" t="s">
        <v>2620</v>
      </c>
      <c r="D274" s="1177" t="s">
        <v>2795</v>
      </c>
      <c r="E274" s="198" t="s">
        <v>1748</v>
      </c>
      <c r="F274" s="1028">
        <f>F272*1.15</f>
        <v>722.89</v>
      </c>
      <c r="G274" s="332"/>
      <c r="H274" s="332">
        <f>F274*G274</f>
        <v>0</v>
      </c>
      <c r="I274" s="333">
        <v>0.004</v>
      </c>
      <c r="J274" s="334">
        <f>F274*I274</f>
        <v>2.89156</v>
      </c>
      <c r="K274" s="693"/>
      <c r="L274" s="693"/>
      <c r="M274" s="693"/>
      <c r="N274" s="693"/>
      <c r="O274" s="693"/>
      <c r="P274" s="693"/>
      <c r="Q274" s="694"/>
      <c r="R274" s="509"/>
      <c r="S274" s="509"/>
      <c r="T274" s="509"/>
      <c r="U274" s="509"/>
    </row>
    <row r="275" spans="1:20" s="1034" customFormat="1" ht="21" customHeight="1">
      <c r="A275" s="1023" t="s">
        <v>2878</v>
      </c>
      <c r="B275" s="1024" t="s">
        <v>2876</v>
      </c>
      <c r="C275" s="1025" t="s">
        <v>2877</v>
      </c>
      <c r="D275" s="1177"/>
      <c r="E275" s="1027" t="s">
        <v>1748</v>
      </c>
      <c r="F275" s="1028">
        <f>F272*1.15</f>
        <v>722.89</v>
      </c>
      <c r="G275" s="1028"/>
      <c r="H275" s="1028">
        <f>F275*G275</f>
        <v>0</v>
      </c>
      <c r="I275" s="1029">
        <v>0.00013</v>
      </c>
      <c r="J275" s="1030">
        <f>F275*I275</f>
        <v>0.0939757</v>
      </c>
      <c r="K275" s="1031"/>
      <c r="L275" s="1031"/>
      <c r="M275" s="1031"/>
      <c r="N275" s="1031"/>
      <c r="O275" s="1031"/>
      <c r="P275" s="1031"/>
      <c r="Q275" s="1032"/>
      <c r="R275" s="1033"/>
      <c r="S275" s="1033"/>
      <c r="T275" s="1033"/>
    </row>
    <row r="276" spans="1:21" s="22" customFormat="1" ht="24" customHeight="1" thickBot="1">
      <c r="A276" s="255" t="s">
        <v>2618</v>
      </c>
      <c r="B276" s="256" t="s">
        <v>2625</v>
      </c>
      <c r="C276" s="264" t="s">
        <v>2626</v>
      </c>
      <c r="D276" s="968"/>
      <c r="E276" s="257" t="s">
        <v>1783</v>
      </c>
      <c r="F276" s="1120">
        <f>J260</f>
        <v>11.842127000000001</v>
      </c>
      <c r="G276" s="368"/>
      <c r="H276" s="368">
        <f>F276*G276</f>
        <v>0</v>
      </c>
      <c r="I276" s="369">
        <v>0</v>
      </c>
      <c r="J276" s="370">
        <f>F276*I276</f>
        <v>0</v>
      </c>
      <c r="K276" s="509"/>
      <c r="L276" s="509"/>
      <c r="M276" s="509"/>
      <c r="N276" s="509"/>
      <c r="O276" s="509"/>
      <c r="P276" s="509"/>
      <c r="Q276" s="509"/>
      <c r="R276" s="509"/>
      <c r="S276" s="509"/>
      <c r="T276" s="509"/>
      <c r="U276" s="509"/>
    </row>
    <row r="277" spans="1:21" ht="16.5" customHeight="1" thickBot="1">
      <c r="A277" s="266" t="s">
        <v>2627</v>
      </c>
      <c r="B277" s="175" t="s">
        <v>2628</v>
      </c>
      <c r="C277" s="176" t="s">
        <v>2629</v>
      </c>
      <c r="D277" s="1008"/>
      <c r="E277" s="175"/>
      <c r="F277" s="341"/>
      <c r="G277" s="341"/>
      <c r="H277" s="342">
        <f>SUM(H278:H290)</f>
        <v>0</v>
      </c>
      <c r="I277" s="343"/>
      <c r="J277" s="344">
        <f>SUM(J278:J289)</f>
        <v>3.4995923497</v>
      </c>
      <c r="K277" s="670"/>
      <c r="L277" s="670"/>
      <c r="M277" s="670"/>
      <c r="N277" s="670"/>
      <c r="O277" s="670"/>
      <c r="P277" s="670"/>
      <c r="Q277" s="670"/>
      <c r="R277" s="670"/>
      <c r="S277" s="670"/>
      <c r="T277" s="670"/>
      <c r="U277" s="670"/>
    </row>
    <row r="278" spans="1:21" s="22" customFormat="1" ht="18.75" customHeight="1">
      <c r="A278" s="190" t="s">
        <v>2630</v>
      </c>
      <c r="B278" s="191" t="s">
        <v>2631</v>
      </c>
      <c r="C278" s="265" t="s">
        <v>2632</v>
      </c>
      <c r="D278" s="964" t="s">
        <v>2791</v>
      </c>
      <c r="E278" s="192" t="s">
        <v>1748</v>
      </c>
      <c r="F278" s="345">
        <f>E279</f>
        <v>692.6</v>
      </c>
      <c r="G278" s="345"/>
      <c r="H278" s="345">
        <f>F278*G278</f>
        <v>0</v>
      </c>
      <c r="I278" s="346">
        <v>0</v>
      </c>
      <c r="J278" s="347">
        <f>F278*I278</f>
        <v>0</v>
      </c>
      <c r="K278" s="693"/>
      <c r="L278" s="693"/>
      <c r="M278" s="693"/>
      <c r="N278" s="693"/>
      <c r="O278" s="693"/>
      <c r="P278" s="693"/>
      <c r="Q278" s="694"/>
      <c r="R278" s="509"/>
      <c r="S278" s="509"/>
      <c r="T278" s="509"/>
      <c r="U278" s="509"/>
    </row>
    <row r="279" spans="1:21" s="130" customFormat="1" ht="20.25" customHeight="1">
      <c r="A279" s="204"/>
      <c r="B279" s="205" t="s">
        <v>993</v>
      </c>
      <c r="C279" s="205" t="s">
        <v>1119</v>
      </c>
      <c r="D279" s="916"/>
      <c r="E279" s="260">
        <f>628.6+64</f>
        <v>692.6</v>
      </c>
      <c r="F279" s="335"/>
      <c r="G279" s="335"/>
      <c r="H279" s="335"/>
      <c r="I279" s="336"/>
      <c r="J279" s="337"/>
      <c r="K279" s="672"/>
      <c r="L279" s="672"/>
      <c r="M279" s="672"/>
      <c r="N279" s="672"/>
      <c r="O279" s="672"/>
      <c r="P279" s="672"/>
      <c r="Q279" s="673"/>
      <c r="R279" s="508"/>
      <c r="S279" s="508"/>
      <c r="T279" s="508"/>
      <c r="U279" s="508"/>
    </row>
    <row r="280" spans="1:21" s="22" customFormat="1" ht="18.75" customHeight="1">
      <c r="A280" s="196" t="s">
        <v>2633</v>
      </c>
      <c r="B280" s="197" t="s">
        <v>2646</v>
      </c>
      <c r="C280" s="199" t="s">
        <v>2647</v>
      </c>
      <c r="D280" s="917" t="s">
        <v>2791</v>
      </c>
      <c r="E280" s="198" t="s">
        <v>1748</v>
      </c>
      <c r="F280" s="332">
        <f>E281</f>
        <v>1412.904</v>
      </c>
      <c r="G280" s="332"/>
      <c r="H280" s="332">
        <f>F280*G280</f>
        <v>0</v>
      </c>
      <c r="I280" s="333">
        <v>0.0024</v>
      </c>
      <c r="J280" s="334">
        <f>F280*I280</f>
        <v>3.3909695999999996</v>
      </c>
      <c r="K280" s="693"/>
      <c r="L280" s="693"/>
      <c r="M280" s="693"/>
      <c r="N280" s="693"/>
      <c r="O280" s="693"/>
      <c r="P280" s="693"/>
      <c r="Q280" s="694"/>
      <c r="R280" s="509"/>
      <c r="S280" s="509"/>
      <c r="T280" s="509"/>
      <c r="U280" s="509"/>
    </row>
    <row r="281" spans="1:21" s="130" customFormat="1" ht="20.25" customHeight="1">
      <c r="A281" s="204"/>
      <c r="B281" s="205" t="s">
        <v>993</v>
      </c>
      <c r="C281" s="205" t="s">
        <v>1120</v>
      </c>
      <c r="D281" s="916"/>
      <c r="E281" s="260">
        <f>(628.6+64)*2*1.02</f>
        <v>1412.904</v>
      </c>
      <c r="F281" s="335"/>
      <c r="G281" s="335"/>
      <c r="H281" s="335"/>
      <c r="I281" s="336"/>
      <c r="J281" s="337"/>
      <c r="K281" s="672"/>
      <c r="L281" s="672"/>
      <c r="M281" s="672"/>
      <c r="N281" s="672"/>
      <c r="O281" s="672"/>
      <c r="P281" s="672"/>
      <c r="Q281" s="673"/>
      <c r="R281" s="508"/>
      <c r="S281" s="508"/>
      <c r="T281" s="508"/>
      <c r="U281" s="508"/>
    </row>
    <row r="282" spans="1:21" s="22" customFormat="1" ht="18.75" customHeight="1">
      <c r="A282" s="196" t="s">
        <v>2637</v>
      </c>
      <c r="B282" s="197" t="s">
        <v>787</v>
      </c>
      <c r="C282" s="1025" t="s">
        <v>2946</v>
      </c>
      <c r="D282" s="917" t="s">
        <v>2795</v>
      </c>
      <c r="E282" s="198" t="s">
        <v>1748</v>
      </c>
      <c r="F282" s="332">
        <f>SUM(E283:E283)</f>
        <v>6.6899999999999995</v>
      </c>
      <c r="G282" s="332"/>
      <c r="H282" s="332">
        <f>F282*G282</f>
        <v>0</v>
      </c>
      <c r="I282" s="333">
        <v>0.001185</v>
      </c>
      <c r="J282" s="334">
        <f>F282*I282</f>
        <v>0.00792765</v>
      </c>
      <c r="K282" s="693"/>
      <c r="L282" s="693"/>
      <c r="M282" s="693"/>
      <c r="N282" s="693"/>
      <c r="O282" s="693"/>
      <c r="P282" s="693"/>
      <c r="Q282" s="694"/>
      <c r="R282" s="509"/>
      <c r="S282" s="509"/>
      <c r="T282" s="509"/>
      <c r="U282" s="509"/>
    </row>
    <row r="283" spans="1:21" s="130" customFormat="1" ht="22.5" customHeight="1">
      <c r="A283" s="204"/>
      <c r="B283" s="205" t="s">
        <v>878</v>
      </c>
      <c r="C283" s="206" t="s">
        <v>879</v>
      </c>
      <c r="D283" s="916" t="s">
        <v>995</v>
      </c>
      <c r="E283" s="207">
        <f>(2.86+3.83)</f>
        <v>6.6899999999999995</v>
      </c>
      <c r="F283" s="335"/>
      <c r="G283" s="335"/>
      <c r="H283" s="335"/>
      <c r="I283" s="336"/>
      <c r="J283" s="337"/>
      <c r="K283" s="672"/>
      <c r="L283" s="672"/>
      <c r="M283" s="672"/>
      <c r="N283" s="672"/>
      <c r="O283" s="672"/>
      <c r="P283" s="672"/>
      <c r="Q283" s="673"/>
      <c r="R283" s="508"/>
      <c r="S283" s="508"/>
      <c r="T283" s="508"/>
      <c r="U283" s="508"/>
    </row>
    <row r="284" spans="1:21" s="22" customFormat="1" ht="20.25" customHeight="1">
      <c r="A284" s="196" t="s">
        <v>2641</v>
      </c>
      <c r="B284" s="197" t="s">
        <v>996</v>
      </c>
      <c r="C284" s="197" t="s">
        <v>997</v>
      </c>
      <c r="D284" s="1177" t="s">
        <v>883</v>
      </c>
      <c r="E284" s="198" t="s">
        <v>1709</v>
      </c>
      <c r="F284" s="1028">
        <f>SUM(E285:E285)</f>
        <v>0.34119000000000005</v>
      </c>
      <c r="G284" s="332"/>
      <c r="H284" s="332">
        <f>F284*G284</f>
        <v>0</v>
      </c>
      <c r="I284" s="333">
        <v>0.00463</v>
      </c>
      <c r="J284" s="334">
        <f>F284*I284</f>
        <v>0.0015797097000000001</v>
      </c>
      <c r="K284" s="693"/>
      <c r="L284" s="693"/>
      <c r="M284" s="693"/>
      <c r="N284" s="693"/>
      <c r="O284" s="693"/>
      <c r="P284" s="693"/>
      <c r="Q284" s="694"/>
      <c r="R284" s="509"/>
      <c r="S284" s="509"/>
      <c r="T284" s="509"/>
      <c r="U284" s="509"/>
    </row>
    <row r="285" spans="1:21" s="130" customFormat="1" ht="22.5" customHeight="1">
      <c r="A285" s="204"/>
      <c r="B285" s="205" t="s">
        <v>878</v>
      </c>
      <c r="C285" s="206" t="s">
        <v>2862</v>
      </c>
      <c r="D285" s="1176" t="s">
        <v>995</v>
      </c>
      <c r="E285" s="1051">
        <f>(2.86+3.83)*0.05*1.02</f>
        <v>0.34119000000000005</v>
      </c>
      <c r="F285" s="335"/>
      <c r="G285" s="335"/>
      <c r="H285" s="335"/>
      <c r="I285" s="336"/>
      <c r="J285" s="337"/>
      <c r="K285" s="672"/>
      <c r="L285" s="672"/>
      <c r="M285" s="672"/>
      <c r="N285" s="672"/>
      <c r="O285" s="672"/>
      <c r="P285" s="672"/>
      <c r="Q285" s="673"/>
      <c r="R285" s="508"/>
      <c r="S285" s="508"/>
      <c r="T285" s="508"/>
      <c r="U285" s="508"/>
    </row>
    <row r="286" spans="1:21" s="22" customFormat="1" ht="18.75" customHeight="1">
      <c r="A286" s="196" t="s">
        <v>2645</v>
      </c>
      <c r="B286" s="197" t="s">
        <v>998</v>
      </c>
      <c r="C286" s="199" t="s">
        <v>999</v>
      </c>
      <c r="D286" s="917" t="s">
        <v>2791</v>
      </c>
      <c r="E286" s="198" t="s">
        <v>1748</v>
      </c>
      <c r="F286" s="332">
        <f>E287</f>
        <v>761.8600000000001</v>
      </c>
      <c r="G286" s="332"/>
      <c r="H286" s="332">
        <f>F286*G286</f>
        <v>0</v>
      </c>
      <c r="I286" s="333">
        <v>0.00013</v>
      </c>
      <c r="J286" s="334">
        <f>F286*I286</f>
        <v>0.09904180000000001</v>
      </c>
      <c r="K286" s="693"/>
      <c r="L286" s="693"/>
      <c r="M286" s="693"/>
      <c r="N286" s="693"/>
      <c r="O286" s="693"/>
      <c r="P286" s="693"/>
      <c r="Q286" s="694"/>
      <c r="R286" s="509"/>
      <c r="S286" s="509"/>
      <c r="T286" s="509"/>
      <c r="U286" s="509"/>
    </row>
    <row r="287" spans="1:21" s="130" customFormat="1" ht="20.25" customHeight="1">
      <c r="A287" s="204"/>
      <c r="B287" s="205" t="s">
        <v>993</v>
      </c>
      <c r="C287" s="205" t="s">
        <v>1121</v>
      </c>
      <c r="D287" s="916"/>
      <c r="E287" s="260">
        <f>(628.6+64)*1.1</f>
        <v>761.8600000000001</v>
      </c>
      <c r="F287" s="335"/>
      <c r="G287" s="335"/>
      <c r="H287" s="335"/>
      <c r="I287" s="336"/>
      <c r="J287" s="337"/>
      <c r="K287" s="672"/>
      <c r="L287" s="672"/>
      <c r="M287" s="672"/>
      <c r="N287" s="672"/>
      <c r="O287" s="672"/>
      <c r="P287" s="672"/>
      <c r="Q287" s="673"/>
      <c r="R287" s="508"/>
      <c r="S287" s="508"/>
      <c r="T287" s="508"/>
      <c r="U287" s="508"/>
    </row>
    <row r="288" spans="1:21" s="22" customFormat="1" ht="18.75" customHeight="1">
      <c r="A288" s="196" t="s">
        <v>2648</v>
      </c>
      <c r="B288" s="197" t="s">
        <v>2665</v>
      </c>
      <c r="C288" s="199" t="s">
        <v>2666</v>
      </c>
      <c r="D288" s="917" t="s">
        <v>2791</v>
      </c>
      <c r="E288" s="198" t="s">
        <v>1748</v>
      </c>
      <c r="F288" s="332">
        <f>SUM(E289:E289)</f>
        <v>7.359</v>
      </c>
      <c r="G288" s="332"/>
      <c r="H288" s="332">
        <f>F288*G288</f>
        <v>0</v>
      </c>
      <c r="I288" s="333">
        <v>1E-05</v>
      </c>
      <c r="J288" s="334">
        <f>F288*I288</f>
        <v>7.359E-05</v>
      </c>
      <c r="K288" s="693"/>
      <c r="L288" s="693"/>
      <c r="M288" s="693"/>
      <c r="N288" s="693"/>
      <c r="O288" s="693"/>
      <c r="P288" s="693"/>
      <c r="Q288" s="694"/>
      <c r="R288" s="509"/>
      <c r="S288" s="509"/>
      <c r="T288" s="509"/>
      <c r="U288" s="509"/>
    </row>
    <row r="289" spans="1:21" s="130" customFormat="1" ht="22.5" customHeight="1">
      <c r="A289" s="204"/>
      <c r="B289" s="205" t="s">
        <v>878</v>
      </c>
      <c r="C289" s="206" t="s">
        <v>1001</v>
      </c>
      <c r="D289" s="916"/>
      <c r="E289" s="207">
        <f>(2.86+3.83)*1.1</f>
        <v>7.359</v>
      </c>
      <c r="F289" s="335"/>
      <c r="G289" s="335"/>
      <c r="H289" s="335"/>
      <c r="I289" s="336"/>
      <c r="J289" s="337"/>
      <c r="K289" s="672"/>
      <c r="L289" s="672"/>
      <c r="M289" s="672"/>
      <c r="N289" s="672"/>
      <c r="O289" s="672"/>
      <c r="P289" s="672"/>
      <c r="Q289" s="673"/>
      <c r="R289" s="508"/>
      <c r="S289" s="508"/>
      <c r="T289" s="508"/>
      <c r="U289" s="508"/>
    </row>
    <row r="290" spans="1:21" s="22" customFormat="1" ht="18.75" customHeight="1" thickBot="1">
      <c r="A290" s="255" t="s">
        <v>2658</v>
      </c>
      <c r="B290" s="256" t="s">
        <v>2681</v>
      </c>
      <c r="C290" s="264" t="s">
        <v>2682</v>
      </c>
      <c r="D290" s="968"/>
      <c r="E290" s="257" t="s">
        <v>1783</v>
      </c>
      <c r="F290" s="368">
        <f>J277</f>
        <v>3.4995923497</v>
      </c>
      <c r="G290" s="368"/>
      <c r="H290" s="368">
        <f>F290*G290</f>
        <v>0</v>
      </c>
      <c r="I290" s="369">
        <v>0</v>
      </c>
      <c r="J290" s="370">
        <f>F290*I290</f>
        <v>0</v>
      </c>
      <c r="K290" s="509"/>
      <c r="L290" s="509"/>
      <c r="M290" s="509"/>
      <c r="N290" s="509"/>
      <c r="O290" s="509"/>
      <c r="P290" s="509"/>
      <c r="Q290" s="509"/>
      <c r="R290" s="509"/>
      <c r="S290" s="509"/>
      <c r="T290" s="509"/>
      <c r="U290" s="509"/>
    </row>
    <row r="291" spans="1:21" ht="16.5" customHeight="1" thickBot="1">
      <c r="A291" s="266" t="s">
        <v>2683</v>
      </c>
      <c r="B291" s="175" t="s">
        <v>2684</v>
      </c>
      <c r="C291" s="176" t="s">
        <v>2685</v>
      </c>
      <c r="D291" s="1008"/>
      <c r="E291" s="175"/>
      <c r="F291" s="341"/>
      <c r="G291" s="341"/>
      <c r="H291" s="342">
        <f>SUM(H292)</f>
        <v>0</v>
      </c>
      <c r="I291" s="343"/>
      <c r="J291" s="344">
        <f>SUM(J292)</f>
        <v>0</v>
      </c>
      <c r="K291" s="670"/>
      <c r="L291" s="670"/>
      <c r="M291" s="670"/>
      <c r="N291" s="670"/>
      <c r="O291" s="670"/>
      <c r="P291" s="670"/>
      <c r="Q291" s="670"/>
      <c r="R291" s="670"/>
      <c r="S291" s="670"/>
      <c r="T291" s="670"/>
      <c r="U291" s="670"/>
    </row>
    <row r="292" spans="1:21" s="22" customFormat="1" ht="21" customHeight="1" thickBot="1">
      <c r="A292" s="196" t="s">
        <v>1122</v>
      </c>
      <c r="B292" s="197" t="s">
        <v>1123</v>
      </c>
      <c r="C292" s="199" t="s">
        <v>1124</v>
      </c>
      <c r="D292" s="917" t="s">
        <v>2749</v>
      </c>
      <c r="E292" s="198" t="s">
        <v>2695</v>
      </c>
      <c r="F292" s="332">
        <v>1</v>
      </c>
      <c r="G292" s="332"/>
      <c r="H292" s="332">
        <f>F292*G292</f>
        <v>0</v>
      </c>
      <c r="I292" s="333">
        <v>0</v>
      </c>
      <c r="J292" s="334">
        <f>F292*I292</f>
        <v>0</v>
      </c>
      <c r="K292" s="509"/>
      <c r="L292" s="509"/>
      <c r="M292" s="509"/>
      <c r="N292" s="509"/>
      <c r="O292" s="509"/>
      <c r="P292" s="509"/>
      <c r="Q292" s="509"/>
      <c r="R292" s="509"/>
      <c r="S292" s="509"/>
      <c r="T292" s="509"/>
      <c r="U292" s="509"/>
    </row>
    <row r="293" spans="1:21" ht="16.5" customHeight="1" thickBot="1">
      <c r="A293" s="266" t="s">
        <v>2686</v>
      </c>
      <c r="B293" s="175" t="s">
        <v>2687</v>
      </c>
      <c r="C293" s="176" t="s">
        <v>2688</v>
      </c>
      <c r="D293" s="1008"/>
      <c r="E293" s="175"/>
      <c r="F293" s="341"/>
      <c r="G293" s="341"/>
      <c r="H293" s="342">
        <f>SUM(H294:H297)</f>
        <v>0</v>
      </c>
      <c r="I293" s="343"/>
      <c r="J293" s="344">
        <f>SUM(J294:J297)</f>
        <v>0</v>
      </c>
      <c r="K293" s="670"/>
      <c r="L293" s="670"/>
      <c r="M293" s="670"/>
      <c r="N293" s="670"/>
      <c r="O293" s="670"/>
      <c r="P293" s="670"/>
      <c r="Q293" s="670"/>
      <c r="R293" s="670"/>
      <c r="S293" s="670"/>
      <c r="T293" s="670"/>
      <c r="U293" s="670"/>
    </row>
    <row r="294" spans="1:21" s="586" customFormat="1" ht="60.75" customHeight="1">
      <c r="A294" s="770"/>
      <c r="B294" s="771" t="s">
        <v>1676</v>
      </c>
      <c r="C294" s="772" t="s">
        <v>2689</v>
      </c>
      <c r="D294" s="979" t="s">
        <v>2749</v>
      </c>
      <c r="E294" s="773"/>
      <c r="F294" s="774"/>
      <c r="G294" s="774"/>
      <c r="H294" s="774"/>
      <c r="I294" s="775"/>
      <c r="J294" s="776"/>
      <c r="K294" s="597"/>
      <c r="L294" s="597"/>
      <c r="M294" s="597"/>
      <c r="N294" s="597"/>
      <c r="O294" s="597"/>
      <c r="P294" s="597"/>
      <c r="Q294" s="597"/>
      <c r="R294" s="597"/>
      <c r="S294" s="597"/>
      <c r="T294" s="597"/>
      <c r="U294" s="597"/>
    </row>
    <row r="295" spans="1:21" s="22" customFormat="1" ht="24.75" customHeight="1">
      <c r="A295" s="196" t="s">
        <v>2690</v>
      </c>
      <c r="B295" s="197" t="s">
        <v>2691</v>
      </c>
      <c r="C295" s="453" t="s">
        <v>1003</v>
      </c>
      <c r="D295" s="917" t="s">
        <v>2749</v>
      </c>
      <c r="E295" s="198" t="s">
        <v>1831</v>
      </c>
      <c r="F295" s="332">
        <v>84</v>
      </c>
      <c r="G295" s="332"/>
      <c r="H295" s="332">
        <f>F295*G295</f>
        <v>0</v>
      </c>
      <c r="I295" s="333">
        <v>0</v>
      </c>
      <c r="J295" s="334">
        <f>F295*I295</f>
        <v>0</v>
      </c>
      <c r="K295" s="693"/>
      <c r="L295" s="693"/>
      <c r="M295" s="693"/>
      <c r="N295" s="693"/>
      <c r="O295" s="693"/>
      <c r="P295" s="693"/>
      <c r="Q295" s="694"/>
      <c r="R295" s="509"/>
      <c r="S295" s="509"/>
      <c r="T295" s="509"/>
      <c r="U295" s="509"/>
    </row>
    <row r="296" spans="1:21" s="22" customFormat="1" ht="49.5" customHeight="1">
      <c r="A296" s="196" t="s">
        <v>2693</v>
      </c>
      <c r="B296" s="197" t="s">
        <v>2691</v>
      </c>
      <c r="C296" s="705" t="s">
        <v>2694</v>
      </c>
      <c r="D296" s="917" t="s">
        <v>2749</v>
      </c>
      <c r="E296" s="198" t="s">
        <v>2695</v>
      </c>
      <c r="F296" s="332">
        <v>1</v>
      </c>
      <c r="G296" s="828"/>
      <c r="H296" s="332">
        <f>F296*G296</f>
        <v>0</v>
      </c>
      <c r="I296" s="333">
        <v>0</v>
      </c>
      <c r="J296" s="334">
        <f>F296*I296</f>
        <v>0</v>
      </c>
      <c r="K296" s="693"/>
      <c r="L296" s="693"/>
      <c r="M296" s="693"/>
      <c r="N296" s="693"/>
      <c r="O296" s="693"/>
      <c r="P296" s="693"/>
      <c r="Q296" s="694"/>
      <c r="R296" s="509"/>
      <c r="S296" s="509"/>
      <c r="T296" s="509"/>
      <c r="U296" s="509"/>
    </row>
    <row r="297" spans="1:21" s="461" customFormat="1" ht="18.75" customHeight="1" thickBot="1">
      <c r="A297" s="454"/>
      <c r="B297" s="455"/>
      <c r="C297" s="456" t="s">
        <v>1125</v>
      </c>
      <c r="D297" s="916"/>
      <c r="E297" s="457">
        <f>84*500</f>
        <v>42000</v>
      </c>
      <c r="F297" s="458"/>
      <c r="G297" s="458"/>
      <c r="H297" s="458"/>
      <c r="I297" s="459"/>
      <c r="J297" s="460"/>
      <c r="K297" s="729"/>
      <c r="L297" s="729"/>
      <c r="M297" s="729"/>
      <c r="N297" s="729"/>
      <c r="O297" s="729"/>
      <c r="P297" s="729"/>
      <c r="Q297" s="729"/>
      <c r="R297" s="729"/>
      <c r="S297" s="729"/>
      <c r="T297" s="729"/>
      <c r="U297" s="729"/>
    </row>
    <row r="298" spans="1:21" ht="16.5" customHeight="1" thickBot="1">
      <c r="A298" s="266" t="s">
        <v>2697</v>
      </c>
      <c r="B298" s="175" t="s">
        <v>2698</v>
      </c>
      <c r="C298" s="176" t="s">
        <v>2699</v>
      </c>
      <c r="D298" s="1008"/>
      <c r="E298" s="175"/>
      <c r="F298" s="341"/>
      <c r="G298" s="341"/>
      <c r="H298" s="342">
        <f>SUM(H299:H313)</f>
        <v>0</v>
      </c>
      <c r="I298" s="343"/>
      <c r="J298" s="344">
        <f>SUM(J299:J312)</f>
        <v>20.7668854</v>
      </c>
      <c r="K298" s="670"/>
      <c r="L298" s="670"/>
      <c r="M298" s="670"/>
      <c r="N298" s="670"/>
      <c r="O298" s="670"/>
      <c r="P298" s="670"/>
      <c r="Q298" s="670"/>
      <c r="R298" s="670"/>
      <c r="S298" s="670"/>
      <c r="T298" s="670"/>
      <c r="U298" s="670"/>
    </row>
    <row r="299" spans="1:21" s="22" customFormat="1" ht="18.75" customHeight="1">
      <c r="A299" s="190" t="s">
        <v>2700</v>
      </c>
      <c r="B299" s="191" t="s">
        <v>2701</v>
      </c>
      <c r="C299" s="265" t="s">
        <v>2702</v>
      </c>
      <c r="D299" s="964" t="s">
        <v>2795</v>
      </c>
      <c r="E299" s="192" t="s">
        <v>1748</v>
      </c>
      <c r="F299" s="345">
        <f>E300</f>
        <v>709.3</v>
      </c>
      <c r="G299" s="345"/>
      <c r="H299" s="345">
        <f aca="true" t="shared" si="23" ref="H299:H313">F299*G299</f>
        <v>0</v>
      </c>
      <c r="I299" s="346">
        <v>0.015</v>
      </c>
      <c r="J299" s="347">
        <f aca="true" t="shared" si="24" ref="J299:J313">F299*I299</f>
        <v>10.639499999999998</v>
      </c>
      <c r="K299" s="693"/>
      <c r="L299" s="693"/>
      <c r="M299" s="693"/>
      <c r="N299" s="693"/>
      <c r="O299" s="693"/>
      <c r="P299" s="693"/>
      <c r="Q299" s="694"/>
      <c r="R299" s="509"/>
      <c r="S299" s="509"/>
      <c r="T299" s="509"/>
      <c r="U299" s="509"/>
    </row>
    <row r="300" spans="1:21" s="130" customFormat="1" ht="21.75" customHeight="1">
      <c r="A300" s="204"/>
      <c r="B300" s="205" t="s">
        <v>891</v>
      </c>
      <c r="C300" s="206" t="s">
        <v>1126</v>
      </c>
      <c r="D300" s="916"/>
      <c r="E300" s="207">
        <v>709.3</v>
      </c>
      <c r="F300" s="335"/>
      <c r="G300" s="335"/>
      <c r="H300" s="335"/>
      <c r="I300" s="336"/>
      <c r="J300" s="337"/>
      <c r="K300" s="508"/>
      <c r="L300" s="508"/>
      <c r="M300" s="508"/>
      <c r="N300" s="508"/>
      <c r="O300" s="508"/>
      <c r="P300" s="508"/>
      <c r="Q300" s="508"/>
      <c r="R300" s="508"/>
      <c r="S300" s="508"/>
      <c r="T300" s="508"/>
      <c r="U300" s="508"/>
    </row>
    <row r="301" spans="1:17" s="1119" customFormat="1" ht="18.75" customHeight="1">
      <c r="A301" s="1110" t="s">
        <v>2704</v>
      </c>
      <c r="B301" s="1111" t="s">
        <v>2705</v>
      </c>
      <c r="C301" s="1112" t="s">
        <v>2706</v>
      </c>
      <c r="D301" s="1191" t="s">
        <v>2839</v>
      </c>
      <c r="E301" s="1113" t="s">
        <v>1826</v>
      </c>
      <c r="F301" s="1114">
        <v>0</v>
      </c>
      <c r="G301" s="1114"/>
      <c r="H301" s="1114">
        <f t="shared" si="23"/>
        <v>0</v>
      </c>
      <c r="I301" s="1115">
        <v>0.00016</v>
      </c>
      <c r="J301" s="1116">
        <f t="shared" si="24"/>
        <v>0</v>
      </c>
      <c r="K301" s="1117"/>
      <c r="L301" s="1117"/>
      <c r="M301" s="1117"/>
      <c r="N301" s="1117"/>
      <c r="O301" s="1117"/>
      <c r="P301" s="1117"/>
      <c r="Q301" s="1118"/>
    </row>
    <row r="302" spans="1:10" s="1128" customFormat="1" ht="21.75" customHeight="1">
      <c r="A302" s="1122"/>
      <c r="B302" s="1123" t="s">
        <v>891</v>
      </c>
      <c r="C302" s="1124" t="s">
        <v>2951</v>
      </c>
      <c r="D302" s="1196"/>
      <c r="E302" s="1160">
        <f>709.3*0.1*4.8</f>
        <v>340.46399999999994</v>
      </c>
      <c r="F302" s="1125"/>
      <c r="G302" s="1125"/>
      <c r="H302" s="1125"/>
      <c r="I302" s="1126"/>
      <c r="J302" s="1127"/>
    </row>
    <row r="303" spans="1:17" s="1119" customFormat="1" ht="18.75" customHeight="1">
      <c r="A303" s="1110" t="s">
        <v>2708</v>
      </c>
      <c r="B303" s="1111" t="s">
        <v>2709</v>
      </c>
      <c r="C303" s="1112" t="s">
        <v>2710</v>
      </c>
      <c r="D303" s="1191" t="s">
        <v>2839</v>
      </c>
      <c r="E303" s="1113" t="s">
        <v>1826</v>
      </c>
      <c r="F303" s="1114">
        <v>0</v>
      </c>
      <c r="G303" s="1114"/>
      <c r="H303" s="1114">
        <f t="shared" si="23"/>
        <v>0</v>
      </c>
      <c r="I303" s="1115">
        <v>0.00099</v>
      </c>
      <c r="J303" s="1116">
        <f t="shared" si="24"/>
        <v>0</v>
      </c>
      <c r="K303" s="1117"/>
      <c r="L303" s="1117"/>
      <c r="M303" s="1117"/>
      <c r="N303" s="1117"/>
      <c r="O303" s="1117"/>
      <c r="P303" s="1117"/>
      <c r="Q303" s="1118"/>
    </row>
    <row r="304" spans="1:10" s="1128" customFormat="1" ht="21.75" customHeight="1">
      <c r="A304" s="1122"/>
      <c r="B304" s="1123" t="s">
        <v>891</v>
      </c>
      <c r="C304" s="1124" t="s">
        <v>2951</v>
      </c>
      <c r="D304" s="1196"/>
      <c r="E304" s="1160">
        <f>709.3*0.1*4.8</f>
        <v>340.46399999999994</v>
      </c>
      <c r="F304" s="1125"/>
      <c r="G304" s="1125"/>
      <c r="H304" s="1125"/>
      <c r="I304" s="1126"/>
      <c r="J304" s="1127"/>
    </row>
    <row r="305" spans="1:17" s="1119" customFormat="1" ht="18.75" customHeight="1">
      <c r="A305" s="1110" t="s">
        <v>2711</v>
      </c>
      <c r="B305" s="1111" t="s">
        <v>2712</v>
      </c>
      <c r="C305" s="1112" t="s">
        <v>2713</v>
      </c>
      <c r="D305" s="1191" t="s">
        <v>2839</v>
      </c>
      <c r="E305" s="1113" t="s">
        <v>1709</v>
      </c>
      <c r="F305" s="1114">
        <v>0</v>
      </c>
      <c r="G305" s="1114"/>
      <c r="H305" s="1114">
        <f t="shared" si="23"/>
        <v>0</v>
      </c>
      <c r="I305" s="1115">
        <v>0.55</v>
      </c>
      <c r="J305" s="1116">
        <f t="shared" si="24"/>
        <v>0</v>
      </c>
      <c r="K305" s="1117"/>
      <c r="L305" s="1117"/>
      <c r="M305" s="1117"/>
      <c r="N305" s="1117"/>
      <c r="O305" s="1117"/>
      <c r="P305" s="1117"/>
      <c r="Q305" s="1118"/>
    </row>
    <row r="306" spans="1:10" s="1128" customFormat="1" ht="21.75" customHeight="1">
      <c r="A306" s="1122"/>
      <c r="B306" s="1123" t="s">
        <v>891</v>
      </c>
      <c r="C306" s="1124" t="s">
        <v>2952</v>
      </c>
      <c r="D306" s="1196"/>
      <c r="E306" s="1160">
        <f>709.3*0.1*4.8*0.12*0.18</f>
        <v>7.354022399999998</v>
      </c>
      <c r="F306" s="1125"/>
      <c r="G306" s="1125"/>
      <c r="H306" s="1125"/>
      <c r="I306" s="1126"/>
      <c r="J306" s="1127"/>
    </row>
    <row r="307" spans="1:17" s="1119" customFormat="1" ht="18.75" customHeight="1">
      <c r="A307" s="1110" t="s">
        <v>2715</v>
      </c>
      <c r="B307" s="1111" t="s">
        <v>2716</v>
      </c>
      <c r="C307" s="1112" t="s">
        <v>2868</v>
      </c>
      <c r="D307" s="1191" t="s">
        <v>2839</v>
      </c>
      <c r="E307" s="1113" t="s">
        <v>1748</v>
      </c>
      <c r="F307" s="1114">
        <v>0</v>
      </c>
      <c r="G307" s="1114"/>
      <c r="H307" s="1114">
        <f t="shared" si="23"/>
        <v>0</v>
      </c>
      <c r="I307" s="1115">
        <v>0.00017</v>
      </c>
      <c r="J307" s="1116">
        <f t="shared" si="24"/>
        <v>0</v>
      </c>
      <c r="K307" s="1117"/>
      <c r="L307" s="1117"/>
      <c r="M307" s="1117"/>
      <c r="N307" s="1117"/>
      <c r="O307" s="1117"/>
      <c r="P307" s="1117"/>
      <c r="Q307" s="1118"/>
    </row>
    <row r="308" spans="1:17" s="1119" customFormat="1" ht="18.75" customHeight="1">
      <c r="A308" s="1110"/>
      <c r="B308" s="1111"/>
      <c r="C308" s="1124" t="s">
        <v>2953</v>
      </c>
      <c r="D308" s="1197"/>
      <c r="E308" s="1160">
        <f>709.3</f>
        <v>709.3</v>
      </c>
      <c r="F308" s="1114"/>
      <c r="G308" s="1114"/>
      <c r="H308" s="1114"/>
      <c r="I308" s="1115"/>
      <c r="J308" s="1116"/>
      <c r="K308" s="1117"/>
      <c r="L308" s="1117"/>
      <c r="M308" s="1117"/>
      <c r="N308" s="1117"/>
      <c r="O308" s="1117"/>
      <c r="P308" s="1117"/>
      <c r="Q308" s="1118"/>
    </row>
    <row r="309" spans="1:21" s="22" customFormat="1" ht="18.75" customHeight="1">
      <c r="A309" s="196" t="s">
        <v>2719</v>
      </c>
      <c r="B309" s="197" t="s">
        <v>2720</v>
      </c>
      <c r="C309" s="199" t="s">
        <v>2721</v>
      </c>
      <c r="D309" s="917" t="s">
        <v>2795</v>
      </c>
      <c r="E309" s="198" t="s">
        <v>1748</v>
      </c>
      <c r="F309" s="332">
        <f>E310</f>
        <v>709.3</v>
      </c>
      <c r="G309" s="332"/>
      <c r="H309" s="332">
        <f t="shared" si="23"/>
        <v>0</v>
      </c>
      <c r="I309" s="333">
        <v>0</v>
      </c>
      <c r="J309" s="334">
        <f t="shared" si="24"/>
        <v>0</v>
      </c>
      <c r="K309" s="693"/>
      <c r="L309" s="693"/>
      <c r="M309" s="693"/>
      <c r="N309" s="693"/>
      <c r="O309" s="693"/>
      <c r="P309" s="693"/>
      <c r="Q309" s="694"/>
      <c r="R309" s="509"/>
      <c r="S309" s="509"/>
      <c r="T309" s="509"/>
      <c r="U309" s="509"/>
    </row>
    <row r="310" spans="1:21" s="130" customFormat="1" ht="16.5" customHeight="1">
      <c r="A310" s="204"/>
      <c r="B310" s="205" t="s">
        <v>891</v>
      </c>
      <c r="C310" s="206" t="s">
        <v>1126</v>
      </c>
      <c r="D310" s="916"/>
      <c r="E310" s="207">
        <f>709.3</f>
        <v>709.3</v>
      </c>
      <c r="F310" s="335"/>
      <c r="G310" s="335"/>
      <c r="H310" s="335"/>
      <c r="I310" s="336"/>
      <c r="J310" s="337"/>
      <c r="K310" s="508"/>
      <c r="L310" s="508"/>
      <c r="M310" s="508"/>
      <c r="N310" s="508"/>
      <c r="O310" s="508"/>
      <c r="P310" s="508"/>
      <c r="Q310" s="508"/>
      <c r="R310" s="508"/>
      <c r="S310" s="508"/>
      <c r="T310" s="508"/>
      <c r="U310" s="508"/>
    </row>
    <row r="311" spans="1:21" s="22" customFormat="1" ht="18.75" customHeight="1">
      <c r="A311" s="196" t="s">
        <v>2722</v>
      </c>
      <c r="B311" s="197" t="s">
        <v>2723</v>
      </c>
      <c r="C311" s="199" t="s">
        <v>2724</v>
      </c>
      <c r="D311" s="1177" t="s">
        <v>2795</v>
      </c>
      <c r="E311" s="198" t="s">
        <v>1748</v>
      </c>
      <c r="F311" s="1028">
        <f>E312</f>
        <v>780.23</v>
      </c>
      <c r="G311" s="332"/>
      <c r="H311" s="332">
        <f t="shared" si="23"/>
        <v>0</v>
      </c>
      <c r="I311" s="333">
        <v>0.01298</v>
      </c>
      <c r="J311" s="334">
        <f t="shared" si="24"/>
        <v>10.1273854</v>
      </c>
      <c r="K311" s="693"/>
      <c r="L311" s="693"/>
      <c r="M311" s="693"/>
      <c r="N311" s="693"/>
      <c r="O311" s="693"/>
      <c r="P311" s="693"/>
      <c r="Q311" s="694"/>
      <c r="R311" s="509"/>
      <c r="S311" s="509"/>
      <c r="T311" s="509"/>
      <c r="U311" s="509"/>
    </row>
    <row r="312" spans="1:21" s="130" customFormat="1" ht="17.25" customHeight="1">
      <c r="A312" s="204"/>
      <c r="B312" s="205" t="s">
        <v>891</v>
      </c>
      <c r="C312" s="206" t="s">
        <v>2875</v>
      </c>
      <c r="D312" s="1176"/>
      <c r="E312" s="1051">
        <f>709.3*1.1</f>
        <v>780.23</v>
      </c>
      <c r="F312" s="335"/>
      <c r="G312" s="335"/>
      <c r="H312" s="335"/>
      <c r="I312" s="336"/>
      <c r="J312" s="337"/>
      <c r="K312" s="508"/>
      <c r="L312" s="508"/>
      <c r="M312" s="508"/>
      <c r="N312" s="508"/>
      <c r="O312" s="508"/>
      <c r="P312" s="508"/>
      <c r="Q312" s="508"/>
      <c r="R312" s="508"/>
      <c r="S312" s="508"/>
      <c r="T312" s="508"/>
      <c r="U312" s="508"/>
    </row>
    <row r="313" spans="1:21" s="22" customFormat="1" ht="18.75" customHeight="1" thickBot="1">
      <c r="A313" s="255" t="s">
        <v>2725</v>
      </c>
      <c r="B313" s="256" t="s">
        <v>2733</v>
      </c>
      <c r="C313" s="264" t="s">
        <v>2734</v>
      </c>
      <c r="D313" s="968"/>
      <c r="E313" s="257" t="s">
        <v>1783</v>
      </c>
      <c r="F313" s="1120">
        <f>SUM(J298)</f>
        <v>20.7668854</v>
      </c>
      <c r="G313" s="368"/>
      <c r="H313" s="368">
        <f t="shared" si="23"/>
        <v>0</v>
      </c>
      <c r="I313" s="369">
        <v>0</v>
      </c>
      <c r="J313" s="370">
        <f t="shared" si="24"/>
        <v>0</v>
      </c>
      <c r="K313" s="509"/>
      <c r="L313" s="509"/>
      <c r="M313" s="509"/>
      <c r="N313" s="509"/>
      <c r="O313" s="509"/>
      <c r="P313" s="509"/>
      <c r="Q313" s="509"/>
      <c r="R313" s="509"/>
      <c r="S313" s="509"/>
      <c r="T313" s="509"/>
      <c r="U313" s="509"/>
    </row>
    <row r="314" spans="1:21" ht="16.5" customHeight="1" thickBot="1">
      <c r="A314" s="266" t="s">
        <v>2735</v>
      </c>
      <c r="B314" s="175" t="s">
        <v>2736</v>
      </c>
      <c r="C314" s="176" t="s">
        <v>2737</v>
      </c>
      <c r="D314" s="1008"/>
      <c r="E314" s="175"/>
      <c r="F314" s="341"/>
      <c r="G314" s="341"/>
      <c r="H314" s="342">
        <f>SUM(H316:H340)</f>
        <v>0</v>
      </c>
      <c r="I314" s="343"/>
      <c r="J314" s="344">
        <f>SUM(J316:J339)</f>
        <v>4.017653</v>
      </c>
      <c r="K314" s="670"/>
      <c r="L314" s="670"/>
      <c r="M314" s="670"/>
      <c r="N314" s="670"/>
      <c r="O314" s="670"/>
      <c r="P314" s="670"/>
      <c r="Q314" s="670"/>
      <c r="R314" s="670"/>
      <c r="S314" s="670"/>
      <c r="T314" s="670"/>
      <c r="U314" s="670"/>
    </row>
    <row r="315" spans="1:21" s="22" customFormat="1" ht="18.75" customHeight="1">
      <c r="A315" s="190"/>
      <c r="B315" s="191"/>
      <c r="C315" s="265"/>
      <c r="D315" s="964"/>
      <c r="E315" s="192"/>
      <c r="F315" s="345"/>
      <c r="G315" s="345"/>
      <c r="H315" s="345"/>
      <c r="I315" s="346"/>
      <c r="J315" s="347"/>
      <c r="K315" s="509"/>
      <c r="L315" s="509"/>
      <c r="M315" s="509"/>
      <c r="N315" s="509"/>
      <c r="O315" s="509"/>
      <c r="P315" s="509"/>
      <c r="Q315" s="509"/>
      <c r="R315" s="509"/>
      <c r="S315" s="509"/>
      <c r="T315" s="509"/>
      <c r="U315" s="509"/>
    </row>
    <row r="316" spans="1:21" s="22" customFormat="1" ht="33" customHeight="1">
      <c r="A316" s="196"/>
      <c r="B316" s="197"/>
      <c r="C316" s="277" t="s">
        <v>2738</v>
      </c>
      <c r="D316" s="917"/>
      <c r="E316" s="198"/>
      <c r="F316" s="332"/>
      <c r="G316" s="332"/>
      <c r="H316" s="332"/>
      <c r="I316" s="333"/>
      <c r="J316" s="334"/>
      <c r="K316" s="693"/>
      <c r="L316" s="693"/>
      <c r="M316" s="693"/>
      <c r="N316" s="693"/>
      <c r="O316" s="693"/>
      <c r="P316" s="693"/>
      <c r="Q316" s="694"/>
      <c r="R316" s="509"/>
      <c r="S316" s="509"/>
      <c r="T316" s="509"/>
      <c r="U316" s="509"/>
    </row>
    <row r="317" spans="1:21" s="22" customFormat="1" ht="18.75" customHeight="1">
      <c r="A317" s="196" t="s">
        <v>2739</v>
      </c>
      <c r="B317" s="197" t="s">
        <v>2740</v>
      </c>
      <c r="C317" s="199" t="s">
        <v>446</v>
      </c>
      <c r="D317" s="917" t="s">
        <v>447</v>
      </c>
      <c r="E317" s="198" t="s">
        <v>1826</v>
      </c>
      <c r="F317" s="332">
        <v>212.2</v>
      </c>
      <c r="G317" s="332"/>
      <c r="H317" s="332">
        <f aca="true" t="shared" si="25" ref="H317:H336">F317*G317</f>
        <v>0</v>
      </c>
      <c r="I317" s="333">
        <v>0.00301</v>
      </c>
      <c r="J317" s="334">
        <f aca="true" t="shared" si="26" ref="J317:J336">F317*I317</f>
        <v>0.638722</v>
      </c>
      <c r="K317" s="509"/>
      <c r="L317" s="509"/>
      <c r="M317" s="509"/>
      <c r="N317" s="509"/>
      <c r="O317" s="509"/>
      <c r="P317" s="509"/>
      <c r="Q317" s="509"/>
      <c r="R317" s="509"/>
      <c r="S317" s="509"/>
      <c r="T317" s="509"/>
      <c r="U317" s="509"/>
    </row>
    <row r="318" spans="1:21" s="22" customFormat="1" ht="18.75" customHeight="1">
      <c r="A318" s="196" t="s">
        <v>448</v>
      </c>
      <c r="B318" s="197" t="s">
        <v>513</v>
      </c>
      <c r="C318" s="199" t="s">
        <v>514</v>
      </c>
      <c r="D318" s="917" t="s">
        <v>447</v>
      </c>
      <c r="E318" s="198" t="s">
        <v>1826</v>
      </c>
      <c r="F318" s="332">
        <v>7.5</v>
      </c>
      <c r="G318" s="332"/>
      <c r="H318" s="332">
        <f t="shared" si="25"/>
        <v>0</v>
      </c>
      <c r="I318" s="333">
        <v>0.00383</v>
      </c>
      <c r="J318" s="334">
        <f t="shared" si="26"/>
        <v>0.028725</v>
      </c>
      <c r="K318" s="509"/>
      <c r="L318" s="509"/>
      <c r="M318" s="509"/>
      <c r="N318" s="509"/>
      <c r="O318" s="509"/>
      <c r="P318" s="509"/>
      <c r="Q318" s="509"/>
      <c r="R318" s="509"/>
      <c r="S318" s="509"/>
      <c r="T318" s="509"/>
      <c r="U318" s="509"/>
    </row>
    <row r="319" spans="1:21" s="22" customFormat="1" ht="18.75" customHeight="1">
      <c r="A319" s="196" t="s">
        <v>452</v>
      </c>
      <c r="B319" s="197" t="s">
        <v>1006</v>
      </c>
      <c r="C319" s="199" t="s">
        <v>1007</v>
      </c>
      <c r="D319" s="917" t="s">
        <v>1008</v>
      </c>
      <c r="E319" s="198" t="s">
        <v>1826</v>
      </c>
      <c r="F319" s="332">
        <v>9.2</v>
      </c>
      <c r="G319" s="332"/>
      <c r="H319" s="332">
        <f t="shared" si="25"/>
        <v>0</v>
      </c>
      <c r="I319" s="333">
        <v>0.00347</v>
      </c>
      <c r="J319" s="334">
        <f t="shared" si="26"/>
        <v>0.031923999999999994</v>
      </c>
      <c r="K319" s="509"/>
      <c r="L319" s="509"/>
      <c r="M319" s="509"/>
      <c r="N319" s="509"/>
      <c r="O319" s="509"/>
      <c r="P319" s="509"/>
      <c r="Q319" s="509"/>
      <c r="R319" s="509"/>
      <c r="S319" s="509"/>
      <c r="T319" s="509"/>
      <c r="U319" s="509"/>
    </row>
    <row r="320" spans="1:21" s="22" customFormat="1" ht="18.75" customHeight="1">
      <c r="A320" s="196" t="s">
        <v>456</v>
      </c>
      <c r="B320" s="197" t="s">
        <v>449</v>
      </c>
      <c r="C320" s="199" t="s">
        <v>790</v>
      </c>
      <c r="D320" s="917" t="s">
        <v>451</v>
      </c>
      <c r="E320" s="198" t="s">
        <v>1826</v>
      </c>
      <c r="F320" s="332">
        <v>125.6</v>
      </c>
      <c r="G320" s="332"/>
      <c r="H320" s="332">
        <f t="shared" si="25"/>
        <v>0</v>
      </c>
      <c r="I320" s="333">
        <v>0.00295</v>
      </c>
      <c r="J320" s="334">
        <f t="shared" si="26"/>
        <v>0.37051999999999996</v>
      </c>
      <c r="K320" s="509"/>
      <c r="L320" s="585"/>
      <c r="M320" s="585"/>
      <c r="N320" s="585"/>
      <c r="O320" s="585"/>
      <c r="P320" s="585"/>
      <c r="Q320" s="585"/>
      <c r="R320" s="585"/>
      <c r="S320" s="585"/>
      <c r="T320" s="585"/>
      <c r="U320" s="585"/>
    </row>
    <row r="321" spans="1:21" s="22" customFormat="1" ht="18.75" customHeight="1">
      <c r="A321" s="196" t="s">
        <v>460</v>
      </c>
      <c r="B321" s="197" t="s">
        <v>491</v>
      </c>
      <c r="C321" s="199" t="s">
        <v>492</v>
      </c>
      <c r="D321" s="917" t="s">
        <v>791</v>
      </c>
      <c r="E321" s="198" t="s">
        <v>1826</v>
      </c>
      <c r="F321" s="332">
        <v>119.6</v>
      </c>
      <c r="G321" s="332"/>
      <c r="H321" s="332">
        <f t="shared" si="25"/>
        <v>0</v>
      </c>
      <c r="I321" s="333">
        <v>0.00339</v>
      </c>
      <c r="J321" s="334">
        <f t="shared" si="26"/>
        <v>0.40544399999999997</v>
      </c>
      <c r="K321" s="509"/>
      <c r="L321" s="509"/>
      <c r="M321" s="509"/>
      <c r="N321" s="509"/>
      <c r="O321" s="509"/>
      <c r="P321" s="509"/>
      <c r="Q321" s="509"/>
      <c r="R321" s="509"/>
      <c r="S321" s="509"/>
      <c r="T321" s="509"/>
      <c r="U321" s="509"/>
    </row>
    <row r="322" spans="1:21" s="22" customFormat="1" ht="18.75" customHeight="1">
      <c r="A322" s="196" t="s">
        <v>464</v>
      </c>
      <c r="B322" s="197" t="s">
        <v>517</v>
      </c>
      <c r="C322" s="199" t="s">
        <v>518</v>
      </c>
      <c r="D322" s="917" t="s">
        <v>1009</v>
      </c>
      <c r="E322" s="198" t="s">
        <v>1826</v>
      </c>
      <c r="F322" s="332">
        <v>6</v>
      </c>
      <c r="G322" s="332"/>
      <c r="H322" s="332">
        <f t="shared" si="25"/>
        <v>0</v>
      </c>
      <c r="I322" s="333">
        <v>0.00267</v>
      </c>
      <c r="J322" s="334">
        <f t="shared" si="26"/>
        <v>0.01602</v>
      </c>
      <c r="K322" s="509"/>
      <c r="L322" s="509"/>
      <c r="M322" s="509"/>
      <c r="N322" s="509"/>
      <c r="O322" s="509"/>
      <c r="P322" s="509"/>
      <c r="Q322" s="509"/>
      <c r="R322" s="509"/>
      <c r="S322" s="509"/>
      <c r="T322" s="509"/>
      <c r="U322" s="509"/>
    </row>
    <row r="323" spans="1:21" s="22" customFormat="1" ht="18.75" customHeight="1">
      <c r="A323" s="196" t="s">
        <v>468</v>
      </c>
      <c r="B323" s="197" t="s">
        <v>1010</v>
      </c>
      <c r="C323" s="199" t="s">
        <v>1011</v>
      </c>
      <c r="D323" s="917" t="s">
        <v>1012</v>
      </c>
      <c r="E323" s="198" t="s">
        <v>1826</v>
      </c>
      <c r="F323" s="332">
        <v>135.5</v>
      </c>
      <c r="G323" s="332"/>
      <c r="H323" s="332">
        <f t="shared" si="25"/>
        <v>0</v>
      </c>
      <c r="I323" s="333">
        <v>0.00376</v>
      </c>
      <c r="J323" s="334">
        <f t="shared" si="26"/>
        <v>0.5094799999999999</v>
      </c>
      <c r="K323" s="509"/>
      <c r="L323" s="509"/>
      <c r="M323" s="509"/>
      <c r="N323" s="509"/>
      <c r="O323" s="509"/>
      <c r="P323" s="509"/>
      <c r="Q323" s="509"/>
      <c r="R323" s="509"/>
      <c r="S323" s="509"/>
      <c r="T323" s="509"/>
      <c r="U323" s="509"/>
    </row>
    <row r="324" spans="1:21" s="22" customFormat="1" ht="18.75" customHeight="1">
      <c r="A324" s="196" t="s">
        <v>471</v>
      </c>
      <c r="B324" s="197" t="s">
        <v>1013</v>
      </c>
      <c r="C324" s="246" t="s">
        <v>1014</v>
      </c>
      <c r="D324" s="917" t="s">
        <v>1015</v>
      </c>
      <c r="E324" s="198" t="s">
        <v>1826</v>
      </c>
      <c r="F324" s="332">
        <v>132.5</v>
      </c>
      <c r="G324" s="332"/>
      <c r="H324" s="332">
        <f t="shared" si="25"/>
        <v>0</v>
      </c>
      <c r="I324" s="333">
        <v>0.00435</v>
      </c>
      <c r="J324" s="334">
        <f t="shared" si="26"/>
        <v>0.576375</v>
      </c>
      <c r="K324" s="509"/>
      <c r="L324" s="509"/>
      <c r="M324" s="509"/>
      <c r="N324" s="509"/>
      <c r="O324" s="509"/>
      <c r="P324" s="509"/>
      <c r="Q324" s="509"/>
      <c r="R324" s="509"/>
      <c r="S324" s="509"/>
      <c r="T324" s="509"/>
      <c r="U324" s="509"/>
    </row>
    <row r="325" spans="1:21" s="22" customFormat="1" ht="18.75" customHeight="1">
      <c r="A325" s="196" t="s">
        <v>474</v>
      </c>
      <c r="B325" s="197" t="s">
        <v>521</v>
      </c>
      <c r="C325" s="246" t="s">
        <v>522</v>
      </c>
      <c r="D325" s="917" t="s">
        <v>1016</v>
      </c>
      <c r="E325" s="198" t="s">
        <v>1826</v>
      </c>
      <c r="F325" s="332">
        <v>90.5</v>
      </c>
      <c r="G325" s="332"/>
      <c r="H325" s="332">
        <f t="shared" si="25"/>
        <v>0</v>
      </c>
      <c r="I325" s="333">
        <v>0.0038</v>
      </c>
      <c r="J325" s="334">
        <f t="shared" si="26"/>
        <v>0.3439</v>
      </c>
      <c r="K325" s="509"/>
      <c r="L325" s="509"/>
      <c r="M325" s="509"/>
      <c r="N325" s="509"/>
      <c r="O325" s="509"/>
      <c r="P325" s="509"/>
      <c r="Q325" s="509"/>
      <c r="R325" s="509"/>
      <c r="S325" s="509"/>
      <c r="T325" s="509"/>
      <c r="U325" s="509"/>
    </row>
    <row r="326" spans="1:21" s="22" customFormat="1" ht="27" customHeight="1">
      <c r="A326" s="196" t="s">
        <v>478</v>
      </c>
      <c r="B326" s="197" t="s">
        <v>498</v>
      </c>
      <c r="C326" s="246" t="s">
        <v>1017</v>
      </c>
      <c r="D326" s="917" t="s">
        <v>1018</v>
      </c>
      <c r="E326" s="198" t="s">
        <v>1826</v>
      </c>
      <c r="F326" s="332">
        <v>32.5</v>
      </c>
      <c r="G326" s="332"/>
      <c r="H326" s="332">
        <f t="shared" si="25"/>
        <v>0</v>
      </c>
      <c r="I326" s="333">
        <v>0.00489</v>
      </c>
      <c r="J326" s="334">
        <f t="shared" si="26"/>
        <v>0.158925</v>
      </c>
      <c r="K326" s="509"/>
      <c r="L326" s="509"/>
      <c r="M326" s="509"/>
      <c r="N326" s="509"/>
      <c r="O326" s="509"/>
      <c r="P326" s="509"/>
      <c r="Q326" s="509"/>
      <c r="R326" s="509"/>
      <c r="S326" s="509"/>
      <c r="T326" s="509"/>
      <c r="U326" s="509"/>
    </row>
    <row r="327" spans="1:21" s="22" customFormat="1" ht="18.75" customHeight="1">
      <c r="A327" s="196" t="s">
        <v>482</v>
      </c>
      <c r="B327" s="197" t="s">
        <v>792</v>
      </c>
      <c r="C327" s="246" t="s">
        <v>793</v>
      </c>
      <c r="D327" s="917" t="s">
        <v>794</v>
      </c>
      <c r="E327" s="198" t="s">
        <v>1826</v>
      </c>
      <c r="F327" s="332">
        <v>93.5</v>
      </c>
      <c r="G327" s="332"/>
      <c r="H327" s="332">
        <f t="shared" si="25"/>
        <v>0</v>
      </c>
      <c r="I327" s="333">
        <v>0.00363</v>
      </c>
      <c r="J327" s="334">
        <f t="shared" si="26"/>
        <v>0.339405</v>
      </c>
      <c r="K327" s="509"/>
      <c r="L327" s="509"/>
      <c r="M327" s="509"/>
      <c r="N327" s="509"/>
      <c r="O327" s="509"/>
      <c r="P327" s="509"/>
      <c r="Q327" s="509"/>
      <c r="R327" s="509"/>
      <c r="S327" s="509"/>
      <c r="T327" s="509"/>
      <c r="U327" s="509"/>
    </row>
    <row r="328" spans="1:21" s="22" customFormat="1" ht="18.75" customHeight="1">
      <c r="A328" s="196" t="s">
        <v>486</v>
      </c>
      <c r="B328" s="197" t="s">
        <v>453</v>
      </c>
      <c r="C328" s="246" t="s">
        <v>454</v>
      </c>
      <c r="D328" s="917" t="s">
        <v>455</v>
      </c>
      <c r="E328" s="198" t="s">
        <v>1826</v>
      </c>
      <c r="F328" s="332">
        <v>54.5</v>
      </c>
      <c r="G328" s="332"/>
      <c r="H328" s="332">
        <f t="shared" si="25"/>
        <v>0</v>
      </c>
      <c r="I328" s="333">
        <v>0.00315</v>
      </c>
      <c r="J328" s="334">
        <f t="shared" si="26"/>
        <v>0.171675</v>
      </c>
      <c r="K328" s="509"/>
      <c r="L328" s="509"/>
      <c r="M328" s="509"/>
      <c r="N328" s="509"/>
      <c r="O328" s="509"/>
      <c r="P328" s="509"/>
      <c r="Q328" s="509"/>
      <c r="R328" s="509"/>
      <c r="S328" s="509"/>
      <c r="T328" s="509"/>
      <c r="U328" s="509"/>
    </row>
    <row r="329" spans="1:21" s="22" customFormat="1" ht="18.75" customHeight="1">
      <c r="A329" s="196" t="s">
        <v>494</v>
      </c>
      <c r="B329" s="197" t="s">
        <v>1019</v>
      </c>
      <c r="C329" s="246" t="s">
        <v>1020</v>
      </c>
      <c r="D329" s="917" t="s">
        <v>1021</v>
      </c>
      <c r="E329" s="198" t="s">
        <v>1831</v>
      </c>
      <c r="F329" s="332">
        <v>1</v>
      </c>
      <c r="G329" s="332"/>
      <c r="H329" s="332">
        <f t="shared" si="25"/>
        <v>0</v>
      </c>
      <c r="I329" s="333">
        <v>0</v>
      </c>
      <c r="J329" s="334">
        <f t="shared" si="26"/>
        <v>0</v>
      </c>
      <c r="K329" s="693"/>
      <c r="L329" s="693"/>
      <c r="M329" s="693"/>
      <c r="N329" s="693"/>
      <c r="O329" s="693"/>
      <c r="P329" s="693"/>
      <c r="Q329" s="694"/>
      <c r="R329" s="509"/>
      <c r="S329" s="509"/>
      <c r="T329" s="509"/>
      <c r="U329" s="509"/>
    </row>
    <row r="330" spans="1:21" s="22" customFormat="1" ht="18.75" customHeight="1">
      <c r="A330" s="196" t="s">
        <v>497</v>
      </c>
      <c r="B330" s="197" t="s">
        <v>1022</v>
      </c>
      <c r="C330" s="246" t="s">
        <v>1023</v>
      </c>
      <c r="D330" s="917" t="s">
        <v>1021</v>
      </c>
      <c r="E330" s="198" t="s">
        <v>1831</v>
      </c>
      <c r="F330" s="332">
        <v>1</v>
      </c>
      <c r="G330" s="332"/>
      <c r="H330" s="332">
        <f t="shared" si="25"/>
        <v>0</v>
      </c>
      <c r="I330" s="333">
        <v>0.0165</v>
      </c>
      <c r="J330" s="334">
        <f t="shared" si="26"/>
        <v>0.0165</v>
      </c>
      <c r="K330" s="509"/>
      <c r="L330" s="585"/>
      <c r="M330" s="585"/>
      <c r="N330" s="585"/>
      <c r="O330" s="585"/>
      <c r="P330" s="585"/>
      <c r="Q330" s="585"/>
      <c r="R330" s="509"/>
      <c r="S330" s="509"/>
      <c r="T330" s="509"/>
      <c r="U330" s="509"/>
    </row>
    <row r="331" spans="1:21" s="22" customFormat="1" ht="18.75" customHeight="1">
      <c r="A331" s="196" t="s">
        <v>505</v>
      </c>
      <c r="B331" s="197" t="s">
        <v>457</v>
      </c>
      <c r="C331" s="246" t="s">
        <v>458</v>
      </c>
      <c r="D331" s="917" t="s">
        <v>459</v>
      </c>
      <c r="E331" s="198" t="s">
        <v>1826</v>
      </c>
      <c r="F331" s="332">
        <v>3</v>
      </c>
      <c r="G331" s="332"/>
      <c r="H331" s="332">
        <f t="shared" si="25"/>
        <v>0</v>
      </c>
      <c r="I331" s="333">
        <v>0.00376</v>
      </c>
      <c r="J331" s="334">
        <f t="shared" si="26"/>
        <v>0.01128</v>
      </c>
      <c r="K331" s="509"/>
      <c r="L331" s="585"/>
      <c r="M331" s="509"/>
      <c r="N331" s="509"/>
      <c r="O331" s="509"/>
      <c r="P331" s="509"/>
      <c r="Q331" s="509"/>
      <c r="R331" s="509"/>
      <c r="S331" s="509"/>
      <c r="T331" s="509"/>
      <c r="U331" s="509"/>
    </row>
    <row r="332" spans="1:21" s="22" customFormat="1" ht="42" customHeight="1">
      <c r="A332" s="196" t="s">
        <v>508</v>
      </c>
      <c r="B332" s="197" t="s">
        <v>1127</v>
      </c>
      <c r="C332" s="246" t="s">
        <v>1128</v>
      </c>
      <c r="D332" s="917" t="s">
        <v>1129</v>
      </c>
      <c r="E332" s="198" t="s">
        <v>1826</v>
      </c>
      <c r="F332" s="332">
        <v>0.8</v>
      </c>
      <c r="G332" s="332"/>
      <c r="H332" s="332">
        <f t="shared" si="25"/>
        <v>0</v>
      </c>
      <c r="I332" s="333">
        <v>0.04433</v>
      </c>
      <c r="J332" s="334">
        <f t="shared" si="26"/>
        <v>0.035464</v>
      </c>
      <c r="K332" s="509"/>
      <c r="L332" s="509"/>
      <c r="M332" s="509"/>
      <c r="N332" s="509"/>
      <c r="O332" s="509"/>
      <c r="P332" s="509"/>
      <c r="Q332" s="509"/>
      <c r="R332" s="509"/>
      <c r="S332" s="509"/>
      <c r="T332" s="509"/>
      <c r="U332" s="509"/>
    </row>
    <row r="333" spans="1:21" s="22" customFormat="1" ht="18.75" customHeight="1">
      <c r="A333" s="196" t="s">
        <v>512</v>
      </c>
      <c r="B333" s="197" t="s">
        <v>461</v>
      </c>
      <c r="C333" s="246" t="s">
        <v>1024</v>
      </c>
      <c r="D333" s="917" t="s">
        <v>463</v>
      </c>
      <c r="E333" s="198" t="s">
        <v>1826</v>
      </c>
      <c r="F333" s="332">
        <v>49.8</v>
      </c>
      <c r="G333" s="332"/>
      <c r="H333" s="332">
        <f t="shared" si="25"/>
        <v>0</v>
      </c>
      <c r="I333" s="333">
        <v>0.00285</v>
      </c>
      <c r="J333" s="334">
        <f t="shared" si="26"/>
        <v>0.14193</v>
      </c>
      <c r="K333" s="509"/>
      <c r="L333" s="509"/>
      <c r="M333" s="509"/>
      <c r="N333" s="509"/>
      <c r="O333" s="509"/>
      <c r="P333" s="509"/>
      <c r="Q333" s="509"/>
      <c r="R333" s="509"/>
      <c r="S333" s="509"/>
      <c r="T333" s="509"/>
      <c r="U333" s="509"/>
    </row>
    <row r="334" spans="1:21" s="22" customFormat="1" ht="18.75" customHeight="1">
      <c r="A334" s="196" t="s">
        <v>516</v>
      </c>
      <c r="B334" s="197" t="s">
        <v>465</v>
      </c>
      <c r="C334" s="246" t="s">
        <v>466</v>
      </c>
      <c r="D334" s="917" t="s">
        <v>467</v>
      </c>
      <c r="E334" s="198" t="s">
        <v>1826</v>
      </c>
      <c r="F334" s="332">
        <v>16.2</v>
      </c>
      <c r="G334" s="332"/>
      <c r="H334" s="332">
        <f t="shared" si="25"/>
        <v>0</v>
      </c>
      <c r="I334" s="333">
        <v>0.00145</v>
      </c>
      <c r="J334" s="334">
        <f t="shared" si="26"/>
        <v>0.023489999999999997</v>
      </c>
      <c r="K334" s="509"/>
      <c r="L334" s="509"/>
      <c r="M334" s="509"/>
      <c r="N334" s="509"/>
      <c r="O334" s="509"/>
      <c r="P334" s="509"/>
      <c r="Q334" s="509"/>
      <c r="R334" s="509"/>
      <c r="S334" s="509"/>
      <c r="T334" s="509"/>
      <c r="U334" s="509"/>
    </row>
    <row r="335" spans="1:21" s="22" customFormat="1" ht="18.75" customHeight="1">
      <c r="A335" s="196" t="s">
        <v>520</v>
      </c>
      <c r="B335" s="197" t="s">
        <v>469</v>
      </c>
      <c r="C335" s="199" t="s">
        <v>470</v>
      </c>
      <c r="D335" s="917"/>
      <c r="E335" s="198" t="s">
        <v>1748</v>
      </c>
      <c r="F335" s="332">
        <v>3.53</v>
      </c>
      <c r="G335" s="332"/>
      <c r="H335" s="332">
        <f t="shared" si="25"/>
        <v>0</v>
      </c>
      <c r="I335" s="333">
        <v>0</v>
      </c>
      <c r="J335" s="334">
        <f t="shared" si="26"/>
        <v>0</v>
      </c>
      <c r="K335" s="509"/>
      <c r="L335" s="509"/>
      <c r="M335" s="509"/>
      <c r="N335" s="509"/>
      <c r="O335" s="509"/>
      <c r="P335" s="509"/>
      <c r="Q335" s="509"/>
      <c r="R335" s="509"/>
      <c r="S335" s="509"/>
      <c r="T335" s="509"/>
      <c r="U335" s="509"/>
    </row>
    <row r="336" spans="1:21" s="22" customFormat="1" ht="18.75" customHeight="1">
      <c r="A336" s="196" t="s">
        <v>524</v>
      </c>
      <c r="B336" s="197" t="s">
        <v>472</v>
      </c>
      <c r="C336" s="199" t="s">
        <v>473</v>
      </c>
      <c r="D336" s="917" t="s">
        <v>2636</v>
      </c>
      <c r="E336" s="198" t="s">
        <v>1748</v>
      </c>
      <c r="F336" s="332">
        <v>3.53</v>
      </c>
      <c r="G336" s="332"/>
      <c r="H336" s="332">
        <f t="shared" si="25"/>
        <v>0</v>
      </c>
      <c r="I336" s="333">
        <v>0.0048</v>
      </c>
      <c r="J336" s="334">
        <f t="shared" si="26"/>
        <v>0.016943999999999997</v>
      </c>
      <c r="K336" s="509"/>
      <c r="L336" s="509"/>
      <c r="M336" s="509"/>
      <c r="N336" s="509"/>
      <c r="O336" s="509"/>
      <c r="P336" s="509"/>
      <c r="Q336" s="509"/>
      <c r="R336" s="509"/>
      <c r="S336" s="509"/>
      <c r="T336" s="509"/>
      <c r="U336" s="509"/>
    </row>
    <row r="337" spans="1:21" s="22" customFormat="1" ht="18.75" customHeight="1">
      <c r="A337" s="196" t="s">
        <v>527</v>
      </c>
      <c r="B337" s="197" t="s">
        <v>475</v>
      </c>
      <c r="C337" s="199" t="s">
        <v>476</v>
      </c>
      <c r="D337" s="917" t="s">
        <v>477</v>
      </c>
      <c r="E337" s="198" t="s">
        <v>1748</v>
      </c>
      <c r="F337" s="332">
        <v>3.75</v>
      </c>
      <c r="G337" s="332"/>
      <c r="H337" s="332">
        <f>F337*G337</f>
        <v>0</v>
      </c>
      <c r="I337" s="333">
        <v>0.0098</v>
      </c>
      <c r="J337" s="334">
        <f>F337*I337</f>
        <v>0.03675</v>
      </c>
      <c r="K337" s="509"/>
      <c r="L337" s="509"/>
      <c r="M337" s="509"/>
      <c r="N337" s="509"/>
      <c r="O337" s="509"/>
      <c r="P337" s="509"/>
      <c r="Q337" s="509"/>
      <c r="R337" s="509"/>
      <c r="S337" s="509"/>
      <c r="T337" s="509"/>
      <c r="U337" s="509"/>
    </row>
    <row r="338" spans="1:21" s="22" customFormat="1" ht="18.75" customHeight="1">
      <c r="A338" s="196" t="s">
        <v>529</v>
      </c>
      <c r="B338" s="197" t="s">
        <v>525</v>
      </c>
      <c r="C338" s="199" t="s">
        <v>526</v>
      </c>
      <c r="D338" s="917" t="s">
        <v>2525</v>
      </c>
      <c r="E338" s="198" t="s">
        <v>1831</v>
      </c>
      <c r="F338" s="332">
        <v>18</v>
      </c>
      <c r="G338" s="332"/>
      <c r="H338" s="332">
        <f>F338*G338</f>
        <v>0</v>
      </c>
      <c r="I338" s="333">
        <v>0.00801</v>
      </c>
      <c r="J338" s="334">
        <f>F338*I338</f>
        <v>0.14418</v>
      </c>
      <c r="K338" s="509"/>
      <c r="L338" s="509"/>
      <c r="M338" s="509"/>
      <c r="N338" s="509"/>
      <c r="O338" s="509"/>
      <c r="P338" s="509"/>
      <c r="Q338" s="509"/>
      <c r="R338" s="509"/>
      <c r="S338" s="509"/>
      <c r="T338" s="509"/>
      <c r="U338" s="509"/>
    </row>
    <row r="339" spans="1:21" s="18" customFormat="1" ht="12.75">
      <c r="A339" s="325"/>
      <c r="B339" s="326"/>
      <c r="C339" s="326"/>
      <c r="D339" s="992"/>
      <c r="E339" s="327"/>
      <c r="F339" s="419"/>
      <c r="G339" s="419"/>
      <c r="H339" s="419"/>
      <c r="I339" s="420"/>
      <c r="J339" s="421"/>
      <c r="K339" s="671"/>
      <c r="L339" s="671"/>
      <c r="M339" s="671"/>
      <c r="N339" s="671"/>
      <c r="O339" s="671"/>
      <c r="P339" s="671"/>
      <c r="Q339" s="671"/>
      <c r="R339" s="671"/>
      <c r="S339" s="671"/>
      <c r="T339" s="671"/>
      <c r="U339" s="671"/>
    </row>
    <row r="340" spans="1:21" s="22" customFormat="1" ht="18.75" customHeight="1" thickBot="1">
      <c r="A340" s="255" t="s">
        <v>532</v>
      </c>
      <c r="B340" s="256" t="s">
        <v>533</v>
      </c>
      <c r="C340" s="264" t="s">
        <v>534</v>
      </c>
      <c r="D340" s="968"/>
      <c r="E340" s="257" t="s">
        <v>1783</v>
      </c>
      <c r="F340" s="368">
        <f>J314</f>
        <v>4.017653</v>
      </c>
      <c r="G340" s="368"/>
      <c r="H340" s="368">
        <f>F340*G340</f>
        <v>0</v>
      </c>
      <c r="I340" s="369">
        <v>0</v>
      </c>
      <c r="J340" s="370">
        <f>F340*I340</f>
        <v>0</v>
      </c>
      <c r="K340" s="509"/>
      <c r="L340" s="509"/>
      <c r="M340" s="509"/>
      <c r="N340" s="509"/>
      <c r="O340" s="509"/>
      <c r="P340" s="509"/>
      <c r="Q340" s="509"/>
      <c r="R340" s="509"/>
      <c r="S340" s="509"/>
      <c r="T340" s="509"/>
      <c r="U340" s="509"/>
    </row>
    <row r="341" spans="1:21" ht="16.5" customHeight="1" thickBot="1">
      <c r="A341" s="266" t="s">
        <v>535</v>
      </c>
      <c r="B341" s="175" t="s">
        <v>536</v>
      </c>
      <c r="C341" s="176" t="s">
        <v>537</v>
      </c>
      <c r="D341" s="1008"/>
      <c r="E341" s="175"/>
      <c r="F341" s="341"/>
      <c r="G341" s="341"/>
      <c r="H341" s="342">
        <f>SUM(H342:H356)</f>
        <v>0</v>
      </c>
      <c r="I341" s="343"/>
      <c r="J341" s="344">
        <f>SUM(J343:J355)</f>
        <v>0.7318809999999999</v>
      </c>
      <c r="K341" s="670"/>
      <c r="L341" s="670"/>
      <c r="M341" s="670"/>
      <c r="N341" s="670"/>
      <c r="O341" s="670"/>
      <c r="P341" s="670"/>
      <c r="Q341" s="670"/>
      <c r="R341" s="670"/>
      <c r="S341" s="670"/>
      <c r="T341" s="670"/>
      <c r="U341" s="670"/>
    </row>
    <row r="342" spans="1:21" s="22" customFormat="1" ht="14.25" customHeight="1">
      <c r="A342" s="190"/>
      <c r="B342" s="191"/>
      <c r="C342" s="265"/>
      <c r="D342" s="964"/>
      <c r="E342" s="192"/>
      <c r="F342" s="345"/>
      <c r="G342" s="345"/>
      <c r="H342" s="345"/>
      <c r="I342" s="346"/>
      <c r="J342" s="347"/>
      <c r="K342" s="509"/>
      <c r="L342" s="509"/>
      <c r="M342" s="509"/>
      <c r="N342" s="509"/>
      <c r="O342" s="509"/>
      <c r="P342" s="509"/>
      <c r="Q342" s="509"/>
      <c r="R342" s="509"/>
      <c r="S342" s="509"/>
      <c r="T342" s="509"/>
      <c r="U342" s="509"/>
    </row>
    <row r="343" spans="1:21" s="22" customFormat="1" ht="18.75" customHeight="1">
      <c r="A343" s="196" t="s">
        <v>538</v>
      </c>
      <c r="B343" s="197" t="s">
        <v>1030</v>
      </c>
      <c r="C343" s="199" t="s">
        <v>1031</v>
      </c>
      <c r="D343" s="917"/>
      <c r="E343" s="198" t="s">
        <v>1826</v>
      </c>
      <c r="F343" s="332">
        <f>SUM(F344:F345)</f>
        <v>7.35</v>
      </c>
      <c r="G343" s="332"/>
      <c r="H343" s="332">
        <f aca="true" t="shared" si="27" ref="H343:H355">F343*G343</f>
        <v>0</v>
      </c>
      <c r="I343" s="333">
        <v>6E-05</v>
      </c>
      <c r="J343" s="334">
        <f aca="true" t="shared" si="28" ref="J343:J355">F343*I343</f>
        <v>0.000441</v>
      </c>
      <c r="K343" s="509"/>
      <c r="L343" s="509"/>
      <c r="M343" s="509"/>
      <c r="N343" s="509"/>
      <c r="O343" s="509"/>
      <c r="P343" s="509"/>
      <c r="Q343" s="509"/>
      <c r="R343" s="509"/>
      <c r="S343" s="509"/>
      <c r="T343" s="509"/>
      <c r="U343" s="509"/>
    </row>
    <row r="344" spans="1:21" s="22" customFormat="1" ht="26.25" customHeight="1">
      <c r="A344" s="196" t="s">
        <v>542</v>
      </c>
      <c r="B344" s="197" t="s">
        <v>1130</v>
      </c>
      <c r="C344" s="199" t="s">
        <v>1131</v>
      </c>
      <c r="D344" s="917" t="s">
        <v>1132</v>
      </c>
      <c r="E344" s="198" t="s">
        <v>1826</v>
      </c>
      <c r="F344" s="332">
        <v>4.35</v>
      </c>
      <c r="G344" s="332"/>
      <c r="H344" s="332">
        <f t="shared" si="27"/>
        <v>0</v>
      </c>
      <c r="I344" s="333">
        <v>0.03</v>
      </c>
      <c r="J344" s="334">
        <f t="shared" si="28"/>
        <v>0.13049999999999998</v>
      </c>
      <c r="K344" s="509"/>
      <c r="L344" s="509"/>
      <c r="M344" s="509"/>
      <c r="N344" s="509"/>
      <c r="O344" s="509"/>
      <c r="P344" s="509"/>
      <c r="Q344" s="509"/>
      <c r="R344" s="509"/>
      <c r="S344" s="509"/>
      <c r="T344" s="509"/>
      <c r="U344" s="509"/>
    </row>
    <row r="345" spans="1:21" s="22" customFormat="1" ht="26.25" customHeight="1">
      <c r="A345" s="196" t="s">
        <v>545</v>
      </c>
      <c r="B345" s="197" t="s">
        <v>1133</v>
      </c>
      <c r="C345" s="199" t="s">
        <v>1131</v>
      </c>
      <c r="D345" s="917" t="s">
        <v>1134</v>
      </c>
      <c r="E345" s="198" t="s">
        <v>1826</v>
      </c>
      <c r="F345" s="332">
        <v>3</v>
      </c>
      <c r="G345" s="332"/>
      <c r="H345" s="332">
        <f t="shared" si="27"/>
        <v>0</v>
      </c>
      <c r="I345" s="333">
        <v>0.03</v>
      </c>
      <c r="J345" s="334">
        <f t="shared" si="28"/>
        <v>0.09</v>
      </c>
      <c r="K345" s="509"/>
      <c r="L345" s="509"/>
      <c r="M345" s="509"/>
      <c r="N345" s="509"/>
      <c r="O345" s="509"/>
      <c r="P345" s="509"/>
      <c r="Q345" s="509"/>
      <c r="R345" s="509"/>
      <c r="S345" s="509"/>
      <c r="T345" s="509"/>
      <c r="U345" s="509"/>
    </row>
    <row r="346" spans="1:21" s="22" customFormat="1" ht="26.25" customHeight="1">
      <c r="A346" s="196" t="s">
        <v>547</v>
      </c>
      <c r="B346" s="197" t="s">
        <v>1043</v>
      </c>
      <c r="C346" s="199" t="s">
        <v>1044</v>
      </c>
      <c r="D346" s="917" t="s">
        <v>1045</v>
      </c>
      <c r="E346" s="198" t="s">
        <v>1826</v>
      </c>
      <c r="F346" s="598">
        <f>SUM(E347)</f>
        <v>15.48</v>
      </c>
      <c r="G346" s="332"/>
      <c r="H346" s="332">
        <f t="shared" si="27"/>
        <v>0</v>
      </c>
      <c r="I346" s="333">
        <v>0.01</v>
      </c>
      <c r="J346" s="334">
        <f t="shared" si="28"/>
        <v>0.15480000000000002</v>
      </c>
      <c r="K346" s="509"/>
      <c r="L346" s="509"/>
      <c r="M346" s="509"/>
      <c r="N346" s="509"/>
      <c r="O346" s="509"/>
      <c r="P346" s="509"/>
      <c r="Q346" s="509"/>
      <c r="R346" s="509"/>
      <c r="S346" s="509"/>
      <c r="T346" s="509"/>
      <c r="U346" s="509"/>
    </row>
    <row r="347" spans="1:21" s="130" customFormat="1" ht="17.25" customHeight="1">
      <c r="A347" s="204"/>
      <c r="B347" s="205"/>
      <c r="C347" s="599" t="s">
        <v>1135</v>
      </c>
      <c r="D347" s="916"/>
      <c r="E347" s="600">
        <f>6*2.58</f>
        <v>15.48</v>
      </c>
      <c r="F347" s="335"/>
      <c r="G347" s="335"/>
      <c r="H347" s="335"/>
      <c r="I347" s="336"/>
      <c r="J347" s="337"/>
      <c r="K347" s="672"/>
      <c r="L347" s="672"/>
      <c r="M347" s="672"/>
      <c r="N347" s="672"/>
      <c r="O347" s="672"/>
      <c r="P347" s="672"/>
      <c r="Q347" s="673"/>
      <c r="R347" s="508"/>
      <c r="S347" s="508"/>
      <c r="T347" s="508"/>
      <c r="U347" s="508"/>
    </row>
    <row r="348" spans="1:21" s="22" customFormat="1" ht="18.75" customHeight="1">
      <c r="A348" s="196" t="s">
        <v>550</v>
      </c>
      <c r="B348" s="197" t="s">
        <v>548</v>
      </c>
      <c r="C348" s="199" t="s">
        <v>551</v>
      </c>
      <c r="D348" s="917" t="s">
        <v>552</v>
      </c>
      <c r="E348" s="198" t="s">
        <v>1718</v>
      </c>
      <c r="F348" s="332">
        <v>6</v>
      </c>
      <c r="G348" s="332"/>
      <c r="H348" s="332">
        <f t="shared" si="27"/>
        <v>0</v>
      </c>
      <c r="I348" s="333">
        <v>0</v>
      </c>
      <c r="J348" s="334">
        <f t="shared" si="28"/>
        <v>0</v>
      </c>
      <c r="K348" s="730"/>
      <c r="L348" s="509"/>
      <c r="M348" s="509"/>
      <c r="N348" s="509"/>
      <c r="O348" s="509"/>
      <c r="P348" s="509"/>
      <c r="Q348" s="509"/>
      <c r="R348" s="509"/>
      <c r="S348" s="509"/>
      <c r="T348" s="509"/>
      <c r="U348" s="509"/>
    </row>
    <row r="349" spans="1:21" s="22" customFormat="1" ht="18.75" customHeight="1">
      <c r="A349" s="196" t="s">
        <v>553</v>
      </c>
      <c r="B349" s="197" t="s">
        <v>561</v>
      </c>
      <c r="C349" s="199" t="s">
        <v>562</v>
      </c>
      <c r="D349" s="917" t="s">
        <v>552</v>
      </c>
      <c r="E349" s="198" t="s">
        <v>1718</v>
      </c>
      <c r="F349" s="332">
        <v>6</v>
      </c>
      <c r="G349" s="332"/>
      <c r="H349" s="332">
        <f t="shared" si="27"/>
        <v>0</v>
      </c>
      <c r="I349" s="333">
        <v>0.00095</v>
      </c>
      <c r="J349" s="334">
        <f t="shared" si="28"/>
        <v>0.0057</v>
      </c>
      <c r="K349" s="730"/>
      <c r="L349" s="509"/>
      <c r="M349" s="509"/>
      <c r="N349" s="509"/>
      <c r="O349" s="509"/>
      <c r="P349" s="509"/>
      <c r="Q349" s="509"/>
      <c r="R349" s="509"/>
      <c r="S349" s="509"/>
      <c r="T349" s="509"/>
      <c r="U349" s="509"/>
    </row>
    <row r="350" spans="1:21" s="22" customFormat="1" ht="18.75" customHeight="1">
      <c r="A350" s="196" t="s">
        <v>557</v>
      </c>
      <c r="B350" s="197" t="s">
        <v>554</v>
      </c>
      <c r="C350" s="199" t="s">
        <v>555</v>
      </c>
      <c r="D350" s="917" t="s">
        <v>556</v>
      </c>
      <c r="E350" s="198" t="s">
        <v>1718</v>
      </c>
      <c r="F350" s="332">
        <v>4</v>
      </c>
      <c r="G350" s="332"/>
      <c r="H350" s="332">
        <f t="shared" si="27"/>
        <v>0</v>
      </c>
      <c r="I350" s="333">
        <v>0.0004</v>
      </c>
      <c r="J350" s="334">
        <f t="shared" si="28"/>
        <v>0.0016</v>
      </c>
      <c r="K350" s="730"/>
      <c r="L350" s="509"/>
      <c r="M350" s="509"/>
      <c r="N350" s="509"/>
      <c r="O350" s="509"/>
      <c r="P350" s="509"/>
      <c r="Q350" s="509"/>
      <c r="R350" s="509"/>
      <c r="S350" s="509"/>
      <c r="T350" s="509"/>
      <c r="U350" s="509"/>
    </row>
    <row r="351" spans="1:21" s="22" customFormat="1" ht="18.75" customHeight="1">
      <c r="A351" s="196" t="s">
        <v>560</v>
      </c>
      <c r="B351" s="197" t="s">
        <v>558</v>
      </c>
      <c r="C351" s="199" t="s">
        <v>559</v>
      </c>
      <c r="D351" s="917" t="s">
        <v>556</v>
      </c>
      <c r="E351" s="198" t="s">
        <v>1718</v>
      </c>
      <c r="F351" s="332">
        <v>4</v>
      </c>
      <c r="G351" s="332"/>
      <c r="H351" s="332">
        <f t="shared" si="27"/>
        <v>0</v>
      </c>
      <c r="I351" s="333">
        <v>0.01</v>
      </c>
      <c r="J351" s="334">
        <f t="shared" si="28"/>
        <v>0.04</v>
      </c>
      <c r="K351" s="730"/>
      <c r="L351" s="509"/>
      <c r="M351" s="509"/>
      <c r="N351" s="509"/>
      <c r="O351" s="509"/>
      <c r="P351" s="509"/>
      <c r="Q351" s="509"/>
      <c r="R351" s="509"/>
      <c r="S351" s="509"/>
      <c r="T351" s="509"/>
      <c r="U351" s="509"/>
    </row>
    <row r="352" spans="1:21" s="22" customFormat="1" ht="18.75" customHeight="1">
      <c r="A352" s="196" t="s">
        <v>563</v>
      </c>
      <c r="B352" s="197" t="s">
        <v>564</v>
      </c>
      <c r="C352" s="199" t="s">
        <v>565</v>
      </c>
      <c r="D352" s="917" t="s">
        <v>566</v>
      </c>
      <c r="E352" s="198" t="s">
        <v>1718</v>
      </c>
      <c r="F352" s="332">
        <v>2</v>
      </c>
      <c r="G352" s="332"/>
      <c r="H352" s="332">
        <f t="shared" si="27"/>
        <v>0</v>
      </c>
      <c r="I352" s="333">
        <v>0.07301</v>
      </c>
      <c r="J352" s="334">
        <f t="shared" si="28"/>
        <v>0.14602</v>
      </c>
      <c r="K352" s="730"/>
      <c r="L352" s="509"/>
      <c r="M352" s="509"/>
      <c r="N352" s="509"/>
      <c r="O352" s="509"/>
      <c r="P352" s="509"/>
      <c r="Q352" s="509"/>
      <c r="R352" s="509"/>
      <c r="S352" s="509"/>
      <c r="T352" s="509"/>
      <c r="U352" s="509"/>
    </row>
    <row r="353" spans="1:21" s="22" customFormat="1" ht="18.75" customHeight="1">
      <c r="A353" s="196" t="s">
        <v>567</v>
      </c>
      <c r="B353" s="197" t="s">
        <v>568</v>
      </c>
      <c r="C353" s="199" t="s">
        <v>569</v>
      </c>
      <c r="D353" s="917" t="s">
        <v>566</v>
      </c>
      <c r="E353" s="198" t="s">
        <v>1718</v>
      </c>
      <c r="F353" s="332">
        <v>2</v>
      </c>
      <c r="G353" s="332"/>
      <c r="H353" s="332">
        <f t="shared" si="27"/>
        <v>0</v>
      </c>
      <c r="I353" s="333">
        <v>0.07301</v>
      </c>
      <c r="J353" s="334">
        <f t="shared" si="28"/>
        <v>0.14602</v>
      </c>
      <c r="K353" s="730"/>
      <c r="L353" s="509"/>
      <c r="M353" s="509"/>
      <c r="N353" s="509"/>
      <c r="O353" s="509"/>
      <c r="P353" s="509"/>
      <c r="Q353" s="509"/>
      <c r="R353" s="509"/>
      <c r="S353" s="509"/>
      <c r="T353" s="509"/>
      <c r="U353" s="509"/>
    </row>
    <row r="354" spans="1:21" s="22" customFormat="1" ht="18.75" customHeight="1">
      <c r="A354" s="196" t="s">
        <v>570</v>
      </c>
      <c r="B354" s="197" t="s">
        <v>799</v>
      </c>
      <c r="C354" s="199" t="s">
        <v>800</v>
      </c>
      <c r="D354" s="917"/>
      <c r="E354" s="198" t="s">
        <v>1831</v>
      </c>
      <c r="F354" s="332">
        <v>21</v>
      </c>
      <c r="G354" s="332"/>
      <c r="H354" s="332">
        <f t="shared" si="27"/>
        <v>0</v>
      </c>
      <c r="I354" s="333">
        <v>0.0004</v>
      </c>
      <c r="J354" s="334">
        <f t="shared" si="28"/>
        <v>0.008400000000000001</v>
      </c>
      <c r="K354" s="509"/>
      <c r="L354" s="509"/>
      <c r="M354" s="509"/>
      <c r="N354" s="509"/>
      <c r="O354" s="509"/>
      <c r="P354" s="509"/>
      <c r="Q354" s="509"/>
      <c r="R354" s="509"/>
      <c r="S354" s="509"/>
      <c r="T354" s="509"/>
      <c r="U354" s="509"/>
    </row>
    <row r="355" spans="1:21" s="22" customFormat="1" ht="18.75" customHeight="1">
      <c r="A355" s="196" t="s">
        <v>574</v>
      </c>
      <c r="B355" s="197" t="s">
        <v>801</v>
      </c>
      <c r="C355" s="199" t="s">
        <v>802</v>
      </c>
      <c r="D355" s="917"/>
      <c r="E355" s="198" t="s">
        <v>1831</v>
      </c>
      <c r="F355" s="332">
        <v>21</v>
      </c>
      <c r="G355" s="332"/>
      <c r="H355" s="332">
        <f t="shared" si="27"/>
        <v>0</v>
      </c>
      <c r="I355" s="333">
        <v>0.0004</v>
      </c>
      <c r="J355" s="334">
        <f t="shared" si="28"/>
        <v>0.008400000000000001</v>
      </c>
      <c r="K355" s="509"/>
      <c r="L355" s="509"/>
      <c r="M355" s="509"/>
      <c r="N355" s="509"/>
      <c r="O355" s="509"/>
      <c r="P355" s="509"/>
      <c r="Q355" s="509"/>
      <c r="R355" s="509"/>
      <c r="S355" s="509"/>
      <c r="T355" s="509"/>
      <c r="U355" s="509"/>
    </row>
    <row r="356" spans="1:21" s="22" customFormat="1" ht="18.75" customHeight="1" thickBot="1">
      <c r="A356" s="196" t="s">
        <v>577</v>
      </c>
      <c r="B356" s="256" t="s">
        <v>592</v>
      </c>
      <c r="C356" s="264" t="s">
        <v>593</v>
      </c>
      <c r="D356" s="968"/>
      <c r="E356" s="257" t="s">
        <v>1783</v>
      </c>
      <c r="F356" s="368">
        <f>J341</f>
        <v>0.7318809999999999</v>
      </c>
      <c r="G356" s="368"/>
      <c r="H356" s="368">
        <f>F356*G356</f>
        <v>0</v>
      </c>
      <c r="I356" s="369">
        <v>0</v>
      </c>
      <c r="J356" s="370">
        <f>F356*I356</f>
        <v>0</v>
      </c>
      <c r="K356" s="509"/>
      <c r="L356" s="509"/>
      <c r="M356" s="509"/>
      <c r="N356" s="509"/>
      <c r="O356" s="509"/>
      <c r="P356" s="509"/>
      <c r="Q356" s="509"/>
      <c r="R356" s="509"/>
      <c r="S356" s="509"/>
      <c r="T356" s="509"/>
      <c r="U356" s="509"/>
    </row>
    <row r="357" spans="1:21" ht="16.5" customHeight="1" thickBot="1">
      <c r="A357" s="266" t="s">
        <v>848</v>
      </c>
      <c r="B357" s="175" t="s">
        <v>594</v>
      </c>
      <c r="C357" s="176" t="s">
        <v>595</v>
      </c>
      <c r="D357" s="1008"/>
      <c r="E357" s="175"/>
      <c r="F357" s="341"/>
      <c r="G357" s="341"/>
      <c r="H357" s="342">
        <f>SUM(H358:H372)</f>
        <v>0</v>
      </c>
      <c r="I357" s="343"/>
      <c r="J357" s="344">
        <f>SUM(J358:J369)</f>
        <v>0.13395200000000002</v>
      </c>
      <c r="K357" s="670"/>
      <c r="L357" s="670"/>
      <c r="M357" s="670"/>
      <c r="N357" s="670"/>
      <c r="O357" s="670"/>
      <c r="P357" s="670"/>
      <c r="Q357" s="670"/>
      <c r="R357" s="670"/>
      <c r="S357" s="670"/>
      <c r="T357" s="670"/>
      <c r="U357" s="670"/>
    </row>
    <row r="358" spans="1:22" s="152" customFormat="1" ht="12.75">
      <c r="A358" s="146"/>
      <c r="B358" s="732"/>
      <c r="C358" s="147"/>
      <c r="D358" s="981"/>
      <c r="E358" s="148"/>
      <c r="F358" s="282"/>
      <c r="G358" s="282"/>
      <c r="H358" s="385"/>
      <c r="I358" s="304"/>
      <c r="J358" s="386"/>
      <c r="K358" s="149"/>
      <c r="L358" s="149"/>
      <c r="M358" s="150"/>
      <c r="N358" s="733"/>
      <c r="O358" s="151"/>
      <c r="P358" s="151"/>
      <c r="Q358" s="151"/>
      <c r="R358" s="151"/>
      <c r="S358" s="151"/>
      <c r="T358" s="151"/>
      <c r="U358" s="151"/>
      <c r="V358" s="151"/>
    </row>
    <row r="359" spans="1:21" s="288" customFormat="1" ht="24">
      <c r="A359" s="196" t="s">
        <v>596</v>
      </c>
      <c r="B359" s="285" t="s">
        <v>597</v>
      </c>
      <c r="C359" s="286" t="s">
        <v>598</v>
      </c>
      <c r="D359" s="982" t="s">
        <v>2796</v>
      </c>
      <c r="E359" s="287" t="s">
        <v>1748</v>
      </c>
      <c r="F359" s="734">
        <f>E360</f>
        <v>8.32</v>
      </c>
      <c r="G359" s="387"/>
      <c r="H359" s="332">
        <f>F359*G359</f>
        <v>0</v>
      </c>
      <c r="I359" s="388">
        <v>0.0161</v>
      </c>
      <c r="J359" s="334">
        <f>F359*I359</f>
        <v>0.13395200000000002</v>
      </c>
      <c r="K359" s="143"/>
      <c r="L359" s="143"/>
      <c r="M359" s="143"/>
      <c r="N359" s="735"/>
      <c r="O359" s="693"/>
      <c r="P359" s="144"/>
      <c r="Q359" s="144"/>
      <c r="R359" s="144"/>
      <c r="S359" s="144"/>
      <c r="T359" s="144"/>
      <c r="U359" s="144"/>
    </row>
    <row r="360" spans="1:21" s="130" customFormat="1" ht="22.5" customHeight="1">
      <c r="A360" s="204"/>
      <c r="B360" s="205"/>
      <c r="C360" s="206" t="s">
        <v>1109</v>
      </c>
      <c r="D360" s="916"/>
      <c r="E360" s="207">
        <f>2.4*0.3+3*0.4*2+5.2</f>
        <v>8.32</v>
      </c>
      <c r="F360" s="335"/>
      <c r="G360" s="335"/>
      <c r="H360" s="335"/>
      <c r="I360" s="336"/>
      <c r="J360" s="337"/>
      <c r="K360" s="672"/>
      <c r="L360" s="672"/>
      <c r="M360" s="672"/>
      <c r="N360" s="672"/>
      <c r="O360" s="672"/>
      <c r="P360" s="672"/>
      <c r="Q360" s="673"/>
      <c r="R360" s="508"/>
      <c r="S360" s="508"/>
      <c r="T360" s="508"/>
      <c r="U360" s="508"/>
    </row>
    <row r="361" spans="1:22" s="294" customFormat="1" ht="12.75">
      <c r="A361" s="289"/>
      <c r="B361" s="285"/>
      <c r="C361" s="290"/>
      <c r="D361" s="983"/>
      <c r="E361" s="283"/>
      <c r="F361" s="291"/>
      <c r="G361" s="291"/>
      <c r="H361" s="292"/>
      <c r="I361" s="292"/>
      <c r="J361" s="389"/>
      <c r="K361" s="143"/>
      <c r="L361" s="143"/>
      <c r="M361" s="735"/>
      <c r="N361" s="693"/>
      <c r="O361" s="293"/>
      <c r="P361" s="293"/>
      <c r="Q361" s="293"/>
      <c r="R361" s="293"/>
      <c r="S361" s="293"/>
      <c r="T361" s="293"/>
      <c r="U361" s="293"/>
      <c r="V361" s="293"/>
    </row>
    <row r="362" spans="1:60" s="288" customFormat="1" ht="24">
      <c r="A362" s="196" t="s">
        <v>599</v>
      </c>
      <c r="B362" s="285" t="s">
        <v>603</v>
      </c>
      <c r="C362" s="286" t="s">
        <v>604</v>
      </c>
      <c r="D362" s="982" t="s">
        <v>2796</v>
      </c>
      <c r="E362" s="287" t="s">
        <v>1748</v>
      </c>
      <c r="F362" s="734">
        <f>E363</f>
        <v>8.32</v>
      </c>
      <c r="G362" s="387"/>
      <c r="H362" s="332">
        <f aca="true" t="shared" si="29" ref="H362:H368">F362*G362</f>
        <v>0</v>
      </c>
      <c r="I362" s="388">
        <v>0</v>
      </c>
      <c r="J362" s="334">
        <f>F362*I362</f>
        <v>0</v>
      </c>
      <c r="K362" s="143"/>
      <c r="L362" s="143"/>
      <c r="M362" s="143"/>
      <c r="N362" s="735"/>
      <c r="O362" s="693"/>
      <c r="P362" s="144"/>
      <c r="Q362" s="144"/>
      <c r="R362" s="144"/>
      <c r="S362" s="144"/>
      <c r="T362" s="144"/>
      <c r="U362" s="144"/>
      <c r="AB362" s="288">
        <v>12</v>
      </c>
      <c r="AC362" s="288">
        <v>0</v>
      </c>
      <c r="AD362" s="288">
        <v>71</v>
      </c>
      <c r="BC362" s="288">
        <v>2</v>
      </c>
      <c r="BD362" s="288">
        <f>IF(BC362=1,H362,0)</f>
        <v>0</v>
      </c>
      <c r="BE362" s="288">
        <f>IF(BC362=2,H362,0)</f>
        <v>0</v>
      </c>
      <c r="BF362" s="288">
        <f>IF(BC362=3,H362,0)</f>
        <v>0</v>
      </c>
      <c r="BG362" s="288">
        <f>IF(BC362=4,H362,0)</f>
        <v>0</v>
      </c>
      <c r="BH362" s="288">
        <f>IF(BC362=5,H362,0)</f>
        <v>0</v>
      </c>
    </row>
    <row r="363" spans="1:21" s="130" customFormat="1" ht="22.5" customHeight="1">
      <c r="A363" s="204"/>
      <c r="B363" s="205"/>
      <c r="C363" s="206" t="s">
        <v>1109</v>
      </c>
      <c r="D363" s="916"/>
      <c r="E363" s="207">
        <f>2.4*0.3+3*0.4*2+5.2</f>
        <v>8.32</v>
      </c>
      <c r="F363" s="335"/>
      <c r="G363" s="335"/>
      <c r="H363" s="335"/>
      <c r="I363" s="336"/>
      <c r="J363" s="337"/>
      <c r="K363" s="672"/>
      <c r="L363" s="672"/>
      <c r="M363" s="672"/>
      <c r="N363" s="672"/>
      <c r="O363" s="672"/>
      <c r="P363" s="672"/>
      <c r="Q363" s="673"/>
      <c r="R363" s="508"/>
      <c r="S363" s="508"/>
      <c r="T363" s="508"/>
      <c r="U363" s="508"/>
    </row>
    <row r="364" spans="1:21" s="299" customFormat="1" ht="9" customHeight="1">
      <c r="A364" s="295"/>
      <c r="B364" s="296"/>
      <c r="C364" s="297"/>
      <c r="D364" s="984"/>
      <c r="E364" s="298"/>
      <c r="F364" s="141"/>
      <c r="G364" s="141"/>
      <c r="H364" s="141"/>
      <c r="I364" s="390"/>
      <c r="J364" s="391"/>
      <c r="K364" s="736"/>
      <c r="L364" s="736"/>
      <c r="M364" s="736"/>
      <c r="N364" s="737"/>
      <c r="O364" s="580"/>
      <c r="P364" s="580"/>
      <c r="Q364" s="580"/>
      <c r="R364" s="580"/>
      <c r="S364" s="580"/>
      <c r="T364" s="580"/>
      <c r="U364" s="580"/>
    </row>
    <row r="365" spans="1:60" s="300" customFormat="1" ht="20.25" customHeight="1">
      <c r="A365" s="738" t="s">
        <v>602</v>
      </c>
      <c r="B365" s="739" t="s">
        <v>606</v>
      </c>
      <c r="C365" s="740" t="s">
        <v>607</v>
      </c>
      <c r="D365" s="982" t="s">
        <v>2796</v>
      </c>
      <c r="E365" s="741" t="s">
        <v>1748</v>
      </c>
      <c r="F365" s="734">
        <f>E366</f>
        <v>8.32</v>
      </c>
      <c r="G365" s="742"/>
      <c r="H365" s="742">
        <f t="shared" si="29"/>
        <v>0</v>
      </c>
      <c r="I365" s="392"/>
      <c r="J365" s="393"/>
      <c r="K365" s="743"/>
      <c r="L365" s="743"/>
      <c r="M365" s="744"/>
      <c r="N365" s="744"/>
      <c r="O365" s="744"/>
      <c r="P365" s="744"/>
      <c r="Q365" s="744"/>
      <c r="R365" s="744"/>
      <c r="S365" s="745"/>
      <c r="T365" s="745"/>
      <c r="U365" s="745"/>
      <c r="V365" s="746"/>
      <c r="W365" s="746"/>
      <c r="X365" s="746"/>
      <c r="Y365" s="746"/>
      <c r="Z365" s="746">
        <v>200</v>
      </c>
      <c r="AA365" s="746"/>
      <c r="AB365" s="746"/>
      <c r="AC365" s="746"/>
      <c r="AD365" s="746"/>
      <c r="AE365" s="746"/>
      <c r="AF365" s="746"/>
      <c r="AG365" s="746"/>
      <c r="AH365" s="746"/>
      <c r="AI365" s="746"/>
      <c r="AJ365" s="746"/>
      <c r="AK365" s="746"/>
      <c r="AL365" s="746"/>
      <c r="AM365" s="746"/>
      <c r="AN365" s="746"/>
      <c r="AO365" s="746"/>
      <c r="AP365" s="746"/>
      <c r="AQ365" s="746"/>
      <c r="AR365" s="746"/>
      <c r="AS365" s="746"/>
      <c r="AT365" s="746"/>
      <c r="AU365" s="746"/>
      <c r="AV365" s="746"/>
      <c r="AW365" s="746"/>
      <c r="AX365" s="746"/>
      <c r="AY365" s="746">
        <v>2</v>
      </c>
      <c r="AZ365" s="746">
        <f>IF(AY365=1,H365,0)</f>
        <v>0</v>
      </c>
      <c r="BA365" s="746">
        <f>IF(AY365=2,H365,0)</f>
        <v>0</v>
      </c>
      <c r="BB365" s="746">
        <f>IF(AY365=3,H365,0)</f>
        <v>0</v>
      </c>
      <c r="BC365" s="746">
        <f>IF(AY365=4,H365,0)</f>
        <v>0</v>
      </c>
      <c r="BD365" s="746">
        <f>IF(AY365=5,H365,0)</f>
        <v>0</v>
      </c>
      <c r="BE365" s="746"/>
      <c r="BF365" s="746"/>
      <c r="BG365" s="746"/>
      <c r="BH365" s="746"/>
    </row>
    <row r="366" spans="1:21" s="130" customFormat="1" ht="22.5" customHeight="1">
      <c r="A366" s="204"/>
      <c r="B366" s="205"/>
      <c r="C366" s="206" t="s">
        <v>1109</v>
      </c>
      <c r="D366" s="916"/>
      <c r="E366" s="207">
        <f>2.4*0.3+3*0.4*2+5.2</f>
        <v>8.32</v>
      </c>
      <c r="F366" s="335"/>
      <c r="G366" s="335"/>
      <c r="H366" s="335"/>
      <c r="I366" s="336"/>
      <c r="J366" s="337"/>
      <c r="K366" s="672"/>
      <c r="L366" s="672"/>
      <c r="M366" s="672"/>
      <c r="N366" s="672"/>
      <c r="O366" s="672"/>
      <c r="P366" s="672"/>
      <c r="Q366" s="673"/>
      <c r="R366" s="508"/>
      <c r="S366" s="508"/>
      <c r="T366" s="508"/>
      <c r="U366" s="508"/>
    </row>
    <row r="367" spans="1:21" s="299" customFormat="1" ht="9.75" customHeight="1">
      <c r="A367" s="295"/>
      <c r="B367" s="296"/>
      <c r="C367" s="297"/>
      <c r="D367" s="984"/>
      <c r="E367" s="298"/>
      <c r="F367" s="141"/>
      <c r="G367" s="141"/>
      <c r="H367" s="141"/>
      <c r="I367" s="390"/>
      <c r="J367" s="391"/>
      <c r="K367" s="736"/>
      <c r="L367" s="736"/>
      <c r="M367" s="736"/>
      <c r="N367" s="737"/>
      <c r="O367" s="580"/>
      <c r="P367" s="580"/>
      <c r="Q367" s="580"/>
      <c r="R367" s="580"/>
      <c r="S367" s="580"/>
      <c r="T367" s="580"/>
      <c r="U367" s="580"/>
    </row>
    <row r="368" spans="1:60" s="300" customFormat="1" ht="26.25" customHeight="1">
      <c r="A368" s="738" t="s">
        <v>605</v>
      </c>
      <c r="B368" s="739" t="s">
        <v>609</v>
      </c>
      <c r="C368" s="740" t="s">
        <v>610</v>
      </c>
      <c r="D368" s="982" t="s">
        <v>2796</v>
      </c>
      <c r="E368" s="741" t="s">
        <v>1748</v>
      </c>
      <c r="F368" s="742">
        <f>E369</f>
        <v>8.4864</v>
      </c>
      <c r="G368" s="742"/>
      <c r="H368" s="742">
        <f t="shared" si="29"/>
        <v>0</v>
      </c>
      <c r="I368" s="392"/>
      <c r="J368" s="393"/>
      <c r="K368" s="743"/>
      <c r="L368" s="743"/>
      <c r="M368" s="744"/>
      <c r="N368" s="744"/>
      <c r="O368" s="744"/>
      <c r="P368" s="744"/>
      <c r="Q368" s="744"/>
      <c r="R368" s="744"/>
      <c r="S368" s="745"/>
      <c r="T368" s="745"/>
      <c r="U368" s="745"/>
      <c r="V368" s="746"/>
      <c r="W368" s="746"/>
      <c r="X368" s="746"/>
      <c r="Y368" s="746"/>
      <c r="Z368" s="746">
        <v>201</v>
      </c>
      <c r="AA368" s="746"/>
      <c r="AB368" s="746"/>
      <c r="AC368" s="746"/>
      <c r="AD368" s="746"/>
      <c r="AE368" s="746"/>
      <c r="AF368" s="746"/>
      <c r="AG368" s="746"/>
      <c r="AH368" s="746"/>
      <c r="AI368" s="746"/>
      <c r="AJ368" s="746"/>
      <c r="AK368" s="746"/>
      <c r="AL368" s="746"/>
      <c r="AM368" s="746"/>
      <c r="AN368" s="746"/>
      <c r="AO368" s="746"/>
      <c r="AP368" s="746"/>
      <c r="AQ368" s="746"/>
      <c r="AR368" s="746"/>
      <c r="AS368" s="746"/>
      <c r="AT368" s="746"/>
      <c r="AU368" s="746"/>
      <c r="AV368" s="746"/>
      <c r="AW368" s="746"/>
      <c r="AX368" s="746"/>
      <c r="AY368" s="746">
        <v>2</v>
      </c>
      <c r="AZ368" s="746">
        <f>IF(AY368=1,H368,0)</f>
        <v>0</v>
      </c>
      <c r="BA368" s="746">
        <f>IF(AY368=2,H368,0)</f>
        <v>0</v>
      </c>
      <c r="BB368" s="746">
        <f>IF(AY368=3,H368,0)</f>
        <v>0</v>
      </c>
      <c r="BC368" s="746">
        <f>IF(AY368=4,H368,0)</f>
        <v>0</v>
      </c>
      <c r="BD368" s="746">
        <f>IF(AY368=5,H368,0)</f>
        <v>0</v>
      </c>
      <c r="BE368" s="746"/>
      <c r="BF368" s="746"/>
      <c r="BG368" s="746"/>
      <c r="BH368" s="746"/>
    </row>
    <row r="369" spans="1:21" s="130" customFormat="1" ht="22.5" customHeight="1">
      <c r="A369" s="204"/>
      <c r="B369" s="205"/>
      <c r="C369" s="206" t="s">
        <v>1136</v>
      </c>
      <c r="D369" s="916"/>
      <c r="E369" s="207">
        <f>(2.4*0.3+3*0.4*2+5.2)*1.02</f>
        <v>8.4864</v>
      </c>
      <c r="F369" s="335"/>
      <c r="G369" s="335"/>
      <c r="H369" s="335"/>
      <c r="I369" s="336"/>
      <c r="J369" s="337"/>
      <c r="K369" s="672"/>
      <c r="L369" s="672"/>
      <c r="M369" s="672"/>
      <c r="N369" s="672"/>
      <c r="O369" s="672"/>
      <c r="P369" s="672"/>
      <c r="Q369" s="673"/>
      <c r="R369" s="508"/>
      <c r="S369" s="508"/>
      <c r="T369" s="508"/>
      <c r="U369" s="508"/>
    </row>
    <row r="370" spans="1:21" s="142" customFormat="1" ht="12" customHeight="1">
      <c r="A370" s="153"/>
      <c r="B370" s="154"/>
      <c r="C370" s="155"/>
      <c r="D370" s="988"/>
      <c r="E370" s="155"/>
      <c r="F370" s="141"/>
      <c r="G370" s="141"/>
      <c r="H370" s="141"/>
      <c r="I370" s="394"/>
      <c r="J370" s="395"/>
      <c r="K370" s="749"/>
      <c r="L370" s="749"/>
      <c r="M370" s="749"/>
      <c r="N370" s="749"/>
      <c r="O370" s="750"/>
      <c r="P370" s="750"/>
      <c r="Q370" s="750"/>
      <c r="R370" s="750"/>
      <c r="S370" s="215"/>
      <c r="T370" s="215"/>
      <c r="U370" s="215"/>
    </row>
    <row r="371" spans="1:60" s="145" customFormat="1" ht="17.25" customHeight="1">
      <c r="A371" s="196" t="s">
        <v>608</v>
      </c>
      <c r="B371" s="285" t="s">
        <v>626</v>
      </c>
      <c r="C371" s="286" t="s">
        <v>627</v>
      </c>
      <c r="D371" s="982"/>
      <c r="E371" s="287" t="s">
        <v>1665</v>
      </c>
      <c r="F371" s="387">
        <f>SUM(H359:H370)*0.01</f>
        <v>0</v>
      </c>
      <c r="G371" s="387"/>
      <c r="H371" s="387">
        <f>F371*G371</f>
        <v>0</v>
      </c>
      <c r="I371" s="292">
        <v>0</v>
      </c>
      <c r="J371" s="389">
        <f>F371*I371</f>
        <v>0</v>
      </c>
      <c r="K371" s="143"/>
      <c r="L371" s="143"/>
      <c r="M371" s="143"/>
      <c r="N371" s="144"/>
      <c r="O371" s="144"/>
      <c r="P371" s="144"/>
      <c r="Q371" s="144"/>
      <c r="R371" s="144"/>
      <c r="S371" s="144"/>
      <c r="T371" s="144"/>
      <c r="U371" s="144"/>
      <c r="V371" s="288"/>
      <c r="W371" s="288"/>
      <c r="X371" s="288"/>
      <c r="Y371" s="288"/>
      <c r="Z371" s="288"/>
      <c r="AA371" s="288"/>
      <c r="AB371" s="288">
        <v>12</v>
      </c>
      <c r="AC371" s="288">
        <v>0</v>
      </c>
      <c r="AD371" s="288">
        <v>70</v>
      </c>
      <c r="AE371" s="288"/>
      <c r="AF371" s="288"/>
      <c r="AG371" s="288"/>
      <c r="AH371" s="288"/>
      <c r="AI371" s="288"/>
      <c r="AJ371" s="288"/>
      <c r="AK371" s="288"/>
      <c r="AL371" s="288"/>
      <c r="AM371" s="288"/>
      <c r="AN371" s="288"/>
      <c r="AO371" s="288"/>
      <c r="AP371" s="288"/>
      <c r="AQ371" s="288"/>
      <c r="AR371" s="288"/>
      <c r="AS371" s="288"/>
      <c r="AT371" s="288"/>
      <c r="AU371" s="288"/>
      <c r="AV371" s="288"/>
      <c r="AW371" s="288"/>
      <c r="AX371" s="288"/>
      <c r="AY371" s="288"/>
      <c r="AZ371" s="288"/>
      <c r="BA371" s="288"/>
      <c r="BB371" s="288"/>
      <c r="BC371" s="288">
        <v>2</v>
      </c>
      <c r="BD371" s="288">
        <f>IF(BC371=1,H371,0)</f>
        <v>0</v>
      </c>
      <c r="BE371" s="288">
        <f>IF(BC371=2,H371,0)</f>
        <v>0</v>
      </c>
      <c r="BF371" s="288">
        <f>IF(BC371=3,H371,0)</f>
        <v>0</v>
      </c>
      <c r="BG371" s="288">
        <f>IF(BC371=4,H371,0)</f>
        <v>0</v>
      </c>
      <c r="BH371" s="288">
        <f>IF(BC371=5,H371,0)</f>
        <v>0</v>
      </c>
    </row>
    <row r="372" spans="1:23" s="294" customFormat="1" ht="13.5" thickBot="1">
      <c r="A372" s="328"/>
      <c r="B372" s="780"/>
      <c r="C372" s="329"/>
      <c r="D372" s="986"/>
      <c r="E372" s="330"/>
      <c r="F372" s="396"/>
      <c r="G372" s="331"/>
      <c r="H372" s="331"/>
      <c r="I372" s="422"/>
      <c r="J372" s="423"/>
      <c r="K372" s="143"/>
      <c r="L372" s="143"/>
      <c r="M372" s="143"/>
      <c r="N372" s="735"/>
      <c r="O372" s="693"/>
      <c r="P372" s="293"/>
      <c r="Q372" s="293"/>
      <c r="R372" s="293"/>
      <c r="S372" s="293"/>
      <c r="T372" s="293"/>
      <c r="U372" s="293"/>
      <c r="V372" s="293"/>
      <c r="W372" s="293"/>
    </row>
    <row r="373" spans="1:21" ht="16.5" customHeight="1" thickBot="1">
      <c r="A373" s="266" t="s">
        <v>628</v>
      </c>
      <c r="B373" s="175" t="s">
        <v>629</v>
      </c>
      <c r="C373" s="176" t="s">
        <v>630</v>
      </c>
      <c r="D373" s="1008"/>
      <c r="E373" s="175"/>
      <c r="F373" s="341"/>
      <c r="G373" s="341"/>
      <c r="H373" s="342">
        <f>SUM(H374:H374)</f>
        <v>0</v>
      </c>
      <c r="I373" s="343"/>
      <c r="J373" s="344">
        <f>SUM(J374:J374)</f>
        <v>0</v>
      </c>
      <c r="K373" s="670"/>
      <c r="L373" s="670"/>
      <c r="M373" s="670"/>
      <c r="N373" s="670"/>
      <c r="O373" s="670"/>
      <c r="P373" s="670"/>
      <c r="Q373" s="670"/>
      <c r="R373" s="670"/>
      <c r="S373" s="670"/>
      <c r="T373" s="670"/>
      <c r="U373" s="670"/>
    </row>
    <row r="374" spans="1:60" s="145" customFormat="1" ht="17.25" customHeight="1" thickBot="1">
      <c r="A374" s="196"/>
      <c r="B374" s="285"/>
      <c r="C374" s="286"/>
      <c r="D374" s="1199"/>
      <c r="E374" s="287"/>
      <c r="F374" s="387"/>
      <c r="G374" s="387"/>
      <c r="H374" s="387"/>
      <c r="I374" s="292"/>
      <c r="J374" s="389"/>
      <c r="K374" s="143"/>
      <c r="L374" s="143"/>
      <c r="M374" s="143"/>
      <c r="N374" s="144"/>
      <c r="O374" s="144"/>
      <c r="P374" s="144"/>
      <c r="Q374" s="144"/>
      <c r="R374" s="144"/>
      <c r="S374" s="144"/>
      <c r="T374" s="144"/>
      <c r="U374" s="144"/>
      <c r="V374" s="288"/>
      <c r="W374" s="288"/>
      <c r="X374" s="288"/>
      <c r="Y374" s="288"/>
      <c r="Z374" s="288"/>
      <c r="AA374" s="288"/>
      <c r="AB374" s="288"/>
      <c r="AC374" s="288"/>
      <c r="AD374" s="288"/>
      <c r="AE374" s="288"/>
      <c r="AF374" s="288"/>
      <c r="AG374" s="288"/>
      <c r="AH374" s="288"/>
      <c r="AI374" s="288"/>
      <c r="AJ374" s="288"/>
      <c r="AK374" s="288"/>
      <c r="AL374" s="288"/>
      <c r="AM374" s="288"/>
      <c r="AN374" s="288"/>
      <c r="AO374" s="288"/>
      <c r="AP374" s="288"/>
      <c r="AQ374" s="288"/>
      <c r="AR374" s="288"/>
      <c r="AS374" s="288"/>
      <c r="AT374" s="288"/>
      <c r="AU374" s="288"/>
      <c r="AV374" s="288"/>
      <c r="AW374" s="288"/>
      <c r="AX374" s="288"/>
      <c r="AY374" s="288"/>
      <c r="AZ374" s="288"/>
      <c r="BA374" s="288"/>
      <c r="BB374" s="288"/>
      <c r="BC374" s="288"/>
      <c r="BD374" s="288"/>
      <c r="BE374" s="288"/>
      <c r="BF374" s="288"/>
      <c r="BG374" s="288"/>
      <c r="BH374" s="288"/>
    </row>
    <row r="375" spans="1:21" ht="16.5" customHeight="1" thickBot="1">
      <c r="A375" s="266" t="s">
        <v>679</v>
      </c>
      <c r="B375" s="175" t="s">
        <v>680</v>
      </c>
      <c r="C375" s="176" t="s">
        <v>681</v>
      </c>
      <c r="D375" s="1008"/>
      <c r="E375" s="175"/>
      <c r="F375" s="341"/>
      <c r="G375" s="341"/>
      <c r="H375" s="1011">
        <f>SUM(H376:H379)</f>
        <v>0</v>
      </c>
      <c r="I375" s="343"/>
      <c r="J375" s="1012">
        <f>SUM(J376:J379)</f>
        <v>0.0038039880000000003</v>
      </c>
      <c r="K375" s="670"/>
      <c r="L375" s="670"/>
      <c r="M375" s="670"/>
      <c r="N375" s="670"/>
      <c r="O375" s="670"/>
      <c r="P375" s="670"/>
      <c r="Q375" s="670"/>
      <c r="R375" s="670"/>
      <c r="S375" s="670"/>
      <c r="T375" s="670"/>
      <c r="U375" s="670"/>
    </row>
    <row r="376" spans="1:21" s="22" customFormat="1" ht="18.75" customHeight="1">
      <c r="A376" s="190" t="s">
        <v>682</v>
      </c>
      <c r="B376" s="191" t="s">
        <v>1720</v>
      </c>
      <c r="C376" s="265" t="s">
        <v>693</v>
      </c>
      <c r="D376" s="982" t="s">
        <v>2796</v>
      </c>
      <c r="E376" s="192" t="s">
        <v>1748</v>
      </c>
      <c r="F376" s="345">
        <f>SUM(E377:E377)</f>
        <v>6.259</v>
      </c>
      <c r="G376" s="345"/>
      <c r="H376" s="783">
        <f>F376*G376</f>
        <v>0</v>
      </c>
      <c r="I376" s="346">
        <v>0.0003</v>
      </c>
      <c r="J376" s="347">
        <f>F376*I376</f>
        <v>0.0018777</v>
      </c>
      <c r="K376" s="693"/>
      <c r="L376" s="693"/>
      <c r="M376" s="693"/>
      <c r="N376" s="693"/>
      <c r="O376" s="693"/>
      <c r="P376" s="693"/>
      <c r="Q376" s="694"/>
      <c r="R376" s="509"/>
      <c r="S376" s="509"/>
      <c r="T376" s="509"/>
      <c r="U376" s="509"/>
    </row>
    <row r="377" spans="1:21" s="130" customFormat="1" ht="16.5" customHeight="1">
      <c r="A377" s="204"/>
      <c r="B377" s="205" t="s">
        <v>878</v>
      </c>
      <c r="C377" s="206" t="s">
        <v>980</v>
      </c>
      <c r="D377" s="916"/>
      <c r="E377" s="207">
        <f>(2.36+3.33)*1.1</f>
        <v>6.259</v>
      </c>
      <c r="F377" s="335"/>
      <c r="G377" s="335"/>
      <c r="H377" s="335"/>
      <c r="I377" s="336"/>
      <c r="J377" s="337"/>
      <c r="K377" s="672"/>
      <c r="L377" s="672"/>
      <c r="M377" s="672"/>
      <c r="N377" s="672"/>
      <c r="O377" s="672"/>
      <c r="P377" s="672"/>
      <c r="Q377" s="673"/>
      <c r="R377" s="508"/>
      <c r="S377" s="508"/>
      <c r="T377" s="508"/>
      <c r="U377" s="508"/>
    </row>
    <row r="378" spans="1:21" s="586" customFormat="1" ht="18.75" customHeight="1">
      <c r="A378" s="591" t="s">
        <v>686</v>
      </c>
      <c r="B378" s="592" t="s">
        <v>690</v>
      </c>
      <c r="C378" s="705" t="s">
        <v>691</v>
      </c>
      <c r="D378" s="982" t="s">
        <v>2796</v>
      </c>
      <c r="E378" s="706" t="s">
        <v>1748</v>
      </c>
      <c r="F378" s="594">
        <f>6*(2.58*0.28)+0.18*0.28*2*6</f>
        <v>4.9392000000000005</v>
      </c>
      <c r="G378" s="594"/>
      <c r="H378" s="594">
        <f>F378*G378</f>
        <v>0</v>
      </c>
      <c r="I378" s="595">
        <v>0.00039</v>
      </c>
      <c r="J378" s="596">
        <f>F378*I378</f>
        <v>0.0019262880000000002</v>
      </c>
      <c r="K378" s="784"/>
      <c r="L378" s="784"/>
      <c r="M378" s="784"/>
      <c r="N378" s="784"/>
      <c r="O378" s="784"/>
      <c r="P378" s="784"/>
      <c r="Q378" s="785"/>
      <c r="R378" s="597"/>
      <c r="S378" s="597"/>
      <c r="T378" s="597"/>
      <c r="U378" s="597"/>
    </row>
    <row r="379" spans="1:20" s="22" customFormat="1" ht="12.75" customHeight="1" thickBot="1">
      <c r="A379" s="196"/>
      <c r="B379" s="197"/>
      <c r="C379" s="199"/>
      <c r="D379" s="917"/>
      <c r="E379" s="198"/>
      <c r="F379" s="332"/>
      <c r="G379" s="332"/>
      <c r="H379" s="332"/>
      <c r="I379" s="333"/>
      <c r="J379" s="334"/>
      <c r="K379" s="693"/>
      <c r="L379" s="693"/>
      <c r="M379" s="693"/>
      <c r="N379" s="693"/>
      <c r="O379" s="693"/>
      <c r="P379" s="693"/>
      <c r="Q379" s="694"/>
      <c r="R379" s="509"/>
      <c r="S379" s="509"/>
      <c r="T379" s="509"/>
    </row>
    <row r="380" spans="1:21" ht="16.5" customHeight="1" thickBot="1">
      <c r="A380" s="266" t="s">
        <v>695</v>
      </c>
      <c r="B380" s="175" t="s">
        <v>696</v>
      </c>
      <c r="C380" s="176" t="s">
        <v>697</v>
      </c>
      <c r="D380" s="1008"/>
      <c r="E380" s="175"/>
      <c r="F380" s="341"/>
      <c r="G380" s="341"/>
      <c r="H380" s="342">
        <f>SUM(H381:H383)</f>
        <v>0</v>
      </c>
      <c r="I380" s="343"/>
      <c r="J380" s="344">
        <f>SUM(J381:J383)</f>
        <v>0.29229199999999994</v>
      </c>
      <c r="K380" s="670"/>
      <c r="L380" s="670"/>
      <c r="M380" s="670"/>
      <c r="N380" s="670"/>
      <c r="O380" s="670"/>
      <c r="P380" s="670"/>
      <c r="Q380" s="670"/>
      <c r="R380" s="670"/>
      <c r="S380" s="670"/>
      <c r="T380" s="670"/>
      <c r="U380" s="670"/>
    </row>
    <row r="381" spans="1:21" s="145" customFormat="1" ht="20.25" customHeight="1">
      <c r="A381" s="196" t="s">
        <v>698</v>
      </c>
      <c r="B381" s="285" t="s">
        <v>699</v>
      </c>
      <c r="C381" s="286" t="s">
        <v>700</v>
      </c>
      <c r="D381" s="982" t="s">
        <v>2796</v>
      </c>
      <c r="E381" s="287" t="s">
        <v>1748</v>
      </c>
      <c r="F381" s="387">
        <f>1328.6*0.85</f>
        <v>1129.31</v>
      </c>
      <c r="G381" s="387"/>
      <c r="H381" s="387">
        <f>F381*G381</f>
        <v>0</v>
      </c>
      <c r="I381" s="292">
        <v>0</v>
      </c>
      <c r="J381" s="389">
        <f>F381*I381</f>
        <v>0</v>
      </c>
      <c r="K381" s="143"/>
      <c r="L381" s="143"/>
      <c r="M381" s="143"/>
      <c r="N381" s="144"/>
      <c r="O381" s="144"/>
      <c r="P381" s="144"/>
      <c r="Q381" s="144"/>
      <c r="R381" s="144"/>
      <c r="S381" s="144"/>
      <c r="T381" s="144"/>
      <c r="U381" s="144"/>
    </row>
    <row r="382" spans="1:21" s="145" customFormat="1" ht="22.5" customHeight="1">
      <c r="A382" s="196" t="s">
        <v>701</v>
      </c>
      <c r="B382" s="285" t="s">
        <v>702</v>
      </c>
      <c r="C382" s="286" t="s">
        <v>703</v>
      </c>
      <c r="D382" s="982" t="s">
        <v>2796</v>
      </c>
      <c r="E382" s="287" t="s">
        <v>1748</v>
      </c>
      <c r="F382" s="387">
        <v>1328.6</v>
      </c>
      <c r="G382" s="387"/>
      <c r="H382" s="387">
        <f>F382*G382</f>
        <v>0</v>
      </c>
      <c r="I382" s="292">
        <v>7E-05</v>
      </c>
      <c r="J382" s="389">
        <f>F382*I382</f>
        <v>0.09300199999999999</v>
      </c>
      <c r="K382" s="143"/>
      <c r="L382" s="143"/>
      <c r="M382" s="143"/>
      <c r="N382" s="144"/>
      <c r="O382" s="144"/>
      <c r="P382" s="144"/>
      <c r="Q382" s="144"/>
      <c r="R382" s="144"/>
      <c r="S382" s="144"/>
      <c r="T382" s="144"/>
      <c r="U382" s="144"/>
    </row>
    <row r="383" spans="1:21" s="145" customFormat="1" ht="23.25" customHeight="1" thickBot="1">
      <c r="A383" s="196" t="s">
        <v>704</v>
      </c>
      <c r="B383" s="285" t="s">
        <v>705</v>
      </c>
      <c r="C383" s="286" t="s">
        <v>706</v>
      </c>
      <c r="D383" s="982" t="s">
        <v>2796</v>
      </c>
      <c r="E383" s="287" t="s">
        <v>1748</v>
      </c>
      <c r="F383" s="387">
        <f>F382</f>
        <v>1328.6</v>
      </c>
      <c r="G383" s="387"/>
      <c r="H383" s="387">
        <f>F383*G383</f>
        <v>0</v>
      </c>
      <c r="I383" s="292">
        <v>0.00015</v>
      </c>
      <c r="J383" s="389">
        <f>F383*I383</f>
        <v>0.19928999999999997</v>
      </c>
      <c r="K383" s="143"/>
      <c r="L383" s="143"/>
      <c r="M383" s="143"/>
      <c r="N383" s="144"/>
      <c r="O383" s="144"/>
      <c r="P383" s="144"/>
      <c r="Q383" s="144"/>
      <c r="R383" s="144"/>
      <c r="S383" s="144"/>
      <c r="T383" s="144"/>
      <c r="U383" s="144"/>
    </row>
    <row r="384" spans="1:21" ht="16.5" customHeight="1" thickBot="1">
      <c r="A384" s="266" t="s">
        <v>805</v>
      </c>
      <c r="B384" s="175" t="s">
        <v>708</v>
      </c>
      <c r="C384" s="176" t="s">
        <v>709</v>
      </c>
      <c r="D384" s="1008"/>
      <c r="E384" s="175"/>
      <c r="F384" s="341"/>
      <c r="G384" s="341"/>
      <c r="H384" s="342">
        <f>SUM(H385:H388)</f>
        <v>0</v>
      </c>
      <c r="I384" s="343"/>
      <c r="J384" s="344">
        <f>SUM(J385:J388)</f>
        <v>0</v>
      </c>
      <c r="K384" s="670"/>
      <c r="L384" s="670"/>
      <c r="M384" s="670"/>
      <c r="N384" s="670"/>
      <c r="O384" s="670"/>
      <c r="P384" s="670"/>
      <c r="Q384" s="670"/>
      <c r="R384" s="670"/>
      <c r="S384" s="670"/>
      <c r="T384" s="670"/>
      <c r="U384" s="670"/>
    </row>
    <row r="385" spans="1:21" s="145" customFormat="1" ht="13.5" customHeight="1">
      <c r="A385" s="196"/>
      <c r="B385" s="285"/>
      <c r="C385" s="286"/>
      <c r="D385" s="982"/>
      <c r="E385" s="287"/>
      <c r="F385" s="387"/>
      <c r="G385" s="387"/>
      <c r="H385" s="387"/>
      <c r="I385" s="292"/>
      <c r="J385" s="389"/>
      <c r="K385" s="143"/>
      <c r="L385" s="143"/>
      <c r="M385" s="143"/>
      <c r="N385" s="144"/>
      <c r="O385" s="144"/>
      <c r="P385" s="144"/>
      <c r="Q385" s="144"/>
      <c r="R385" s="144"/>
      <c r="S385" s="144"/>
      <c r="T385" s="144"/>
      <c r="U385" s="144"/>
    </row>
    <row r="386" spans="1:21" s="145" customFormat="1" ht="25.5" customHeight="1">
      <c r="A386" s="196" t="s">
        <v>710</v>
      </c>
      <c r="B386" s="285" t="s">
        <v>711</v>
      </c>
      <c r="C386" s="286" t="s">
        <v>712</v>
      </c>
      <c r="D386" s="982" t="s">
        <v>2797</v>
      </c>
      <c r="E386" s="287" t="s">
        <v>2695</v>
      </c>
      <c r="F386" s="387">
        <v>1</v>
      </c>
      <c r="G386" s="387"/>
      <c r="H386" s="387">
        <f>F386*G386</f>
        <v>0</v>
      </c>
      <c r="I386" s="292">
        <v>0</v>
      </c>
      <c r="J386" s="389">
        <f>F386*I386</f>
        <v>0</v>
      </c>
      <c r="K386" s="143"/>
      <c r="L386" s="143"/>
      <c r="M386" s="143"/>
      <c r="N386" s="144"/>
      <c r="O386" s="144"/>
      <c r="P386" s="144"/>
      <c r="Q386" s="144"/>
      <c r="R386" s="144"/>
      <c r="S386" s="144"/>
      <c r="T386" s="144"/>
      <c r="U386" s="144"/>
    </row>
    <row r="387" spans="1:21" s="145" customFormat="1" ht="17.25" customHeight="1">
      <c r="A387" s="196" t="s">
        <v>713</v>
      </c>
      <c r="B387" s="285" t="s">
        <v>714</v>
      </c>
      <c r="C387" s="286" t="s">
        <v>715</v>
      </c>
      <c r="D387" s="982"/>
      <c r="E387" s="287" t="s">
        <v>2695</v>
      </c>
      <c r="F387" s="387">
        <v>1</v>
      </c>
      <c r="G387" s="387"/>
      <c r="H387" s="387">
        <f>F387*G387</f>
        <v>0</v>
      </c>
      <c r="I387" s="292">
        <v>0</v>
      </c>
      <c r="J387" s="389">
        <f>F387*I387</f>
        <v>0</v>
      </c>
      <c r="K387" s="143"/>
      <c r="L387" s="143"/>
      <c r="M387" s="143"/>
      <c r="N387" s="144"/>
      <c r="O387" s="144"/>
      <c r="P387" s="144"/>
      <c r="Q387" s="144"/>
      <c r="R387" s="144"/>
      <c r="S387" s="144"/>
      <c r="T387" s="144"/>
      <c r="U387" s="144"/>
    </row>
    <row r="388" spans="1:21" s="145" customFormat="1" ht="12" customHeight="1" thickBot="1">
      <c r="A388" s="196"/>
      <c r="B388" s="285"/>
      <c r="C388" s="286"/>
      <c r="D388" s="982"/>
      <c r="E388" s="287"/>
      <c r="F388" s="387"/>
      <c r="G388" s="387"/>
      <c r="H388" s="387"/>
      <c r="I388" s="292"/>
      <c r="J388" s="389"/>
      <c r="K388" s="143"/>
      <c r="L388" s="143"/>
      <c r="M388" s="143"/>
      <c r="N388" s="144"/>
      <c r="O388" s="144"/>
      <c r="P388" s="144"/>
      <c r="Q388" s="144"/>
      <c r="R388" s="144"/>
      <c r="S388" s="144"/>
      <c r="T388" s="144"/>
      <c r="U388" s="144"/>
    </row>
    <row r="389" spans="1:21" ht="16.5" customHeight="1" thickBot="1">
      <c r="A389" s="266"/>
      <c r="B389" s="175"/>
      <c r="C389" s="176"/>
      <c r="D389" s="1008"/>
      <c r="E389" s="175"/>
      <c r="F389" s="341"/>
      <c r="G389" s="341"/>
      <c r="H389" s="342"/>
      <c r="I389" s="343"/>
      <c r="J389" s="344"/>
      <c r="K389" s="670"/>
      <c r="L389" s="670"/>
      <c r="M389" s="670"/>
      <c r="N389" s="670"/>
      <c r="O389" s="670"/>
      <c r="P389" s="670"/>
      <c r="Q389" s="670"/>
      <c r="R389" s="670"/>
      <c r="S389" s="670"/>
      <c r="T389" s="670"/>
      <c r="U389" s="670"/>
    </row>
    <row r="390" spans="1:21" ht="6.75" customHeight="1">
      <c r="A390" s="24"/>
      <c r="B390" s="186"/>
      <c r="C390" s="186"/>
      <c r="D390" s="1200"/>
      <c r="E390" s="187"/>
      <c r="F390" s="409"/>
      <c r="G390" s="409"/>
      <c r="H390" s="409"/>
      <c r="I390" s="410"/>
      <c r="J390" s="411"/>
      <c r="K390" s="670"/>
      <c r="L390" s="670"/>
      <c r="M390" s="670"/>
      <c r="N390" s="670"/>
      <c r="O390" s="670"/>
      <c r="P390" s="670"/>
      <c r="Q390" s="670"/>
      <c r="R390" s="670"/>
      <c r="S390" s="670"/>
      <c r="T390" s="670"/>
      <c r="U390" s="670"/>
    </row>
    <row r="391" spans="1:21" s="577" customFormat="1" ht="24" customHeight="1" thickBot="1">
      <c r="A391" s="753"/>
      <c r="B391" s="754"/>
      <c r="C391" s="755" t="s">
        <v>716</v>
      </c>
      <c r="D391" s="756"/>
      <c r="E391" s="756"/>
      <c r="F391" s="754"/>
      <c r="G391" s="754"/>
      <c r="H391" s="757">
        <f>H384+H380+H375+H373+H357+H341+H314+H298+H293+H291+H277+H260+H234+H170+H160+H156+H109+H97+H65+H57+H41+H39+H37+H29+H18</f>
        <v>0</v>
      </c>
      <c r="I391" s="758"/>
      <c r="J391" s="759"/>
      <c r="K391" s="760"/>
      <c r="L391" s="760"/>
      <c r="M391" s="760"/>
      <c r="N391" s="760"/>
      <c r="O391" s="760"/>
      <c r="P391" s="760"/>
      <c r="Q391" s="760"/>
      <c r="R391" s="760"/>
      <c r="S391" s="760"/>
      <c r="T391" s="760"/>
      <c r="U391" s="463"/>
    </row>
  </sheetData>
  <mergeCells count="21">
    <mergeCell ref="F2:F3"/>
    <mergeCell ref="C2:C3"/>
    <mergeCell ref="C4:C5"/>
    <mergeCell ref="F4:F5"/>
    <mergeCell ref="D2:E3"/>
    <mergeCell ref="D4:E5"/>
    <mergeCell ref="G2:G3"/>
    <mergeCell ref="G4:G5"/>
    <mergeCell ref="H2:J3"/>
    <mergeCell ref="H4:J5"/>
    <mergeCell ref="H6:J7"/>
    <mergeCell ref="G14:H14"/>
    <mergeCell ref="G6:G7"/>
    <mergeCell ref="I14:J14"/>
    <mergeCell ref="C8:C9"/>
    <mergeCell ref="D8:F9"/>
    <mergeCell ref="G8:G9"/>
    <mergeCell ref="H8:J9"/>
    <mergeCell ref="C6:C7"/>
    <mergeCell ref="D6:E7"/>
    <mergeCell ref="F6:F7"/>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H392"/>
  <sheetViews>
    <sheetView showGridLines="0" view="pageBreakPreview" zoomScaleSheetLayoutView="100" workbookViewId="0" topLeftCell="A1">
      <selection activeCell="G1" sqref="G1"/>
    </sheetView>
  </sheetViews>
  <sheetFormatPr defaultColWidth="9.140625" defaultRowHeight="12.75"/>
  <cols>
    <col min="1" max="1" width="5.28125" style="28" customWidth="1"/>
    <col min="2" max="2" width="14.7109375" style="0" customWidth="1"/>
    <col min="3" max="3" width="45.57421875" style="0" customWidth="1"/>
    <col min="4" max="4" width="9.7109375" style="987" customWidth="1"/>
    <col min="5" max="5" width="9.421875" style="33" bestFit="1" customWidth="1"/>
    <col min="6" max="6" width="9.57421875" style="0" customWidth="1"/>
    <col min="7" max="7" width="11.28125" style="0" customWidth="1"/>
    <col min="8" max="8" width="13.421875" style="0" customWidth="1"/>
    <col min="9" max="9" width="8.28125" style="12" customWidth="1"/>
    <col min="10" max="10" width="9.8515625" style="12" customWidth="1"/>
    <col min="11" max="20" width="9.140625" style="579" customWidth="1"/>
  </cols>
  <sheetData>
    <row r="1" spans="1:20" ht="23.25">
      <c r="A1" s="23"/>
      <c r="B1" s="13"/>
      <c r="C1" s="14" t="s">
        <v>1683</v>
      </c>
      <c r="D1" s="13"/>
      <c r="E1" s="13"/>
      <c r="F1" s="13"/>
      <c r="G1" s="13"/>
      <c r="H1" s="13"/>
      <c r="I1" s="15"/>
      <c r="J1" s="16"/>
      <c r="K1" s="670"/>
      <c r="L1" s="670"/>
      <c r="M1" s="670"/>
      <c r="N1" s="670"/>
      <c r="O1" s="670"/>
      <c r="P1" s="670"/>
      <c r="Q1" s="670"/>
      <c r="R1" s="670"/>
      <c r="S1" s="670"/>
      <c r="T1" s="670"/>
    </row>
    <row r="2" spans="1:20" ht="12.75">
      <c r="A2" s="24"/>
      <c r="B2" s="653"/>
      <c r="C2" s="1310" t="s">
        <v>1684</v>
      </c>
      <c r="D2" s="1308" t="s">
        <v>1685</v>
      </c>
      <c r="E2" s="1308"/>
      <c r="F2" s="1308"/>
      <c r="G2" s="1320" t="s">
        <v>1686</v>
      </c>
      <c r="H2" s="1324" t="s">
        <v>1687</v>
      </c>
      <c r="I2" s="1325"/>
      <c r="J2" s="1326"/>
      <c r="K2" s="670"/>
      <c r="L2" s="670"/>
      <c r="M2" s="670"/>
      <c r="N2" s="670"/>
      <c r="O2" s="670"/>
      <c r="P2" s="670"/>
      <c r="Q2" s="670"/>
      <c r="R2" s="670"/>
      <c r="S2" s="670"/>
      <c r="T2" s="670"/>
    </row>
    <row r="3" spans="1:20" ht="12.75">
      <c r="A3" s="24"/>
      <c r="B3" s="652"/>
      <c r="C3" s="1311"/>
      <c r="D3" s="1309"/>
      <c r="E3" s="1309"/>
      <c r="F3" s="1309"/>
      <c r="G3" s="1321"/>
      <c r="H3" s="1316"/>
      <c r="I3" s="1316"/>
      <c r="J3" s="1317"/>
      <c r="K3" s="670"/>
      <c r="L3" s="670"/>
      <c r="M3" s="670"/>
      <c r="N3" s="670"/>
      <c r="O3" s="670"/>
      <c r="P3" s="670"/>
      <c r="Q3" s="670"/>
      <c r="R3" s="670"/>
      <c r="S3" s="670"/>
      <c r="T3" s="670"/>
    </row>
    <row r="4" spans="1:20" ht="12.75">
      <c r="A4" s="24"/>
      <c r="B4" s="652"/>
      <c r="C4" s="1309" t="s">
        <v>1688</v>
      </c>
      <c r="D4" s="1309" t="s">
        <v>1689</v>
      </c>
      <c r="E4" s="1309"/>
      <c r="F4" s="1327"/>
      <c r="G4" s="1321" t="s">
        <v>1690</v>
      </c>
      <c r="H4" s="1315" t="s">
        <v>1586</v>
      </c>
      <c r="I4" s="1315"/>
      <c r="J4" s="1328"/>
      <c r="K4" s="670"/>
      <c r="L4" s="670"/>
      <c r="M4" s="670"/>
      <c r="N4" s="670"/>
      <c r="O4" s="670"/>
      <c r="P4" s="670"/>
      <c r="Q4" s="670"/>
      <c r="R4" s="670"/>
      <c r="S4" s="670"/>
      <c r="T4" s="670"/>
    </row>
    <row r="5" spans="1:20" ht="12.75">
      <c r="A5" s="24"/>
      <c r="B5" s="652"/>
      <c r="C5" s="1312"/>
      <c r="D5" s="1309"/>
      <c r="E5" s="1309"/>
      <c r="F5" s="1327"/>
      <c r="G5" s="1321"/>
      <c r="H5" s="1315"/>
      <c r="I5" s="1315"/>
      <c r="J5" s="1328"/>
      <c r="K5" s="670"/>
      <c r="L5" s="670"/>
      <c r="M5" s="670"/>
      <c r="N5" s="670"/>
      <c r="O5" s="670"/>
      <c r="P5" s="670"/>
      <c r="Q5" s="670"/>
      <c r="R5" s="670"/>
      <c r="S5" s="670"/>
      <c r="T5" s="670"/>
    </row>
    <row r="6" spans="1:20" ht="12.75">
      <c r="A6" s="24"/>
      <c r="B6" s="652"/>
      <c r="C6" s="1309" t="s">
        <v>1580</v>
      </c>
      <c r="D6" s="1309" t="s">
        <v>1691</v>
      </c>
      <c r="E6" s="1309"/>
      <c r="F6" s="1327"/>
      <c r="G6" s="1321" t="s">
        <v>1692</v>
      </c>
      <c r="H6" s="1315"/>
      <c r="I6" s="1316"/>
      <c r="J6" s="1317"/>
      <c r="K6" s="670"/>
      <c r="L6" s="670"/>
      <c r="M6" s="670"/>
      <c r="N6" s="670"/>
      <c r="O6" s="670"/>
      <c r="P6" s="670"/>
      <c r="Q6" s="670"/>
      <c r="R6" s="670"/>
      <c r="S6" s="670"/>
      <c r="T6" s="670"/>
    </row>
    <row r="7" spans="1:20" ht="12.75">
      <c r="A7" s="24"/>
      <c r="B7" s="652"/>
      <c r="C7" s="1312"/>
      <c r="D7" s="1309"/>
      <c r="E7" s="1309"/>
      <c r="F7" s="1327"/>
      <c r="G7" s="1321"/>
      <c r="H7" s="1316"/>
      <c r="I7" s="1316"/>
      <c r="J7" s="1317"/>
      <c r="K7" s="670"/>
      <c r="L7" s="670"/>
      <c r="M7" s="670"/>
      <c r="N7" s="670"/>
      <c r="O7" s="670"/>
      <c r="P7" s="670"/>
      <c r="Q7" s="670"/>
      <c r="R7" s="670"/>
      <c r="S7" s="670"/>
      <c r="T7" s="670"/>
    </row>
    <row r="8" spans="1:20" ht="12.75">
      <c r="A8" s="24"/>
      <c r="B8" s="652"/>
      <c r="C8" s="1306" t="s">
        <v>1137</v>
      </c>
      <c r="D8" s="1313" t="s">
        <v>2829</v>
      </c>
      <c r="E8" s="1314"/>
      <c r="F8" s="1314"/>
      <c r="G8" s="1321" t="s">
        <v>1693</v>
      </c>
      <c r="H8" s="1315" t="s">
        <v>1586</v>
      </c>
      <c r="I8" s="1316"/>
      <c r="J8" s="1317"/>
      <c r="K8" s="670"/>
      <c r="L8" s="670"/>
      <c r="M8" s="670"/>
      <c r="N8" s="670"/>
      <c r="O8" s="670"/>
      <c r="P8" s="670"/>
      <c r="Q8" s="670"/>
      <c r="R8" s="670"/>
      <c r="S8" s="670"/>
      <c r="T8" s="670"/>
    </row>
    <row r="9" spans="1:20" ht="12.75">
      <c r="A9" s="24"/>
      <c r="B9" s="652"/>
      <c r="C9" s="1329"/>
      <c r="D9" s="1314"/>
      <c r="E9" s="1314"/>
      <c r="F9" s="1314"/>
      <c r="G9" s="1321"/>
      <c r="H9" s="1316"/>
      <c r="I9" s="1316"/>
      <c r="J9" s="1317"/>
      <c r="K9" s="670"/>
      <c r="L9" s="670"/>
      <c r="M9" s="670"/>
      <c r="N9" s="670"/>
      <c r="O9" s="670"/>
      <c r="P9" s="670"/>
      <c r="Q9" s="670"/>
      <c r="R9" s="670"/>
      <c r="S9" s="670"/>
      <c r="T9" s="670"/>
    </row>
    <row r="10" spans="1:20" s="18" customFormat="1" ht="15" customHeight="1">
      <c r="A10" s="25"/>
      <c r="B10" s="652"/>
      <c r="C10" s="1015"/>
      <c r="D10" s="1021" t="s">
        <v>2748</v>
      </c>
      <c r="E10" s="1020"/>
      <c r="F10" s="1020"/>
      <c r="G10" s="1000"/>
      <c r="H10" s="1001"/>
      <c r="I10" s="1001"/>
      <c r="J10" s="1002"/>
      <c r="K10" s="671"/>
      <c r="L10" s="671"/>
      <c r="M10" s="671"/>
      <c r="N10" s="671"/>
      <c r="O10" s="671"/>
      <c r="P10" s="671"/>
      <c r="Q10" s="671"/>
      <c r="R10" s="671"/>
      <c r="S10" s="671"/>
      <c r="T10" s="671"/>
    </row>
    <row r="11" spans="1:20" s="18" customFormat="1" ht="16.5" customHeight="1">
      <c r="A11" s="25"/>
      <c r="B11" s="652"/>
      <c r="C11" s="1015"/>
      <c r="D11" s="1035" t="s">
        <v>2828</v>
      </c>
      <c r="E11" s="1035"/>
      <c r="F11" s="1035"/>
      <c r="G11" s="1000"/>
      <c r="H11" s="1001"/>
      <c r="I11" s="1001"/>
      <c r="J11" s="1002"/>
      <c r="O11" s="512"/>
      <c r="P11" s="512"/>
      <c r="T11" s="671"/>
    </row>
    <row r="12" spans="1:20" s="18" customFormat="1" ht="16.5" customHeight="1" thickBot="1">
      <c r="A12" s="889"/>
      <c r="B12" s="890"/>
      <c r="C12" s="891"/>
      <c r="D12" s="1036" t="s">
        <v>2834</v>
      </c>
      <c r="E12" s="1036"/>
      <c r="F12" s="1036"/>
      <c r="G12" s="892"/>
      <c r="H12" s="893"/>
      <c r="I12" s="893"/>
      <c r="J12" s="894"/>
      <c r="O12" s="512"/>
      <c r="P12" s="512"/>
      <c r="T12" s="671"/>
    </row>
    <row r="13" spans="1:20" ht="13.5" thickBot="1">
      <c r="A13" s="160"/>
      <c r="B13" s="161"/>
      <c r="C13" s="162"/>
      <c r="D13" s="161"/>
      <c r="E13" s="161"/>
      <c r="F13" s="161"/>
      <c r="G13" s="161"/>
      <c r="H13" s="161"/>
      <c r="I13" s="163"/>
      <c r="J13" s="164"/>
      <c r="K13" s="670"/>
      <c r="L13" s="670"/>
      <c r="M13" s="670"/>
      <c r="N13" s="670"/>
      <c r="O13" s="670"/>
      <c r="P13" s="670"/>
      <c r="Q13" s="670"/>
      <c r="R13" s="670"/>
      <c r="S13" s="670"/>
      <c r="T13" s="670"/>
    </row>
    <row r="14" spans="1:20" s="18" customFormat="1" ht="12.75">
      <c r="A14" s="25"/>
      <c r="B14" s="17" t="s">
        <v>1694</v>
      </c>
      <c r="C14" s="2" t="s">
        <v>1694</v>
      </c>
      <c r="D14" s="1180"/>
      <c r="E14" s="30" t="s">
        <v>1694</v>
      </c>
      <c r="F14" s="2" t="s">
        <v>1694</v>
      </c>
      <c r="G14" s="1322" t="s">
        <v>1695</v>
      </c>
      <c r="H14" s="1323"/>
      <c r="I14" s="1318" t="s">
        <v>1696</v>
      </c>
      <c r="J14" s="1319"/>
      <c r="K14" s="671"/>
      <c r="L14" s="671"/>
      <c r="M14" s="671"/>
      <c r="N14" s="671"/>
      <c r="O14" s="671"/>
      <c r="P14" s="671"/>
      <c r="Q14" s="671"/>
      <c r="R14" s="671"/>
      <c r="S14" s="671"/>
      <c r="T14" s="671"/>
    </row>
    <row r="15" spans="1:20" s="18" customFormat="1" ht="13.5" thickBot="1">
      <c r="A15" s="26"/>
      <c r="B15" s="19" t="s">
        <v>1697</v>
      </c>
      <c r="C15" s="4" t="s">
        <v>1698</v>
      </c>
      <c r="D15" s="924" t="s">
        <v>2751</v>
      </c>
      <c r="E15" s="6" t="s">
        <v>1699</v>
      </c>
      <c r="F15" s="6" t="s">
        <v>1700</v>
      </c>
      <c r="G15" s="7" t="s">
        <v>1701</v>
      </c>
      <c r="H15" s="8" t="s">
        <v>1702</v>
      </c>
      <c r="I15" s="10" t="s">
        <v>1701</v>
      </c>
      <c r="J15" s="11" t="s">
        <v>1702</v>
      </c>
      <c r="K15" s="671"/>
      <c r="L15" s="671"/>
      <c r="M15" s="671"/>
      <c r="N15" s="671"/>
      <c r="O15" s="671"/>
      <c r="P15" s="671"/>
      <c r="Q15" s="671"/>
      <c r="R15" s="671"/>
      <c r="S15" s="671"/>
      <c r="T15" s="671"/>
    </row>
    <row r="16" spans="1:20" ht="16.5" customHeight="1" thickBot="1">
      <c r="A16" s="266"/>
      <c r="B16" s="175"/>
      <c r="C16" s="176"/>
      <c r="D16" s="175"/>
      <c r="E16" s="175"/>
      <c r="F16" s="175"/>
      <c r="G16" s="175"/>
      <c r="H16" s="185"/>
      <c r="I16" s="177"/>
      <c r="J16" s="178"/>
      <c r="K16" s="670"/>
      <c r="L16" s="670"/>
      <c r="M16" s="670"/>
      <c r="N16" s="670"/>
      <c r="O16" s="670"/>
      <c r="P16" s="670"/>
      <c r="Q16" s="670"/>
      <c r="R16" s="670"/>
      <c r="S16" s="670"/>
      <c r="T16" s="670"/>
    </row>
    <row r="17" spans="1:20" s="18" customFormat="1" ht="16.5" customHeight="1" thickBot="1">
      <c r="A17" s="27"/>
      <c r="B17" s="122"/>
      <c r="C17" s="122" t="s">
        <v>1703</v>
      </c>
      <c r="D17" s="1181"/>
      <c r="E17" s="123"/>
      <c r="F17" s="123"/>
      <c r="G17" s="124"/>
      <c r="H17" s="125">
        <f>H18+H28+H36+H38+H44+H56+H64+H97+H110+H146+H151+H162+H212+H247+H265+H283+H285+H290+H306+H330+H368+H370+H380+H346+H384</f>
        <v>0</v>
      </c>
      <c r="I17" s="126"/>
      <c r="J17" s="127"/>
      <c r="K17" s="671"/>
      <c r="L17" s="671"/>
      <c r="M17" s="671"/>
      <c r="N17" s="671"/>
      <c r="O17" s="671"/>
      <c r="P17" s="671"/>
      <c r="Q17" s="671"/>
      <c r="R17" s="671"/>
      <c r="S17" s="671"/>
      <c r="T17" s="671"/>
    </row>
    <row r="18" spans="1:20" ht="16.5" customHeight="1" thickBot="1">
      <c r="A18" s="266" t="s">
        <v>1704</v>
      </c>
      <c r="B18" s="175" t="s">
        <v>1616</v>
      </c>
      <c r="C18" s="176" t="s">
        <v>1705</v>
      </c>
      <c r="D18" s="175"/>
      <c r="E18" s="175"/>
      <c r="F18" s="175"/>
      <c r="G18" s="175"/>
      <c r="H18" s="185">
        <f>SUM(H19:H27)</f>
        <v>0</v>
      </c>
      <c r="I18" s="177"/>
      <c r="J18" s="178">
        <f>SUM(J19:J27)</f>
        <v>83.3497</v>
      </c>
      <c r="K18" s="670"/>
      <c r="L18" s="670"/>
      <c r="M18" s="670"/>
      <c r="N18" s="670"/>
      <c r="O18" s="670"/>
      <c r="P18" s="670"/>
      <c r="Q18" s="670"/>
      <c r="R18" s="670"/>
      <c r="S18" s="670"/>
      <c r="T18" s="670"/>
    </row>
    <row r="19" spans="1:20" s="22" customFormat="1" ht="17.25" customHeight="1">
      <c r="A19" s="190" t="s">
        <v>1706</v>
      </c>
      <c r="B19" s="191" t="s">
        <v>1707</v>
      </c>
      <c r="C19" s="191" t="s">
        <v>1708</v>
      </c>
      <c r="D19" s="964" t="s">
        <v>2816</v>
      </c>
      <c r="E19" s="192" t="s">
        <v>1709</v>
      </c>
      <c r="F19" s="345">
        <f>E20</f>
        <v>46.944</v>
      </c>
      <c r="G19" s="345"/>
      <c r="H19" s="345">
        <f aca="true" t="shared" si="0" ref="H19:H27">F19*G19</f>
        <v>0</v>
      </c>
      <c r="I19" s="346">
        <v>0</v>
      </c>
      <c r="J19" s="347">
        <f aca="true" t="shared" si="1" ref="J19:J27">F19*I19</f>
        <v>0</v>
      </c>
      <c r="K19" s="509"/>
      <c r="L19" s="509"/>
      <c r="M19" s="509"/>
      <c r="N19" s="509"/>
      <c r="O19" s="509"/>
      <c r="P19" s="509"/>
      <c r="Q19" s="509"/>
      <c r="R19" s="509"/>
      <c r="S19" s="509"/>
      <c r="T19" s="509"/>
    </row>
    <row r="20" spans="1:20" s="130" customFormat="1" ht="20.25" customHeight="1">
      <c r="A20" s="204"/>
      <c r="B20" s="224" t="s">
        <v>1749</v>
      </c>
      <c r="C20" s="205" t="s">
        <v>1138</v>
      </c>
      <c r="D20" s="916"/>
      <c r="E20" s="207">
        <f>(30.59)*0.6*1+(33.15+14.5)*0.6*1</f>
        <v>46.944</v>
      </c>
      <c r="F20" s="335"/>
      <c r="G20" s="335"/>
      <c r="H20" s="335"/>
      <c r="I20" s="336"/>
      <c r="J20" s="337"/>
      <c r="K20" s="672"/>
      <c r="L20" s="672"/>
      <c r="M20" s="672"/>
      <c r="N20" s="672"/>
      <c r="O20" s="672"/>
      <c r="P20" s="672"/>
      <c r="Q20" s="673"/>
      <c r="R20" s="508"/>
      <c r="S20" s="508"/>
      <c r="T20" s="508"/>
    </row>
    <row r="21" spans="1:20" s="22" customFormat="1" ht="17.25" customHeight="1">
      <c r="A21" s="196" t="s">
        <v>1711</v>
      </c>
      <c r="B21" s="197" t="s">
        <v>1712</v>
      </c>
      <c r="C21" s="197" t="s">
        <v>1713</v>
      </c>
      <c r="D21" s="917" t="s">
        <v>2816</v>
      </c>
      <c r="E21" s="198" t="s">
        <v>1709</v>
      </c>
      <c r="F21" s="332">
        <f>E22</f>
        <v>15.648</v>
      </c>
      <c r="G21" s="332"/>
      <c r="H21" s="332">
        <f t="shared" si="0"/>
        <v>0</v>
      </c>
      <c r="I21" s="333">
        <v>0</v>
      </c>
      <c r="J21" s="334">
        <f t="shared" si="1"/>
        <v>0</v>
      </c>
      <c r="K21" s="509"/>
      <c r="L21" s="509"/>
      <c r="M21" s="509"/>
      <c r="N21" s="509"/>
      <c r="O21" s="509"/>
      <c r="P21" s="509"/>
      <c r="Q21" s="509"/>
      <c r="R21" s="509"/>
      <c r="S21" s="509"/>
      <c r="T21" s="509"/>
    </row>
    <row r="22" spans="1:20" s="130" customFormat="1" ht="20.25" customHeight="1">
      <c r="A22" s="204"/>
      <c r="B22" s="205"/>
      <c r="C22" s="205" t="s">
        <v>1139</v>
      </c>
      <c r="D22" s="916"/>
      <c r="E22" s="207">
        <f>(30.59)*0.2*1+(33.15+14.5)*0.2*1</f>
        <v>15.648</v>
      </c>
      <c r="F22" s="335"/>
      <c r="G22" s="335"/>
      <c r="H22" s="335"/>
      <c r="I22" s="336"/>
      <c r="J22" s="337"/>
      <c r="K22" s="672"/>
      <c r="L22" s="672"/>
      <c r="M22" s="672"/>
      <c r="N22" s="672"/>
      <c r="O22" s="672"/>
      <c r="P22" s="672"/>
      <c r="Q22" s="673"/>
      <c r="R22" s="508"/>
      <c r="S22" s="508"/>
      <c r="T22" s="508"/>
    </row>
    <row r="23" spans="1:20" s="22" customFormat="1" ht="17.25" customHeight="1">
      <c r="A23" s="196" t="s">
        <v>1715</v>
      </c>
      <c r="B23" s="197" t="s">
        <v>1723</v>
      </c>
      <c r="C23" s="197" t="s">
        <v>1724</v>
      </c>
      <c r="D23" s="917" t="s">
        <v>2816</v>
      </c>
      <c r="E23" s="198" t="s">
        <v>1709</v>
      </c>
      <c r="F23" s="332">
        <f>E24</f>
        <v>13.713199999999993</v>
      </c>
      <c r="G23" s="332"/>
      <c r="H23" s="332">
        <f t="shared" si="0"/>
        <v>0</v>
      </c>
      <c r="I23" s="333">
        <v>0</v>
      </c>
      <c r="J23" s="334">
        <f t="shared" si="1"/>
        <v>0</v>
      </c>
      <c r="K23" s="509"/>
      <c r="L23" s="509"/>
      <c r="M23" s="509"/>
      <c r="N23" s="509"/>
      <c r="O23" s="509"/>
      <c r="P23" s="509"/>
      <c r="Q23" s="509"/>
      <c r="R23" s="509"/>
      <c r="S23" s="509"/>
      <c r="T23" s="509"/>
    </row>
    <row r="24" spans="1:20" s="130" customFormat="1" ht="20.25" customHeight="1">
      <c r="A24" s="204"/>
      <c r="B24" s="205"/>
      <c r="C24" s="205" t="s">
        <v>1140</v>
      </c>
      <c r="D24" s="916"/>
      <c r="E24" s="207">
        <f>46.94+15.65-63.74*0.14*0.5-14.5*0.14*0.5-43.4</f>
        <v>13.713199999999993</v>
      </c>
      <c r="F24" s="335"/>
      <c r="G24" s="335"/>
      <c r="H24" s="335"/>
      <c r="I24" s="336"/>
      <c r="J24" s="337"/>
      <c r="K24" s="672"/>
      <c r="L24" s="672"/>
      <c r="M24" s="672"/>
      <c r="N24" s="672"/>
      <c r="O24" s="672"/>
      <c r="P24" s="672"/>
      <c r="Q24" s="673"/>
      <c r="R24" s="508"/>
      <c r="S24" s="508"/>
      <c r="T24" s="508"/>
    </row>
    <row r="25" spans="1:20" s="22" customFormat="1" ht="17.25" customHeight="1">
      <c r="A25" s="196" t="s">
        <v>1719</v>
      </c>
      <c r="B25" s="197" t="s">
        <v>1726</v>
      </c>
      <c r="C25" s="199" t="s">
        <v>1727</v>
      </c>
      <c r="D25" s="965"/>
      <c r="E25" s="198" t="s">
        <v>1709</v>
      </c>
      <c r="F25" s="332">
        <f>E20+E22-E24</f>
        <v>48.878800000000005</v>
      </c>
      <c r="G25" s="332"/>
      <c r="H25" s="332">
        <f t="shared" si="0"/>
        <v>0</v>
      </c>
      <c r="I25" s="333">
        <v>0</v>
      </c>
      <c r="J25" s="334">
        <f t="shared" si="1"/>
        <v>0</v>
      </c>
      <c r="K25" s="509"/>
      <c r="L25" s="509"/>
      <c r="M25" s="509"/>
      <c r="N25" s="509"/>
      <c r="O25" s="509"/>
      <c r="P25" s="509"/>
      <c r="Q25" s="509"/>
      <c r="R25" s="509"/>
      <c r="S25" s="509"/>
      <c r="T25" s="509"/>
    </row>
    <row r="26" spans="1:20" s="22" customFormat="1" ht="17.25" customHeight="1">
      <c r="A26" s="196" t="s">
        <v>1722</v>
      </c>
      <c r="B26" s="197" t="s">
        <v>1729</v>
      </c>
      <c r="C26" s="199" t="s">
        <v>1730</v>
      </c>
      <c r="D26" s="965"/>
      <c r="E26" s="198" t="s">
        <v>1709</v>
      </c>
      <c r="F26" s="332">
        <f>F25</f>
        <v>48.878800000000005</v>
      </c>
      <c r="G26" s="332"/>
      <c r="H26" s="332">
        <f t="shared" si="0"/>
        <v>0</v>
      </c>
      <c r="I26" s="333">
        <v>0</v>
      </c>
      <c r="J26" s="334">
        <f t="shared" si="1"/>
        <v>0</v>
      </c>
      <c r="K26" s="509"/>
      <c r="L26" s="509"/>
      <c r="M26" s="509"/>
      <c r="N26" s="509"/>
      <c r="O26" s="509"/>
      <c r="P26" s="509"/>
      <c r="Q26" s="509"/>
      <c r="R26" s="509"/>
      <c r="S26" s="509"/>
      <c r="T26" s="509"/>
    </row>
    <row r="27" spans="1:20" s="22" customFormat="1" ht="17.25" customHeight="1" thickBot="1">
      <c r="A27" s="255" t="s">
        <v>1725</v>
      </c>
      <c r="B27" s="256" t="s">
        <v>1732</v>
      </c>
      <c r="C27" s="264" t="s">
        <v>1733</v>
      </c>
      <c r="D27" s="966"/>
      <c r="E27" s="257" t="s">
        <v>1709</v>
      </c>
      <c r="F27" s="368">
        <v>43.4</v>
      </c>
      <c r="G27" s="368"/>
      <c r="H27" s="368">
        <f t="shared" si="0"/>
        <v>0</v>
      </c>
      <c r="I27" s="369">
        <v>1.9205</v>
      </c>
      <c r="J27" s="370">
        <f t="shared" si="1"/>
        <v>83.3497</v>
      </c>
      <c r="K27" s="509"/>
      <c r="L27" s="509"/>
      <c r="M27" s="509"/>
      <c r="N27" s="509"/>
      <c r="O27" s="509"/>
      <c r="P27" s="509"/>
      <c r="Q27" s="509"/>
      <c r="R27" s="509"/>
      <c r="S27" s="509"/>
      <c r="T27" s="509"/>
    </row>
    <row r="28" spans="1:20" ht="16.5" customHeight="1" thickBot="1">
      <c r="A28" s="266" t="s">
        <v>1743</v>
      </c>
      <c r="B28" s="175" t="s">
        <v>1744</v>
      </c>
      <c r="C28" s="176" t="s">
        <v>1745</v>
      </c>
      <c r="D28" s="175"/>
      <c r="E28" s="175"/>
      <c r="F28" s="341"/>
      <c r="G28" s="341"/>
      <c r="H28" s="342">
        <f>SUM(H29:H35)</f>
        <v>0</v>
      </c>
      <c r="I28" s="343"/>
      <c r="J28" s="344">
        <f>SUM(J29:J35)</f>
        <v>2.54269142</v>
      </c>
      <c r="K28" s="670"/>
      <c r="L28" s="670"/>
      <c r="M28" s="670"/>
      <c r="N28" s="670"/>
      <c r="O28" s="670"/>
      <c r="P28" s="670"/>
      <c r="Q28" s="670"/>
      <c r="R28" s="670"/>
      <c r="S28" s="670"/>
      <c r="T28" s="670"/>
    </row>
    <row r="29" spans="1:20" s="22" customFormat="1" ht="14.25" customHeight="1">
      <c r="A29" s="190"/>
      <c r="B29" s="191"/>
      <c r="C29" s="191"/>
      <c r="D29" s="964"/>
      <c r="E29" s="192"/>
      <c r="F29" s="345"/>
      <c r="G29" s="345"/>
      <c r="H29" s="345"/>
      <c r="I29" s="346"/>
      <c r="J29" s="347"/>
      <c r="K29" s="509"/>
      <c r="L29" s="509"/>
      <c r="M29" s="509"/>
      <c r="N29" s="509"/>
      <c r="O29" s="509"/>
      <c r="P29" s="509"/>
      <c r="Q29" s="509"/>
      <c r="R29" s="509"/>
      <c r="S29" s="509"/>
      <c r="T29" s="509"/>
    </row>
    <row r="30" spans="1:20" s="22" customFormat="1" ht="17.25" customHeight="1">
      <c r="A30" s="196" t="s">
        <v>1734</v>
      </c>
      <c r="B30" s="197" t="s">
        <v>1762</v>
      </c>
      <c r="C30" s="197" t="s">
        <v>1763</v>
      </c>
      <c r="D30" s="917" t="s">
        <v>2816</v>
      </c>
      <c r="E30" s="198" t="s">
        <v>1748</v>
      </c>
      <c r="F30" s="332">
        <v>0.65</v>
      </c>
      <c r="G30" s="332"/>
      <c r="H30" s="332">
        <f>F30*G30</f>
        <v>0</v>
      </c>
      <c r="I30" s="333">
        <v>0.58567</v>
      </c>
      <c r="J30" s="334">
        <f>F30*I30</f>
        <v>0.3806855</v>
      </c>
      <c r="K30" s="509"/>
      <c r="L30" s="509"/>
      <c r="M30" s="509"/>
      <c r="N30" s="509"/>
      <c r="O30" s="509"/>
      <c r="P30" s="509"/>
      <c r="Q30" s="509"/>
      <c r="R30" s="509"/>
      <c r="S30" s="509"/>
      <c r="T30" s="509"/>
    </row>
    <row r="31" spans="1:24" s="145" customFormat="1" ht="21.75" customHeight="1">
      <c r="A31" s="196" t="s">
        <v>1753</v>
      </c>
      <c r="B31" s="285" t="s">
        <v>1746</v>
      </c>
      <c r="C31" s="286" t="s">
        <v>1747</v>
      </c>
      <c r="D31" s="982" t="s">
        <v>2816</v>
      </c>
      <c r="E31" s="287" t="s">
        <v>1748</v>
      </c>
      <c r="F31" s="387">
        <f>SUM(E32:E32)</f>
        <v>46.944</v>
      </c>
      <c r="G31" s="332"/>
      <c r="H31" s="387">
        <f>F31*G31</f>
        <v>0</v>
      </c>
      <c r="I31" s="388">
        <v>0.03279</v>
      </c>
      <c r="J31" s="778">
        <f>F31*I31</f>
        <v>1.53929376</v>
      </c>
      <c r="K31" s="143"/>
      <c r="L31" s="143"/>
      <c r="M31" s="143"/>
      <c r="N31" s="144"/>
      <c r="O31" s="144"/>
      <c r="P31" s="144"/>
      <c r="Q31" s="144"/>
      <c r="R31" s="144"/>
      <c r="S31" s="144"/>
      <c r="T31" s="144"/>
      <c r="U31" s="288"/>
      <c r="V31" s="288"/>
      <c r="W31" s="288"/>
      <c r="X31" s="288"/>
    </row>
    <row r="32" spans="1:24" s="211" customFormat="1" ht="21.75" customHeight="1">
      <c r="A32" s="223"/>
      <c r="B32" s="224" t="s">
        <v>1749</v>
      </c>
      <c r="C32" s="205" t="s">
        <v>1141</v>
      </c>
      <c r="D32" s="916"/>
      <c r="E32" s="207">
        <f>(30.59)*0.6+(33.15+14.5)*0.6</f>
        <v>46.944</v>
      </c>
      <c r="F32" s="225"/>
      <c r="G32" s="335"/>
      <c r="H32" s="225"/>
      <c r="I32" s="348"/>
      <c r="J32" s="349"/>
      <c r="K32" s="675"/>
      <c r="L32" s="675"/>
      <c r="M32" s="675"/>
      <c r="N32" s="675"/>
      <c r="O32" s="676"/>
      <c r="P32" s="676"/>
      <c r="Q32" s="676"/>
      <c r="R32" s="676"/>
      <c r="S32" s="515"/>
      <c r="T32" s="515"/>
      <c r="U32" s="210"/>
      <c r="V32" s="210"/>
      <c r="W32" s="210"/>
      <c r="X32" s="210"/>
    </row>
    <row r="33" spans="1:24" s="145" customFormat="1" ht="27.75" customHeight="1">
      <c r="A33" s="196" t="s">
        <v>1758</v>
      </c>
      <c r="B33" s="285" t="s">
        <v>1754</v>
      </c>
      <c r="C33" s="286" t="s">
        <v>1755</v>
      </c>
      <c r="D33" s="982" t="s">
        <v>2816</v>
      </c>
      <c r="E33" s="287" t="s">
        <v>1748</v>
      </c>
      <c r="F33" s="387">
        <f>SUM(E34)</f>
        <v>11.736</v>
      </c>
      <c r="G33" s="332"/>
      <c r="H33" s="387">
        <f>F33*G33</f>
        <v>0</v>
      </c>
      <c r="I33" s="388">
        <v>0.05306</v>
      </c>
      <c r="J33" s="778">
        <f>F33*I33</f>
        <v>0.6227121600000001</v>
      </c>
      <c r="K33" s="143"/>
      <c r="L33" s="143"/>
      <c r="M33" s="143"/>
      <c r="N33" s="144"/>
      <c r="O33" s="144"/>
      <c r="P33" s="144"/>
      <c r="Q33" s="144"/>
      <c r="R33" s="144"/>
      <c r="S33" s="144"/>
      <c r="T33" s="144"/>
      <c r="U33" s="288"/>
      <c r="V33" s="288"/>
      <c r="W33" s="288"/>
      <c r="X33" s="288"/>
    </row>
    <row r="34" spans="1:24" s="211" customFormat="1" ht="21.75" customHeight="1">
      <c r="A34" s="223"/>
      <c r="B34" s="224" t="s">
        <v>1749</v>
      </c>
      <c r="C34" s="205" t="s">
        <v>1142</v>
      </c>
      <c r="D34" s="970"/>
      <c r="E34" s="220">
        <f>((30.59)*0.6+(33.15+14.5)*0.6)*0.25</f>
        <v>11.736</v>
      </c>
      <c r="F34" s="225"/>
      <c r="G34" s="674"/>
      <c r="H34" s="225"/>
      <c r="I34" s="348"/>
      <c r="J34" s="349"/>
      <c r="K34" s="675"/>
      <c r="L34" s="675"/>
      <c r="M34" s="675"/>
      <c r="N34" s="675"/>
      <c r="O34" s="676"/>
      <c r="P34" s="676"/>
      <c r="Q34" s="676"/>
      <c r="R34" s="676"/>
      <c r="S34" s="515"/>
      <c r="T34" s="515"/>
      <c r="U34" s="210"/>
      <c r="V34" s="210"/>
      <c r="W34" s="210"/>
      <c r="X34" s="210"/>
    </row>
    <row r="35" spans="1:20" s="22" customFormat="1" ht="17.25" customHeight="1" thickBot="1">
      <c r="A35" s="255"/>
      <c r="B35" s="256"/>
      <c r="C35" s="256"/>
      <c r="D35" s="968"/>
      <c r="E35" s="257"/>
      <c r="F35" s="368"/>
      <c r="G35" s="368"/>
      <c r="H35" s="368"/>
      <c r="I35" s="369"/>
      <c r="J35" s="370"/>
      <c r="K35" s="509"/>
      <c r="L35" s="509"/>
      <c r="M35" s="509"/>
      <c r="N35" s="509"/>
      <c r="O35" s="509"/>
      <c r="P35" s="509"/>
      <c r="Q35" s="509"/>
      <c r="R35" s="509"/>
      <c r="S35" s="509"/>
      <c r="T35" s="509"/>
    </row>
    <row r="36" spans="1:20" ht="16.5" customHeight="1" thickBot="1">
      <c r="A36" s="266" t="s">
        <v>1801</v>
      </c>
      <c r="B36" s="175" t="s">
        <v>1802</v>
      </c>
      <c r="C36" s="176" t="s">
        <v>1803</v>
      </c>
      <c r="D36" s="175"/>
      <c r="E36" s="175"/>
      <c r="F36" s="341"/>
      <c r="G36" s="341"/>
      <c r="H36" s="342">
        <f>SUM(H37)</f>
        <v>0</v>
      </c>
      <c r="I36" s="343"/>
      <c r="J36" s="344">
        <f>SUM(J37)</f>
        <v>0</v>
      </c>
      <c r="K36" s="670"/>
      <c r="L36" s="670"/>
      <c r="M36" s="670"/>
      <c r="N36" s="670"/>
      <c r="O36" s="670"/>
      <c r="P36" s="670"/>
      <c r="Q36" s="670"/>
      <c r="R36" s="670"/>
      <c r="S36" s="670"/>
      <c r="T36" s="670"/>
    </row>
    <row r="37" spans="1:24" s="145" customFormat="1" ht="17.25" customHeight="1" thickBot="1">
      <c r="A37" s="196"/>
      <c r="B37" s="285"/>
      <c r="C37" s="286"/>
      <c r="D37" s="1199"/>
      <c r="E37" s="287"/>
      <c r="F37" s="387"/>
      <c r="G37" s="332"/>
      <c r="H37" s="387"/>
      <c r="I37" s="388"/>
      <c r="J37" s="778"/>
      <c r="K37" s="143"/>
      <c r="L37" s="143"/>
      <c r="M37" s="143"/>
      <c r="N37" s="144"/>
      <c r="O37" s="144"/>
      <c r="P37" s="144"/>
      <c r="Q37" s="144"/>
      <c r="R37" s="144"/>
      <c r="S37" s="144"/>
      <c r="T37" s="144"/>
      <c r="U37" s="288"/>
      <c r="V37" s="288"/>
      <c r="W37" s="288"/>
      <c r="X37" s="288"/>
    </row>
    <row r="38" spans="1:20" ht="16.5" customHeight="1" thickBot="1">
      <c r="A38" s="266" t="s">
        <v>1809</v>
      </c>
      <c r="B38" s="175" t="s">
        <v>1810</v>
      </c>
      <c r="C38" s="176" t="s">
        <v>1811</v>
      </c>
      <c r="D38" s="175"/>
      <c r="E38" s="175"/>
      <c r="F38" s="341"/>
      <c r="G38" s="341"/>
      <c r="H38" s="342">
        <f>SUM(H39:H43)</f>
        <v>0</v>
      </c>
      <c r="I38" s="343"/>
      <c r="J38" s="344">
        <f>SUM(J39:J43)</f>
        <v>7.572462767999999</v>
      </c>
      <c r="K38" s="670"/>
      <c r="L38" s="670"/>
      <c r="M38" s="670"/>
      <c r="N38" s="670"/>
      <c r="O38" s="670"/>
      <c r="P38" s="670"/>
      <c r="Q38" s="670"/>
      <c r="R38" s="670"/>
      <c r="S38" s="670"/>
      <c r="T38" s="670"/>
    </row>
    <row r="39" spans="1:20" s="22" customFormat="1" ht="18.75" customHeight="1">
      <c r="A39" s="190" t="s">
        <v>1812</v>
      </c>
      <c r="B39" s="191" t="s">
        <v>1143</v>
      </c>
      <c r="C39" s="191" t="s">
        <v>1144</v>
      </c>
      <c r="D39" s="964" t="s">
        <v>2816</v>
      </c>
      <c r="E39" s="192" t="s">
        <v>1748</v>
      </c>
      <c r="F39" s="345">
        <v>3.24</v>
      </c>
      <c r="G39" s="345"/>
      <c r="H39" s="345">
        <f>F39*G39</f>
        <v>0</v>
      </c>
      <c r="I39" s="346">
        <v>0.02003</v>
      </c>
      <c r="J39" s="347">
        <f>F39*I39</f>
        <v>0.0648972</v>
      </c>
      <c r="K39" s="509"/>
      <c r="L39" s="509"/>
      <c r="M39" s="509"/>
      <c r="N39" s="509"/>
      <c r="O39" s="509"/>
      <c r="P39" s="509"/>
      <c r="Q39" s="509"/>
      <c r="R39" s="509"/>
      <c r="S39" s="509"/>
      <c r="T39" s="509"/>
    </row>
    <row r="40" spans="1:20" s="22" customFormat="1" ht="18.75" customHeight="1">
      <c r="A40" s="196" t="s">
        <v>1816</v>
      </c>
      <c r="B40" s="197" t="s">
        <v>1145</v>
      </c>
      <c r="C40" s="197" t="s">
        <v>1146</v>
      </c>
      <c r="D40" s="917" t="s">
        <v>2816</v>
      </c>
      <c r="E40" s="198" t="s">
        <v>1748</v>
      </c>
      <c r="F40" s="332">
        <v>3.24</v>
      </c>
      <c r="G40" s="332"/>
      <c r="H40" s="332">
        <f>F40*G40</f>
        <v>0</v>
      </c>
      <c r="I40" s="333">
        <v>0</v>
      </c>
      <c r="J40" s="334">
        <f>F40*I40</f>
        <v>0</v>
      </c>
      <c r="K40" s="509"/>
      <c r="L40" s="509"/>
      <c r="M40" s="509"/>
      <c r="N40" s="509"/>
      <c r="O40" s="509"/>
      <c r="P40" s="509"/>
      <c r="Q40" s="509"/>
      <c r="R40" s="509"/>
      <c r="S40" s="509"/>
      <c r="T40" s="509"/>
    </row>
    <row r="41" spans="1:20" s="22" customFormat="1" ht="18.75" customHeight="1">
      <c r="A41" s="196" t="s">
        <v>1820</v>
      </c>
      <c r="B41" s="197" t="s">
        <v>1817</v>
      </c>
      <c r="C41" s="197" t="s">
        <v>1818</v>
      </c>
      <c r="D41" s="917" t="s">
        <v>2816</v>
      </c>
      <c r="E41" s="198" t="s">
        <v>1709</v>
      </c>
      <c r="F41" s="332">
        <v>2.88</v>
      </c>
      <c r="G41" s="332"/>
      <c r="H41" s="332">
        <f>F41*G41</f>
        <v>0</v>
      </c>
      <c r="I41" s="333">
        <v>2.52512</v>
      </c>
      <c r="J41" s="334">
        <f>F41*I41</f>
        <v>7.2723455999999995</v>
      </c>
      <c r="K41" s="509"/>
      <c r="L41" s="509"/>
      <c r="M41" s="509"/>
      <c r="N41" s="509"/>
      <c r="O41" s="509"/>
      <c r="P41" s="509"/>
      <c r="Q41" s="509"/>
      <c r="R41" s="509"/>
      <c r="S41" s="509"/>
      <c r="T41" s="509"/>
    </row>
    <row r="42" spans="1:20" s="22" customFormat="1" ht="18.75" customHeight="1">
      <c r="A42" s="196" t="s">
        <v>1823</v>
      </c>
      <c r="B42" s="197" t="s">
        <v>1821</v>
      </c>
      <c r="C42" s="197" t="s">
        <v>1822</v>
      </c>
      <c r="D42" s="917" t="s">
        <v>2816</v>
      </c>
      <c r="E42" s="198" t="s">
        <v>1783</v>
      </c>
      <c r="F42" s="332">
        <f>F41*0.08</f>
        <v>0.2304</v>
      </c>
      <c r="G42" s="332"/>
      <c r="H42" s="332">
        <f>F42*G42</f>
        <v>0</v>
      </c>
      <c r="I42" s="333">
        <v>1.02092</v>
      </c>
      <c r="J42" s="334">
        <f>F42*I42</f>
        <v>0.235219968</v>
      </c>
      <c r="K42" s="509"/>
      <c r="L42" s="509"/>
      <c r="M42" s="509"/>
      <c r="N42" s="509"/>
      <c r="O42" s="509"/>
      <c r="P42" s="509"/>
      <c r="Q42" s="509"/>
      <c r="R42" s="509"/>
      <c r="S42" s="509"/>
      <c r="T42" s="509"/>
    </row>
    <row r="43" spans="1:20" s="22" customFormat="1" ht="18.75" customHeight="1" thickBot="1">
      <c r="A43" s="255"/>
      <c r="B43" s="256"/>
      <c r="C43" s="256"/>
      <c r="D43" s="968"/>
      <c r="E43" s="257"/>
      <c r="F43" s="368"/>
      <c r="G43" s="368"/>
      <c r="H43" s="368"/>
      <c r="I43" s="369"/>
      <c r="J43" s="370"/>
      <c r="K43" s="509"/>
      <c r="L43" s="509"/>
      <c r="M43" s="509"/>
      <c r="N43" s="509"/>
      <c r="O43" s="509"/>
      <c r="P43" s="509"/>
      <c r="Q43" s="509"/>
      <c r="R43" s="509"/>
      <c r="S43" s="509"/>
      <c r="T43" s="509"/>
    </row>
    <row r="44" spans="1:20" ht="16.5" customHeight="1" thickBot="1">
      <c r="A44" s="266" t="s">
        <v>1846</v>
      </c>
      <c r="B44" s="175" t="s">
        <v>1628</v>
      </c>
      <c r="C44" s="176" t="s">
        <v>1847</v>
      </c>
      <c r="D44" s="1008"/>
      <c r="E44" s="175"/>
      <c r="F44" s="341"/>
      <c r="G44" s="341"/>
      <c r="H44" s="342">
        <f>SUM(H45:H55)</f>
        <v>0</v>
      </c>
      <c r="I44" s="343"/>
      <c r="J44" s="344">
        <f>SUM(J45:J55)</f>
        <v>71.95892475</v>
      </c>
      <c r="K44" s="670"/>
      <c r="L44" s="670"/>
      <c r="M44" s="670"/>
      <c r="N44" s="670"/>
      <c r="O44" s="670"/>
      <c r="P44" s="670"/>
      <c r="Q44" s="670"/>
      <c r="R44" s="670"/>
      <c r="S44" s="670"/>
      <c r="T44" s="670"/>
    </row>
    <row r="45" spans="1:20" s="22" customFormat="1" ht="16.5" customHeight="1">
      <c r="A45" s="190"/>
      <c r="B45" s="191"/>
      <c r="C45" s="191"/>
      <c r="D45" s="964"/>
      <c r="E45" s="192"/>
      <c r="F45" s="345"/>
      <c r="G45" s="345"/>
      <c r="H45" s="345"/>
      <c r="I45" s="346"/>
      <c r="J45" s="347"/>
      <c r="K45" s="509"/>
      <c r="L45" s="509"/>
      <c r="M45" s="509"/>
      <c r="N45" s="509"/>
      <c r="O45" s="509"/>
      <c r="P45" s="509"/>
      <c r="Q45" s="509"/>
      <c r="R45" s="509"/>
      <c r="S45" s="509"/>
      <c r="T45" s="509"/>
    </row>
    <row r="46" spans="1:20" s="22" customFormat="1" ht="16.5" customHeight="1">
      <c r="A46" s="196" t="s">
        <v>1848</v>
      </c>
      <c r="B46" s="197" t="s">
        <v>1849</v>
      </c>
      <c r="C46" s="197" t="s">
        <v>1850</v>
      </c>
      <c r="D46" s="917" t="s">
        <v>2817</v>
      </c>
      <c r="E46" s="198" t="s">
        <v>1748</v>
      </c>
      <c r="F46" s="332">
        <f>F47*1.15</f>
        <v>43.29749999999999</v>
      </c>
      <c r="G46" s="332"/>
      <c r="H46" s="332">
        <f>F46*G46</f>
        <v>0</v>
      </c>
      <c r="I46" s="333">
        <v>0.0005</v>
      </c>
      <c r="J46" s="334">
        <f>F46*I46</f>
        <v>0.021648749999999998</v>
      </c>
      <c r="K46" s="693"/>
      <c r="L46" s="693"/>
      <c r="M46" s="693"/>
      <c r="N46" s="693"/>
      <c r="O46" s="693"/>
      <c r="P46" s="693"/>
      <c r="Q46" s="694"/>
      <c r="R46" s="509"/>
      <c r="S46" s="509"/>
      <c r="T46" s="509"/>
    </row>
    <row r="47" spans="1:20" s="22" customFormat="1" ht="16.5" customHeight="1">
      <c r="A47" s="196" t="s">
        <v>1851</v>
      </c>
      <c r="B47" s="197" t="s">
        <v>1813</v>
      </c>
      <c r="C47" s="197" t="s">
        <v>867</v>
      </c>
      <c r="D47" s="917" t="s">
        <v>2817</v>
      </c>
      <c r="E47" s="198" t="s">
        <v>1748</v>
      </c>
      <c r="F47" s="332">
        <f>E48</f>
        <v>37.65</v>
      </c>
      <c r="G47" s="332"/>
      <c r="H47" s="332">
        <f>F47*G47</f>
        <v>0</v>
      </c>
      <c r="I47" s="333">
        <v>0.25094</v>
      </c>
      <c r="J47" s="334">
        <f>F47*I47</f>
        <v>9.447891</v>
      </c>
      <c r="K47" s="693"/>
      <c r="L47" s="693"/>
      <c r="M47" s="693"/>
      <c r="N47" s="693"/>
      <c r="O47" s="693"/>
      <c r="P47" s="693"/>
      <c r="Q47" s="694"/>
      <c r="R47" s="509"/>
      <c r="S47" s="509"/>
      <c r="T47" s="509"/>
    </row>
    <row r="48" spans="1:24" s="211" customFormat="1" ht="17.25" customHeight="1">
      <c r="A48" s="223"/>
      <c r="B48" s="224"/>
      <c r="C48" s="205" t="s">
        <v>1147</v>
      </c>
      <c r="D48" s="970"/>
      <c r="E48" s="220">
        <f>33*0.5+27.8*0.5+14.5*0.5</f>
        <v>37.65</v>
      </c>
      <c r="F48" s="225"/>
      <c r="G48" s="674"/>
      <c r="H48" s="225"/>
      <c r="I48" s="348"/>
      <c r="J48" s="349"/>
      <c r="K48" s="675"/>
      <c r="L48" s="675"/>
      <c r="M48" s="675"/>
      <c r="N48" s="675"/>
      <c r="O48" s="676"/>
      <c r="P48" s="676"/>
      <c r="Q48" s="676"/>
      <c r="R48" s="676"/>
      <c r="S48" s="515"/>
      <c r="T48" s="515"/>
      <c r="U48" s="210"/>
      <c r="V48" s="210"/>
      <c r="W48" s="210"/>
      <c r="X48" s="210"/>
    </row>
    <row r="49" spans="1:20" s="22" customFormat="1" ht="16.5" customHeight="1">
      <c r="A49" s="196" t="s">
        <v>1852</v>
      </c>
      <c r="B49" s="197" t="s">
        <v>869</v>
      </c>
      <c r="C49" s="197" t="s">
        <v>870</v>
      </c>
      <c r="D49" s="917" t="s">
        <v>2817</v>
      </c>
      <c r="E49" s="198" t="s">
        <v>1748</v>
      </c>
      <c r="F49" s="332">
        <f>E50</f>
        <v>37.65</v>
      </c>
      <c r="G49" s="332"/>
      <c r="H49" s="332">
        <f>F49*G49</f>
        <v>0</v>
      </c>
      <c r="I49" s="333">
        <v>0.4765</v>
      </c>
      <c r="J49" s="334">
        <f>F49*I49</f>
        <v>17.940224999999998</v>
      </c>
      <c r="K49" s="693"/>
      <c r="L49" s="693"/>
      <c r="M49" s="693"/>
      <c r="N49" s="693"/>
      <c r="O49" s="693"/>
      <c r="P49" s="693"/>
      <c r="Q49" s="694"/>
      <c r="R49" s="509"/>
      <c r="S49" s="509"/>
      <c r="T49" s="509"/>
    </row>
    <row r="50" spans="1:24" s="211" customFormat="1" ht="17.25" customHeight="1">
      <c r="A50" s="223"/>
      <c r="B50" s="224"/>
      <c r="C50" s="205" t="s">
        <v>1147</v>
      </c>
      <c r="D50" s="970"/>
      <c r="E50" s="220">
        <f>33*0.5+27.8*0.5+14.5*0.5</f>
        <v>37.65</v>
      </c>
      <c r="F50" s="225"/>
      <c r="G50" s="674"/>
      <c r="H50" s="225"/>
      <c r="I50" s="348"/>
      <c r="J50" s="349"/>
      <c r="K50" s="675"/>
      <c r="L50" s="675"/>
      <c r="M50" s="675"/>
      <c r="N50" s="675"/>
      <c r="O50" s="676"/>
      <c r="P50" s="676"/>
      <c r="Q50" s="676"/>
      <c r="R50" s="676"/>
      <c r="S50" s="515"/>
      <c r="T50" s="515"/>
      <c r="U50" s="210"/>
      <c r="V50" s="210"/>
      <c r="W50" s="210"/>
      <c r="X50" s="210"/>
    </row>
    <row r="51" spans="1:21" s="1034" customFormat="1" ht="21" customHeight="1">
      <c r="A51" s="1023"/>
      <c r="B51" s="1024" t="s">
        <v>2879</v>
      </c>
      <c r="C51" s="1024" t="s">
        <v>2880</v>
      </c>
      <c r="D51" s="1049"/>
      <c r="E51" s="1027" t="s">
        <v>1748</v>
      </c>
      <c r="F51" s="1028">
        <f>F54</f>
        <v>92</v>
      </c>
      <c r="G51" s="1028"/>
      <c r="H51" s="1028">
        <f>F51*G51</f>
        <v>0</v>
      </c>
      <c r="I51" s="1029">
        <v>0</v>
      </c>
      <c r="J51" s="1030">
        <f>F51*I51</f>
        <v>0</v>
      </c>
      <c r="K51" s="1031"/>
      <c r="L51" s="1031"/>
      <c r="M51" s="1031"/>
      <c r="N51" s="1031"/>
      <c r="O51" s="1031"/>
      <c r="P51" s="1031"/>
      <c r="Q51" s="1032"/>
      <c r="R51" s="1033"/>
      <c r="S51" s="1033"/>
      <c r="T51" s="1033"/>
      <c r="U51" s="1033"/>
    </row>
    <row r="52" spans="1:20" s="22" customFormat="1" ht="16.5" customHeight="1">
      <c r="A52" s="196" t="s">
        <v>1857</v>
      </c>
      <c r="B52" s="197" t="s">
        <v>1148</v>
      </c>
      <c r="C52" s="197" t="s">
        <v>1814</v>
      </c>
      <c r="D52" s="917" t="s">
        <v>2817</v>
      </c>
      <c r="E52" s="198" t="s">
        <v>1748</v>
      </c>
      <c r="F52" s="332">
        <v>92</v>
      </c>
      <c r="G52" s="332"/>
      <c r="H52" s="332">
        <f>F52*G52</f>
        <v>0</v>
      </c>
      <c r="I52" s="333">
        <v>0.25094</v>
      </c>
      <c r="J52" s="334">
        <f>F52*I52</f>
        <v>23.086479999999998</v>
      </c>
      <c r="K52" s="693"/>
      <c r="L52" s="693"/>
      <c r="M52" s="693"/>
      <c r="N52" s="693"/>
      <c r="O52" s="693"/>
      <c r="P52" s="693"/>
      <c r="Q52" s="694"/>
      <c r="R52" s="509"/>
      <c r="S52" s="509"/>
      <c r="T52" s="509"/>
    </row>
    <row r="53" spans="1:20" s="22" customFormat="1" ht="16.5" customHeight="1">
      <c r="A53" s="196" t="s">
        <v>1864</v>
      </c>
      <c r="B53" s="197" t="s">
        <v>1149</v>
      </c>
      <c r="C53" s="197" t="s">
        <v>1150</v>
      </c>
      <c r="D53" s="917" t="s">
        <v>2817</v>
      </c>
      <c r="E53" s="198" t="s">
        <v>1748</v>
      </c>
      <c r="F53" s="332">
        <v>92</v>
      </c>
      <c r="G53" s="332"/>
      <c r="H53" s="332">
        <f>F53*G53</f>
        <v>0</v>
      </c>
      <c r="I53" s="333">
        <v>0.13188</v>
      </c>
      <c r="J53" s="334">
        <f>F53*I53</f>
        <v>12.13296</v>
      </c>
      <c r="K53" s="693"/>
      <c r="L53" s="693"/>
      <c r="M53" s="693"/>
      <c r="N53" s="693"/>
      <c r="O53" s="693"/>
      <c r="P53" s="693"/>
      <c r="Q53" s="694"/>
      <c r="R53" s="509"/>
      <c r="S53" s="509"/>
      <c r="T53" s="509"/>
    </row>
    <row r="54" spans="1:20" s="22" customFormat="1" ht="16.5" customHeight="1">
      <c r="A54" s="196" t="s">
        <v>1865</v>
      </c>
      <c r="B54" s="197" t="s">
        <v>1151</v>
      </c>
      <c r="C54" s="197" t="s">
        <v>1152</v>
      </c>
      <c r="D54" s="917" t="s">
        <v>2817</v>
      </c>
      <c r="E54" s="198" t="s">
        <v>1748</v>
      </c>
      <c r="F54" s="332">
        <v>92</v>
      </c>
      <c r="G54" s="332"/>
      <c r="H54" s="332">
        <f>F54*G54</f>
        <v>0</v>
      </c>
      <c r="I54" s="333">
        <v>0.10141</v>
      </c>
      <c r="J54" s="334">
        <f>F54*I54</f>
        <v>9.32972</v>
      </c>
      <c r="K54" s="693"/>
      <c r="L54" s="693"/>
      <c r="M54" s="693"/>
      <c r="N54" s="693"/>
      <c r="O54" s="693"/>
      <c r="P54" s="693"/>
      <c r="Q54" s="694"/>
      <c r="R54" s="509"/>
      <c r="S54" s="509"/>
      <c r="T54" s="509"/>
    </row>
    <row r="55" spans="1:24" s="211" customFormat="1" ht="16.5" customHeight="1" thickBot="1">
      <c r="A55" s="312"/>
      <c r="B55" s="313"/>
      <c r="C55" s="242"/>
      <c r="D55" s="989"/>
      <c r="E55" s="314"/>
      <c r="F55" s="315"/>
      <c r="G55" s="779"/>
      <c r="H55" s="315"/>
      <c r="I55" s="414"/>
      <c r="J55" s="415"/>
      <c r="K55" s="675"/>
      <c r="L55" s="675"/>
      <c r="M55" s="675"/>
      <c r="N55" s="675"/>
      <c r="O55" s="676"/>
      <c r="P55" s="676"/>
      <c r="Q55" s="676"/>
      <c r="R55" s="676"/>
      <c r="S55" s="515"/>
      <c r="T55" s="515"/>
      <c r="U55" s="210"/>
      <c r="V55" s="210"/>
      <c r="W55" s="210"/>
      <c r="X55" s="210"/>
    </row>
    <row r="56" spans="1:20" ht="16.5" customHeight="1" thickBot="1">
      <c r="A56" s="266" t="s">
        <v>1874</v>
      </c>
      <c r="B56" s="175" t="s">
        <v>1875</v>
      </c>
      <c r="C56" s="176" t="s">
        <v>1876</v>
      </c>
      <c r="D56" s="1008"/>
      <c r="E56" s="175"/>
      <c r="F56" s="341"/>
      <c r="G56" s="341"/>
      <c r="H56" s="342">
        <f>SUM(H57:H63)</f>
        <v>0</v>
      </c>
      <c r="I56" s="343"/>
      <c r="J56" s="344">
        <f>SUM(J57:J63)</f>
        <v>2.9592723999999992</v>
      </c>
      <c r="K56" s="670"/>
      <c r="L56" s="670"/>
      <c r="M56" s="670"/>
      <c r="N56" s="670"/>
      <c r="O56" s="670"/>
      <c r="P56" s="670"/>
      <c r="Q56" s="670"/>
      <c r="R56" s="670"/>
      <c r="S56" s="670"/>
      <c r="T56" s="670"/>
    </row>
    <row r="57" spans="1:20" s="22" customFormat="1" ht="15.75" customHeight="1">
      <c r="A57" s="190"/>
      <c r="B57" s="191"/>
      <c r="C57" s="191"/>
      <c r="D57" s="964"/>
      <c r="E57" s="192"/>
      <c r="F57" s="345"/>
      <c r="G57" s="345"/>
      <c r="H57" s="345"/>
      <c r="I57" s="346"/>
      <c r="J57" s="347"/>
      <c r="K57" s="509"/>
      <c r="L57" s="509"/>
      <c r="M57" s="509"/>
      <c r="N57" s="509"/>
      <c r="O57" s="509"/>
      <c r="P57" s="509"/>
      <c r="Q57" s="509"/>
      <c r="R57" s="509"/>
      <c r="S57" s="509"/>
      <c r="T57" s="509"/>
    </row>
    <row r="58" spans="1:20" s="22" customFormat="1" ht="18" customHeight="1">
      <c r="A58" s="196" t="s">
        <v>1877</v>
      </c>
      <c r="B58" s="197" t="s">
        <v>1890</v>
      </c>
      <c r="C58" s="197" t="s">
        <v>1891</v>
      </c>
      <c r="D58" s="917" t="s">
        <v>2761</v>
      </c>
      <c r="E58" s="198" t="s">
        <v>1826</v>
      </c>
      <c r="F58" s="332">
        <f>E59</f>
        <v>463.4</v>
      </c>
      <c r="G58" s="332"/>
      <c r="H58" s="332">
        <f>F58*G58</f>
        <v>0</v>
      </c>
      <c r="I58" s="333">
        <v>0.00431</v>
      </c>
      <c r="J58" s="334">
        <f>F58*I58</f>
        <v>1.9972539999999996</v>
      </c>
      <c r="K58" s="509"/>
      <c r="L58" s="509"/>
      <c r="M58" s="509"/>
      <c r="N58" s="509"/>
      <c r="O58" s="509"/>
      <c r="P58" s="509"/>
      <c r="Q58" s="509"/>
      <c r="R58" s="509"/>
      <c r="S58" s="509"/>
      <c r="T58" s="509"/>
    </row>
    <row r="59" spans="1:20" s="251" customFormat="1" ht="17.25" customHeight="1">
      <c r="A59" s="248"/>
      <c r="B59" s="249"/>
      <c r="C59" s="1139">
        <v>463.4</v>
      </c>
      <c r="D59" s="969"/>
      <c r="E59" s="213">
        <v>463.4</v>
      </c>
      <c r="F59" s="367"/>
      <c r="G59" s="387"/>
      <c r="H59" s="387"/>
      <c r="I59" s="356"/>
      <c r="J59" s="357"/>
      <c r="K59" s="681"/>
      <c r="L59" s="681"/>
      <c r="M59" s="681"/>
      <c r="N59" s="682"/>
      <c r="O59" s="682"/>
      <c r="P59" s="682"/>
      <c r="Q59" s="682"/>
      <c r="R59" s="682"/>
      <c r="S59" s="682"/>
      <c r="T59" s="682"/>
    </row>
    <row r="60" spans="1:20" s="22" customFormat="1" ht="15.75" customHeight="1">
      <c r="A60" s="196" t="s">
        <v>1882</v>
      </c>
      <c r="B60" s="197" t="s">
        <v>1883</v>
      </c>
      <c r="C60" s="197" t="s">
        <v>1884</v>
      </c>
      <c r="D60" s="917" t="s">
        <v>2761</v>
      </c>
      <c r="E60" s="198" t="s">
        <v>1748</v>
      </c>
      <c r="F60" s="332">
        <f>E61</f>
        <v>139.01999999999998</v>
      </c>
      <c r="G60" s="332"/>
      <c r="H60" s="332">
        <f>F60*G60</f>
        <v>0</v>
      </c>
      <c r="I60" s="333">
        <v>0.00034</v>
      </c>
      <c r="J60" s="334">
        <f>F60*I60</f>
        <v>0.0472668</v>
      </c>
      <c r="K60" s="693"/>
      <c r="L60" s="693"/>
      <c r="M60" s="693"/>
      <c r="N60" s="693"/>
      <c r="O60" s="693"/>
      <c r="P60" s="693"/>
      <c r="Q60" s="694"/>
      <c r="R60" s="509"/>
      <c r="S60" s="509"/>
      <c r="T60" s="509"/>
    </row>
    <row r="61" spans="1:20" s="251" customFormat="1" ht="17.25" customHeight="1">
      <c r="A61" s="248"/>
      <c r="B61" s="249"/>
      <c r="C61" s="1139" t="s">
        <v>1153</v>
      </c>
      <c r="D61" s="969"/>
      <c r="E61" s="213">
        <f>(463.4)*0.3</f>
        <v>139.01999999999998</v>
      </c>
      <c r="F61" s="367"/>
      <c r="G61" s="387"/>
      <c r="H61" s="387"/>
      <c r="I61" s="356"/>
      <c r="J61" s="357"/>
      <c r="K61" s="681"/>
      <c r="L61" s="681"/>
      <c r="M61" s="681"/>
      <c r="N61" s="682"/>
      <c r="O61" s="682"/>
      <c r="P61" s="682"/>
      <c r="Q61" s="682"/>
      <c r="R61" s="682"/>
      <c r="S61" s="682"/>
      <c r="T61" s="682"/>
    </row>
    <row r="62" spans="1:20" s="22" customFormat="1" ht="18" customHeight="1">
      <c r="A62" s="196" t="s">
        <v>1886</v>
      </c>
      <c r="B62" s="197" t="s">
        <v>1887</v>
      </c>
      <c r="C62" s="197" t="s">
        <v>1888</v>
      </c>
      <c r="D62" s="917" t="s">
        <v>2761</v>
      </c>
      <c r="E62" s="198" t="s">
        <v>1748</v>
      </c>
      <c r="F62" s="332">
        <f>F60</f>
        <v>139.01999999999998</v>
      </c>
      <c r="G62" s="332"/>
      <c r="H62" s="332">
        <f>F62*G62</f>
        <v>0</v>
      </c>
      <c r="I62" s="333">
        <v>0.00658</v>
      </c>
      <c r="J62" s="334">
        <f>F62*I62</f>
        <v>0.9147515999999999</v>
      </c>
      <c r="K62" s="693"/>
      <c r="L62" s="693"/>
      <c r="M62" s="693"/>
      <c r="N62" s="693"/>
      <c r="O62" s="693"/>
      <c r="P62" s="693"/>
      <c r="Q62" s="694"/>
      <c r="R62" s="509"/>
      <c r="S62" s="509"/>
      <c r="T62" s="509"/>
    </row>
    <row r="63" spans="1:20" s="22" customFormat="1" ht="15" customHeight="1" thickBot="1">
      <c r="A63" s="255"/>
      <c r="B63" s="256"/>
      <c r="C63" s="256"/>
      <c r="D63" s="968"/>
      <c r="E63" s="257"/>
      <c r="F63" s="368"/>
      <c r="G63" s="368"/>
      <c r="H63" s="368"/>
      <c r="I63" s="369"/>
      <c r="J63" s="370"/>
      <c r="K63" s="509"/>
      <c r="L63" s="509"/>
      <c r="M63" s="509"/>
      <c r="N63" s="509"/>
      <c r="O63" s="509"/>
      <c r="P63" s="509"/>
      <c r="Q63" s="509"/>
      <c r="R63" s="509"/>
      <c r="S63" s="509"/>
      <c r="T63" s="509"/>
    </row>
    <row r="64" spans="1:20" ht="16.5" customHeight="1" thickBot="1">
      <c r="A64" s="266" t="s">
        <v>1893</v>
      </c>
      <c r="B64" s="175" t="s">
        <v>1894</v>
      </c>
      <c r="C64" s="176" t="s">
        <v>1895</v>
      </c>
      <c r="D64" s="175"/>
      <c r="E64" s="175"/>
      <c r="F64" s="341"/>
      <c r="G64" s="341"/>
      <c r="H64" s="342">
        <f>SUM(H65:H96)</f>
        <v>0</v>
      </c>
      <c r="I64" s="343"/>
      <c r="J64" s="344">
        <f>SUM(J65:J96)</f>
        <v>61.04247814</v>
      </c>
      <c r="K64" s="670"/>
      <c r="L64" s="670"/>
      <c r="M64" s="670"/>
      <c r="N64" s="670"/>
      <c r="O64" s="670"/>
      <c r="P64" s="670"/>
      <c r="Q64" s="670"/>
      <c r="R64" s="670"/>
      <c r="S64" s="670"/>
      <c r="T64" s="670"/>
    </row>
    <row r="65" spans="1:20" s="22" customFormat="1" ht="20.25" customHeight="1">
      <c r="A65" s="190" t="s">
        <v>1896</v>
      </c>
      <c r="B65" s="191" t="s">
        <v>1897</v>
      </c>
      <c r="C65" s="191" t="s">
        <v>1898</v>
      </c>
      <c r="D65" s="917" t="s">
        <v>2761</v>
      </c>
      <c r="E65" s="192" t="s">
        <v>1748</v>
      </c>
      <c r="F65" s="345">
        <v>205.05</v>
      </c>
      <c r="G65" s="345"/>
      <c r="H65" s="345">
        <f aca="true" t="shared" si="2" ref="H65:H95">F65*G65</f>
        <v>0</v>
      </c>
      <c r="I65" s="346">
        <v>4E-05</v>
      </c>
      <c r="J65" s="347">
        <f aca="true" t="shared" si="3" ref="J65:J95">F65*I65</f>
        <v>0.008202000000000001</v>
      </c>
      <c r="K65" s="693"/>
      <c r="L65" s="693"/>
      <c r="M65" s="693"/>
      <c r="N65" s="693"/>
      <c r="O65" s="693"/>
      <c r="P65" s="693"/>
      <c r="Q65" s="694"/>
      <c r="R65" s="509"/>
      <c r="S65" s="509"/>
      <c r="T65" s="509"/>
    </row>
    <row r="66" spans="1:20" s="22" customFormat="1" ht="20.25" customHeight="1">
      <c r="A66" s="196" t="s">
        <v>1900</v>
      </c>
      <c r="B66" s="197" t="s">
        <v>1901</v>
      </c>
      <c r="C66" s="197" t="s">
        <v>1902</v>
      </c>
      <c r="D66" s="917" t="s">
        <v>2761</v>
      </c>
      <c r="E66" s="198" t="s">
        <v>1748</v>
      </c>
      <c r="F66" s="1236">
        <f>673.2+46.94+245.7</f>
        <v>965.8400000000001</v>
      </c>
      <c r="G66" s="332"/>
      <c r="H66" s="332">
        <f t="shared" si="2"/>
        <v>0</v>
      </c>
      <c r="I66" s="333">
        <v>2E-05</v>
      </c>
      <c r="J66" s="334">
        <f t="shared" si="3"/>
        <v>0.019316800000000005</v>
      </c>
      <c r="K66" s="693"/>
      <c r="L66" s="693"/>
      <c r="M66" s="693"/>
      <c r="N66" s="693"/>
      <c r="O66" s="693"/>
      <c r="P66" s="693"/>
      <c r="Q66" s="694"/>
      <c r="R66" s="509"/>
      <c r="S66" s="509"/>
      <c r="T66" s="509"/>
    </row>
    <row r="67" spans="1:20" s="22" customFormat="1" ht="20.25" customHeight="1">
      <c r="A67" s="196" t="s">
        <v>1904</v>
      </c>
      <c r="B67" s="197" t="s">
        <v>1905</v>
      </c>
      <c r="C67" s="197" t="s">
        <v>1906</v>
      </c>
      <c r="D67" s="917" t="s">
        <v>2761</v>
      </c>
      <c r="E67" s="198" t="s">
        <v>1748</v>
      </c>
      <c r="F67" s="1236">
        <f>673.2+245.7</f>
        <v>918.9000000000001</v>
      </c>
      <c r="G67" s="332"/>
      <c r="H67" s="332">
        <f t="shared" si="2"/>
        <v>0</v>
      </c>
      <c r="I67" s="333">
        <v>0.04634</v>
      </c>
      <c r="J67" s="334">
        <f t="shared" si="3"/>
        <v>42.58182600000001</v>
      </c>
      <c r="K67" s="693"/>
      <c r="L67" s="693"/>
      <c r="M67" s="693"/>
      <c r="N67" s="693"/>
      <c r="O67" s="693"/>
      <c r="P67" s="693"/>
      <c r="Q67" s="694"/>
      <c r="R67" s="509"/>
      <c r="S67" s="509"/>
      <c r="T67" s="509"/>
    </row>
    <row r="68" spans="1:20" s="1034" customFormat="1" ht="20.25" customHeight="1">
      <c r="A68" s="1023" t="s">
        <v>2844</v>
      </c>
      <c r="B68" s="1024" t="s">
        <v>2837</v>
      </c>
      <c r="C68" s="1024" t="s">
        <v>2838</v>
      </c>
      <c r="D68" s="1108"/>
      <c r="E68" s="1027" t="s">
        <v>1748</v>
      </c>
      <c r="F68" s="1028">
        <f>SUM(E69:E70)</f>
        <v>206.82</v>
      </c>
      <c r="G68" s="1028"/>
      <c r="H68" s="1028">
        <f>F68*G68</f>
        <v>0</v>
      </c>
      <c r="I68" s="1052">
        <v>0.0063</v>
      </c>
      <c r="J68" s="1060">
        <f>F68*I68</f>
        <v>1.302966</v>
      </c>
      <c r="K68" s="1033"/>
      <c r="L68" s="1033"/>
      <c r="M68" s="1033"/>
      <c r="N68" s="1033"/>
      <c r="O68" s="1033"/>
      <c r="P68" s="1033"/>
      <c r="Q68" s="1033"/>
      <c r="R68" s="1033"/>
      <c r="S68" s="1033"/>
      <c r="T68" s="1033"/>
    </row>
    <row r="69" spans="1:20" s="251" customFormat="1" ht="17.25" customHeight="1">
      <c r="A69" s="248"/>
      <c r="B69" s="249" t="s">
        <v>1920</v>
      </c>
      <c r="C69" s="250" t="s">
        <v>1154</v>
      </c>
      <c r="D69" s="1193"/>
      <c r="E69" s="213">
        <f>(30.59+33.15+14.5-1.4)*0.5</f>
        <v>38.419999999999995</v>
      </c>
      <c r="F69" s="367"/>
      <c r="G69" s="387"/>
      <c r="H69" s="387"/>
      <c r="I69" s="356"/>
      <c r="J69" s="357"/>
      <c r="K69" s="681"/>
      <c r="L69" s="681"/>
      <c r="M69" s="681"/>
      <c r="N69" s="682"/>
      <c r="O69" s="682"/>
      <c r="P69" s="682"/>
      <c r="Q69" s="682"/>
      <c r="R69" s="682"/>
      <c r="S69" s="682"/>
      <c r="T69" s="682"/>
    </row>
    <row r="70" spans="1:20" s="142" customFormat="1" ht="19.5" customHeight="1">
      <c r="A70" s="204"/>
      <c r="B70" s="212" t="s">
        <v>1921</v>
      </c>
      <c r="C70" s="212">
        <v>162.7</v>
      </c>
      <c r="D70" s="1194"/>
      <c r="E70" s="141">
        <v>168.4</v>
      </c>
      <c r="F70" s="141"/>
      <c r="G70" s="141"/>
      <c r="H70" s="352"/>
      <c r="I70" s="352"/>
      <c r="J70" s="353"/>
      <c r="K70" s="677"/>
      <c r="L70" s="677"/>
      <c r="M70" s="215"/>
      <c r="N70" s="215"/>
      <c r="O70" s="215"/>
      <c r="P70" s="215"/>
      <c r="Q70" s="215"/>
      <c r="R70" s="215"/>
      <c r="S70" s="215"/>
      <c r="T70" s="215"/>
    </row>
    <row r="71" spans="1:20" s="22" customFormat="1" ht="20.25" customHeight="1">
      <c r="A71" s="196" t="s">
        <v>1907</v>
      </c>
      <c r="B71" s="197" t="s">
        <v>1918</v>
      </c>
      <c r="C71" s="1024" t="s">
        <v>2841</v>
      </c>
      <c r="D71" s="1177" t="s">
        <v>2761</v>
      </c>
      <c r="E71" s="198" t="s">
        <v>1748</v>
      </c>
      <c r="F71" s="332">
        <f>SUM(E72:E73)</f>
        <v>206.82</v>
      </c>
      <c r="G71" s="332"/>
      <c r="H71" s="332">
        <f t="shared" si="2"/>
        <v>0</v>
      </c>
      <c r="I71" s="333">
        <v>0.026</v>
      </c>
      <c r="J71" s="334">
        <f t="shared" si="3"/>
        <v>5.377319999999999</v>
      </c>
      <c r="K71" s="693"/>
      <c r="L71" s="693"/>
      <c r="M71" s="693"/>
      <c r="N71" s="693"/>
      <c r="O71" s="693"/>
      <c r="P71" s="693"/>
      <c r="Q71" s="694"/>
      <c r="R71" s="509"/>
      <c r="S71" s="509"/>
      <c r="T71" s="509"/>
    </row>
    <row r="72" spans="1:20" s="251" customFormat="1" ht="17.25" customHeight="1">
      <c r="A72" s="248"/>
      <c r="B72" s="249" t="s">
        <v>1920</v>
      </c>
      <c r="C72" s="250" t="s">
        <v>1154</v>
      </c>
      <c r="D72" s="969"/>
      <c r="E72" s="213">
        <f>(30.59+33.15+14.5-1.4)*0.5</f>
        <v>38.419999999999995</v>
      </c>
      <c r="F72" s="367"/>
      <c r="G72" s="387"/>
      <c r="H72" s="387"/>
      <c r="I72" s="356"/>
      <c r="J72" s="357"/>
      <c r="K72" s="681"/>
      <c r="L72" s="681"/>
      <c r="M72" s="681"/>
      <c r="N72" s="682"/>
      <c r="O72" s="682"/>
      <c r="P72" s="682"/>
      <c r="Q72" s="682"/>
      <c r="R72" s="682"/>
      <c r="S72" s="682"/>
      <c r="T72" s="682"/>
    </row>
    <row r="73" spans="1:20" s="142" customFormat="1" ht="19.5" customHeight="1">
      <c r="A73" s="204"/>
      <c r="B73" s="212" t="s">
        <v>1921</v>
      </c>
      <c r="C73" s="212">
        <v>162.7</v>
      </c>
      <c r="D73" s="971"/>
      <c r="E73" s="141">
        <v>168.4</v>
      </c>
      <c r="F73" s="141"/>
      <c r="G73" s="141"/>
      <c r="H73" s="352"/>
      <c r="I73" s="352"/>
      <c r="J73" s="353"/>
      <c r="K73" s="677"/>
      <c r="L73" s="677"/>
      <c r="M73" s="215"/>
      <c r="N73" s="215"/>
      <c r="O73" s="215"/>
      <c r="P73" s="215"/>
      <c r="Q73" s="215"/>
      <c r="R73" s="215"/>
      <c r="S73" s="215"/>
      <c r="T73" s="215"/>
    </row>
    <row r="74" spans="1:20" s="22" customFormat="1" ht="20.25" customHeight="1">
      <c r="A74" s="196" t="s">
        <v>1914</v>
      </c>
      <c r="B74" s="197" t="s">
        <v>1923</v>
      </c>
      <c r="C74" s="197" t="s">
        <v>1924</v>
      </c>
      <c r="D74" s="917" t="s">
        <v>1925</v>
      </c>
      <c r="E74" s="198" t="s">
        <v>1748</v>
      </c>
      <c r="F74" s="332">
        <f>E75</f>
        <v>46.944</v>
      </c>
      <c r="G74" s="332"/>
      <c r="H74" s="332">
        <f t="shared" si="2"/>
        <v>0</v>
      </c>
      <c r="I74" s="333">
        <v>0.01021</v>
      </c>
      <c r="J74" s="334">
        <f t="shared" si="3"/>
        <v>0.47929824000000004</v>
      </c>
      <c r="K74" s="509"/>
      <c r="L74" s="509"/>
      <c r="M74" s="509"/>
      <c r="N74" s="509"/>
      <c r="O74" s="509"/>
      <c r="P74" s="509"/>
      <c r="Q74" s="509"/>
      <c r="R74" s="509"/>
      <c r="S74" s="509"/>
      <c r="T74" s="509"/>
    </row>
    <row r="75" spans="1:24" s="211" customFormat="1" ht="21.75" customHeight="1">
      <c r="A75" s="223"/>
      <c r="B75" s="224" t="s">
        <v>1749</v>
      </c>
      <c r="C75" s="205" t="s">
        <v>1141</v>
      </c>
      <c r="D75" s="970"/>
      <c r="E75" s="220">
        <f>(30.59)*0.6+(33.15+14.5)*0.6</f>
        <v>46.944</v>
      </c>
      <c r="F75" s="225"/>
      <c r="G75" s="674"/>
      <c r="H75" s="225"/>
      <c r="I75" s="348"/>
      <c r="J75" s="349"/>
      <c r="K75" s="675"/>
      <c r="L75" s="675"/>
      <c r="M75" s="675"/>
      <c r="N75" s="675"/>
      <c r="O75" s="676"/>
      <c r="P75" s="676"/>
      <c r="Q75" s="676"/>
      <c r="R75" s="676"/>
      <c r="S75" s="515"/>
      <c r="T75" s="515"/>
      <c r="U75" s="210"/>
      <c r="V75" s="210"/>
      <c r="W75" s="210"/>
      <c r="X75" s="210"/>
    </row>
    <row r="76" spans="1:20" s="22" customFormat="1" ht="30.75" customHeight="1">
      <c r="A76" s="196" t="s">
        <v>1917</v>
      </c>
      <c r="B76" s="197" t="s">
        <v>1927</v>
      </c>
      <c r="C76" s="199" t="s">
        <v>1928</v>
      </c>
      <c r="D76" s="917" t="s">
        <v>1929</v>
      </c>
      <c r="E76" s="198" t="s">
        <v>1748</v>
      </c>
      <c r="F76" s="332">
        <f>E77</f>
        <v>38.419999999999995</v>
      </c>
      <c r="G76" s="332"/>
      <c r="H76" s="332">
        <f>F76*G76</f>
        <v>0</v>
      </c>
      <c r="I76" s="333">
        <v>0.01396</v>
      </c>
      <c r="J76" s="334">
        <f>F76*I76</f>
        <v>0.5363431999999999</v>
      </c>
      <c r="K76" s="509"/>
      <c r="L76" s="509"/>
      <c r="M76" s="509"/>
      <c r="N76" s="509"/>
      <c r="O76" s="509"/>
      <c r="P76" s="509"/>
      <c r="Q76" s="509"/>
      <c r="R76" s="509"/>
      <c r="S76" s="509"/>
      <c r="T76" s="509"/>
    </row>
    <row r="77" spans="1:20" s="251" customFormat="1" ht="17.25" customHeight="1">
      <c r="A77" s="248"/>
      <c r="B77" s="249"/>
      <c r="C77" s="250" t="s">
        <v>1154</v>
      </c>
      <c r="D77" s="969"/>
      <c r="E77" s="213">
        <f>(30.59+33.15+14.5-1.4)*0.5</f>
        <v>38.419999999999995</v>
      </c>
      <c r="F77" s="367"/>
      <c r="G77" s="387"/>
      <c r="H77" s="387"/>
      <c r="I77" s="356"/>
      <c r="J77" s="357"/>
      <c r="K77" s="681"/>
      <c r="L77" s="681"/>
      <c r="M77" s="681"/>
      <c r="N77" s="682"/>
      <c r="O77" s="682"/>
      <c r="P77" s="682"/>
      <c r="Q77" s="682"/>
      <c r="R77" s="682"/>
      <c r="S77" s="682"/>
      <c r="T77" s="682"/>
    </row>
    <row r="78" spans="1:20" s="22" customFormat="1" ht="20.25" customHeight="1">
      <c r="A78" s="196" t="s">
        <v>1922</v>
      </c>
      <c r="B78" s="197" t="s">
        <v>1939</v>
      </c>
      <c r="C78" s="197" t="s">
        <v>1940</v>
      </c>
      <c r="D78" s="917" t="s">
        <v>1929</v>
      </c>
      <c r="E78" s="198" t="s">
        <v>1748</v>
      </c>
      <c r="F78" s="332">
        <f>F76</f>
        <v>38.419999999999995</v>
      </c>
      <c r="G78" s="332"/>
      <c r="H78" s="332">
        <f t="shared" si="2"/>
        <v>0</v>
      </c>
      <c r="I78" s="333">
        <v>0.00618</v>
      </c>
      <c r="J78" s="334">
        <f t="shared" si="3"/>
        <v>0.23743559999999997</v>
      </c>
      <c r="K78" s="693"/>
      <c r="L78" s="693"/>
      <c r="M78" s="693"/>
      <c r="N78" s="693"/>
      <c r="O78" s="693"/>
      <c r="P78" s="693"/>
      <c r="Q78" s="694"/>
      <c r="R78" s="509"/>
      <c r="S78" s="509"/>
      <c r="T78" s="509"/>
    </row>
    <row r="79" spans="1:20" s="22" customFormat="1" ht="20.25" customHeight="1">
      <c r="A79" s="196" t="s">
        <v>1926</v>
      </c>
      <c r="B79" s="197" t="s">
        <v>1961</v>
      </c>
      <c r="C79" s="197" t="s">
        <v>1962</v>
      </c>
      <c r="D79" s="917" t="s">
        <v>876</v>
      </c>
      <c r="E79" s="198" t="s">
        <v>1748</v>
      </c>
      <c r="F79" s="1236">
        <f>SUM(E80:E81)</f>
        <v>641.4700000000001</v>
      </c>
      <c r="G79" s="332"/>
      <c r="H79" s="332">
        <f t="shared" si="2"/>
        <v>0</v>
      </c>
      <c r="I79" s="333">
        <v>0.01011</v>
      </c>
      <c r="J79" s="334">
        <f t="shared" si="3"/>
        <v>6.485261700000001</v>
      </c>
      <c r="K79" s="693"/>
      <c r="L79" s="693"/>
      <c r="M79" s="693"/>
      <c r="N79" s="693"/>
      <c r="O79" s="693"/>
      <c r="P79" s="693"/>
      <c r="Q79" s="694"/>
      <c r="R79" s="509"/>
      <c r="S79" s="509"/>
      <c r="T79" s="509"/>
    </row>
    <row r="80" spans="1:20" s="130" customFormat="1" ht="22.5" customHeight="1">
      <c r="A80" s="204"/>
      <c r="B80" s="205"/>
      <c r="C80" s="206" t="s">
        <v>2994</v>
      </c>
      <c r="D80" s="916"/>
      <c r="E80" s="207">
        <f>673.2-38.42</f>
        <v>634.7800000000001</v>
      </c>
      <c r="F80" s="335"/>
      <c r="G80" s="335"/>
      <c r="H80" s="335"/>
      <c r="I80" s="336"/>
      <c r="J80" s="337"/>
      <c r="K80" s="672"/>
      <c r="L80" s="672"/>
      <c r="M80" s="672"/>
      <c r="N80" s="672"/>
      <c r="O80" s="672"/>
      <c r="P80" s="672"/>
      <c r="Q80" s="673"/>
      <c r="R80" s="508"/>
      <c r="S80" s="508"/>
      <c r="T80" s="508"/>
    </row>
    <row r="81" spans="1:20" s="130" customFormat="1" ht="22.5" customHeight="1">
      <c r="A81" s="204"/>
      <c r="B81" s="205" t="s">
        <v>878</v>
      </c>
      <c r="C81" s="206" t="s">
        <v>879</v>
      </c>
      <c r="D81" s="916"/>
      <c r="E81" s="207">
        <f>(2.86+3.83)</f>
        <v>6.6899999999999995</v>
      </c>
      <c r="F81" s="335"/>
      <c r="G81" s="335"/>
      <c r="H81" s="335"/>
      <c r="I81" s="336"/>
      <c r="J81" s="337"/>
      <c r="K81" s="672"/>
      <c r="L81" s="672"/>
      <c r="M81" s="672"/>
      <c r="N81" s="672"/>
      <c r="O81" s="672"/>
      <c r="P81" s="672"/>
      <c r="Q81" s="673"/>
      <c r="R81" s="508"/>
      <c r="S81" s="508"/>
      <c r="T81" s="508"/>
    </row>
    <row r="82" spans="1:20" s="22" customFormat="1" ht="20.25" customHeight="1">
      <c r="A82" s="196" t="s">
        <v>1931</v>
      </c>
      <c r="B82" s="197" t="s">
        <v>1966</v>
      </c>
      <c r="C82" s="197" t="s">
        <v>1967</v>
      </c>
      <c r="D82" s="917" t="s">
        <v>880</v>
      </c>
      <c r="E82" s="198" t="s">
        <v>1748</v>
      </c>
      <c r="F82" s="332">
        <f>547.08*0.15</f>
        <v>82.062</v>
      </c>
      <c r="G82" s="332"/>
      <c r="H82" s="332">
        <f t="shared" si="2"/>
        <v>0</v>
      </c>
      <c r="I82" s="333">
        <v>0</v>
      </c>
      <c r="J82" s="334">
        <f t="shared" si="3"/>
        <v>0</v>
      </c>
      <c r="K82" s="693"/>
      <c r="L82" s="693"/>
      <c r="M82" s="693"/>
      <c r="N82" s="693"/>
      <c r="O82" s="693"/>
      <c r="P82" s="693"/>
      <c r="Q82" s="694"/>
      <c r="R82" s="509"/>
      <c r="S82" s="509"/>
      <c r="T82" s="509"/>
    </row>
    <row r="83" spans="1:24" s="129" customFormat="1" ht="20.25" customHeight="1">
      <c r="A83" s="196" t="s">
        <v>1935</v>
      </c>
      <c r="B83" s="197" t="s">
        <v>881</v>
      </c>
      <c r="C83" s="197" t="s">
        <v>882</v>
      </c>
      <c r="D83" s="917" t="s">
        <v>883</v>
      </c>
      <c r="E83" s="198" t="s">
        <v>1748</v>
      </c>
      <c r="F83" s="332">
        <f>SUM(E84:E84)</f>
        <v>6.3999999999999995</v>
      </c>
      <c r="G83" s="332"/>
      <c r="H83" s="332">
        <f t="shared" si="2"/>
        <v>0</v>
      </c>
      <c r="I83" s="333">
        <v>0.01251</v>
      </c>
      <c r="J83" s="334">
        <f t="shared" si="3"/>
        <v>0.080064</v>
      </c>
      <c r="K83" s="693"/>
      <c r="L83" s="693"/>
      <c r="M83" s="693"/>
      <c r="N83" s="693"/>
      <c r="O83" s="693"/>
      <c r="P83" s="693"/>
      <c r="Q83" s="694"/>
      <c r="R83" s="509"/>
      <c r="S83" s="509"/>
      <c r="T83" s="509"/>
      <c r="U83" s="22"/>
      <c r="V83" s="22"/>
      <c r="W83" s="22"/>
      <c r="X83" s="22"/>
    </row>
    <row r="84" spans="1:20" s="130" customFormat="1" ht="22.5" customHeight="1">
      <c r="A84" s="204"/>
      <c r="B84" s="205" t="s">
        <v>884</v>
      </c>
      <c r="C84" s="206" t="s">
        <v>885</v>
      </c>
      <c r="D84" s="916"/>
      <c r="E84" s="207">
        <f>(4.06+2.34)</f>
        <v>6.3999999999999995</v>
      </c>
      <c r="F84" s="335"/>
      <c r="G84" s="335"/>
      <c r="H84" s="335"/>
      <c r="I84" s="336"/>
      <c r="J84" s="337"/>
      <c r="K84" s="672"/>
      <c r="L84" s="672"/>
      <c r="M84" s="672"/>
      <c r="N84" s="672"/>
      <c r="O84" s="672"/>
      <c r="P84" s="672"/>
      <c r="Q84" s="673"/>
      <c r="R84" s="508"/>
      <c r="S84" s="508"/>
      <c r="T84" s="508"/>
    </row>
    <row r="85" spans="1:20" s="22" customFormat="1" ht="31.5" customHeight="1">
      <c r="A85" s="196" t="s">
        <v>1938</v>
      </c>
      <c r="B85" s="197" t="s">
        <v>886</v>
      </c>
      <c r="C85" s="199" t="s">
        <v>2949</v>
      </c>
      <c r="D85" s="917" t="s">
        <v>888</v>
      </c>
      <c r="E85" s="198" t="s">
        <v>1748</v>
      </c>
      <c r="F85" s="332">
        <f>SUM(E86:E86)</f>
        <v>245.70000000000002</v>
      </c>
      <c r="G85" s="332"/>
      <c r="H85" s="332">
        <f t="shared" si="2"/>
        <v>0</v>
      </c>
      <c r="I85" s="333">
        <v>0.00367</v>
      </c>
      <c r="J85" s="334">
        <f t="shared" si="3"/>
        <v>0.901719</v>
      </c>
      <c r="K85" s="693"/>
      <c r="L85" s="693"/>
      <c r="M85" s="693"/>
      <c r="N85" s="693"/>
      <c r="O85" s="693"/>
      <c r="P85" s="693"/>
      <c r="Q85" s="694"/>
      <c r="R85" s="509"/>
      <c r="S85" s="509"/>
      <c r="T85" s="509"/>
    </row>
    <row r="86" spans="1:20" s="251" customFormat="1" ht="17.25" customHeight="1">
      <c r="A86" s="248"/>
      <c r="B86" s="249"/>
      <c r="C86" s="1139" t="s">
        <v>889</v>
      </c>
      <c r="D86" s="969"/>
      <c r="E86" s="213">
        <f>94.5*2.6</f>
        <v>245.70000000000002</v>
      </c>
      <c r="F86" s="367"/>
      <c r="G86" s="387"/>
      <c r="H86" s="387"/>
      <c r="I86" s="356"/>
      <c r="J86" s="357"/>
      <c r="K86" s="681"/>
      <c r="L86" s="681"/>
      <c r="M86" s="681"/>
      <c r="N86" s="682"/>
      <c r="O86" s="682"/>
      <c r="P86" s="682"/>
      <c r="Q86" s="682"/>
      <c r="R86" s="682"/>
      <c r="S86" s="682"/>
      <c r="T86" s="682"/>
    </row>
    <row r="87" spans="1:20" s="22" customFormat="1" ht="20.25" customHeight="1">
      <c r="A87" s="196" t="s">
        <v>1942</v>
      </c>
      <c r="B87" s="197" t="s">
        <v>1987</v>
      </c>
      <c r="C87" s="197" t="s">
        <v>1988</v>
      </c>
      <c r="D87" s="917" t="s">
        <v>2761</v>
      </c>
      <c r="E87" s="198" t="s">
        <v>1826</v>
      </c>
      <c r="F87" s="332">
        <v>38.8</v>
      </c>
      <c r="G87" s="332"/>
      <c r="H87" s="332">
        <f>F87*G87</f>
        <v>0</v>
      </c>
      <c r="I87" s="333">
        <v>0.0005</v>
      </c>
      <c r="J87" s="334">
        <f>F87*I87</f>
        <v>0.0194</v>
      </c>
      <c r="K87" s="509"/>
      <c r="L87" s="509"/>
      <c r="M87" s="509"/>
      <c r="N87" s="509"/>
      <c r="O87" s="509"/>
      <c r="P87" s="509"/>
      <c r="Q87" s="509"/>
      <c r="R87" s="509"/>
      <c r="S87" s="509"/>
      <c r="T87" s="509"/>
    </row>
    <row r="88" spans="1:20" s="22" customFormat="1" ht="20.25" customHeight="1">
      <c r="A88" s="196" t="s">
        <v>1955</v>
      </c>
      <c r="B88" s="197" t="s">
        <v>1990</v>
      </c>
      <c r="C88" s="197" t="s">
        <v>1991</v>
      </c>
      <c r="D88" s="917" t="s">
        <v>2761</v>
      </c>
      <c r="E88" s="198" t="s">
        <v>1826</v>
      </c>
      <c r="F88" s="332">
        <v>463.4</v>
      </c>
      <c r="G88" s="332"/>
      <c r="H88" s="332">
        <f t="shared" si="2"/>
        <v>0</v>
      </c>
      <c r="I88" s="333">
        <v>0</v>
      </c>
      <c r="J88" s="334">
        <f t="shared" si="3"/>
        <v>0</v>
      </c>
      <c r="K88" s="693"/>
      <c r="L88" s="693"/>
      <c r="M88" s="693"/>
      <c r="N88" s="693"/>
      <c r="O88" s="693"/>
      <c r="P88" s="693"/>
      <c r="Q88" s="694"/>
      <c r="R88" s="509"/>
      <c r="S88" s="509"/>
      <c r="T88" s="509"/>
    </row>
    <row r="89" spans="1:20" s="22" customFormat="1" ht="20.25" customHeight="1">
      <c r="A89" s="196" t="s">
        <v>1960</v>
      </c>
      <c r="B89" s="197" t="s">
        <v>1993</v>
      </c>
      <c r="C89" s="197" t="s">
        <v>1994</v>
      </c>
      <c r="D89" s="917" t="s">
        <v>2761</v>
      </c>
      <c r="E89" s="198" t="s">
        <v>1826</v>
      </c>
      <c r="F89" s="332">
        <f>E90</f>
        <v>76.64</v>
      </c>
      <c r="G89" s="332"/>
      <c r="H89" s="332">
        <f t="shared" si="2"/>
        <v>0</v>
      </c>
      <c r="I89" s="333">
        <v>0.00011</v>
      </c>
      <c r="J89" s="334">
        <f t="shared" si="3"/>
        <v>0.008430400000000001</v>
      </c>
      <c r="K89" s="693"/>
      <c r="L89" s="693"/>
      <c r="M89" s="693"/>
      <c r="N89" s="693"/>
      <c r="O89" s="693"/>
      <c r="P89" s="693"/>
      <c r="Q89" s="694"/>
      <c r="R89" s="509"/>
      <c r="S89" s="509"/>
      <c r="T89" s="509"/>
    </row>
    <row r="90" spans="1:20" s="251" customFormat="1" ht="17.25" customHeight="1">
      <c r="A90" s="248"/>
      <c r="B90" s="249"/>
      <c r="C90" s="1139" t="s">
        <v>1155</v>
      </c>
      <c r="D90" s="969"/>
      <c r="E90" s="213">
        <f>(30.59+33.15+14.5-1.6)</f>
        <v>76.64</v>
      </c>
      <c r="F90" s="367"/>
      <c r="G90" s="387"/>
      <c r="H90" s="387"/>
      <c r="I90" s="356"/>
      <c r="J90" s="357"/>
      <c r="K90" s="681"/>
      <c r="L90" s="681"/>
      <c r="M90" s="681"/>
      <c r="N90" s="682"/>
      <c r="O90" s="682"/>
      <c r="P90" s="682"/>
      <c r="Q90" s="682"/>
      <c r="R90" s="682"/>
      <c r="S90" s="682"/>
      <c r="T90" s="682"/>
    </row>
    <row r="91" spans="1:20" s="22" customFormat="1" ht="20.25" customHeight="1">
      <c r="A91" s="196" t="s">
        <v>1965</v>
      </c>
      <c r="B91" s="197" t="s">
        <v>1996</v>
      </c>
      <c r="C91" s="197" t="s">
        <v>1997</v>
      </c>
      <c r="D91" s="917" t="s">
        <v>2761</v>
      </c>
      <c r="E91" s="198" t="s">
        <v>1826</v>
      </c>
      <c r="F91" s="332">
        <v>396</v>
      </c>
      <c r="G91" s="332"/>
      <c r="H91" s="332">
        <f t="shared" si="2"/>
        <v>0</v>
      </c>
      <c r="I91" s="333">
        <v>0.00011</v>
      </c>
      <c r="J91" s="334">
        <f t="shared" si="3"/>
        <v>0.04356</v>
      </c>
      <c r="K91" s="693"/>
      <c r="L91" s="693"/>
      <c r="M91" s="693"/>
      <c r="N91" s="693"/>
      <c r="O91" s="693"/>
      <c r="P91" s="693"/>
      <c r="Q91" s="694"/>
      <c r="R91" s="509"/>
      <c r="S91" s="509"/>
      <c r="T91" s="509"/>
    </row>
    <row r="92" spans="1:20" s="22" customFormat="1" ht="20.25" customHeight="1">
      <c r="A92" s="196" t="s">
        <v>1972</v>
      </c>
      <c r="B92" s="197" t="s">
        <v>1999</v>
      </c>
      <c r="C92" s="197" t="s">
        <v>2000</v>
      </c>
      <c r="D92" s="917" t="s">
        <v>2761</v>
      </c>
      <c r="E92" s="198" t="s">
        <v>1826</v>
      </c>
      <c r="F92" s="332">
        <v>1576.7</v>
      </c>
      <c r="G92" s="332"/>
      <c r="H92" s="332">
        <f t="shared" si="2"/>
        <v>0</v>
      </c>
      <c r="I92" s="333">
        <v>0</v>
      </c>
      <c r="J92" s="334">
        <f t="shared" si="3"/>
        <v>0</v>
      </c>
      <c r="K92" s="693"/>
      <c r="L92" s="509"/>
      <c r="M92" s="693"/>
      <c r="N92" s="693"/>
      <c r="O92" s="693"/>
      <c r="P92" s="693"/>
      <c r="Q92" s="694"/>
      <c r="R92" s="509"/>
      <c r="S92" s="509"/>
      <c r="T92" s="509"/>
    </row>
    <row r="93" spans="1:20" s="22" customFormat="1" ht="20.25" customHeight="1">
      <c r="A93" s="196" t="s">
        <v>1977</v>
      </c>
      <c r="B93" s="197" t="s">
        <v>2002</v>
      </c>
      <c r="C93" s="197" t="s">
        <v>2003</v>
      </c>
      <c r="D93" s="917" t="s">
        <v>2761</v>
      </c>
      <c r="E93" s="198" t="s">
        <v>1748</v>
      </c>
      <c r="F93" s="1236">
        <f>641.47+71.69+6.4+245.7+0.58</f>
        <v>965.84</v>
      </c>
      <c r="G93" s="332"/>
      <c r="H93" s="332">
        <f t="shared" si="2"/>
        <v>0</v>
      </c>
      <c r="I93" s="333">
        <v>0.00032</v>
      </c>
      <c r="J93" s="334">
        <f t="shared" si="3"/>
        <v>0.30906880000000003</v>
      </c>
      <c r="K93" s="693"/>
      <c r="L93" s="509"/>
      <c r="M93" s="693"/>
      <c r="N93" s="693"/>
      <c r="O93" s="693"/>
      <c r="P93" s="693"/>
      <c r="Q93" s="694"/>
      <c r="R93" s="509"/>
      <c r="S93" s="509"/>
      <c r="T93" s="509"/>
    </row>
    <row r="94" spans="1:20" s="22" customFormat="1" ht="20.25" customHeight="1">
      <c r="A94" s="196" t="s">
        <v>1982</v>
      </c>
      <c r="B94" s="197" t="s">
        <v>2005</v>
      </c>
      <c r="C94" s="197" t="s">
        <v>2006</v>
      </c>
      <c r="D94" s="917" t="s">
        <v>2761</v>
      </c>
      <c r="E94" s="198" t="s">
        <v>1748</v>
      </c>
      <c r="F94" s="1236">
        <f>641.47+71.69+6.4+245.7+0.58-38.42</f>
        <v>927.4200000000001</v>
      </c>
      <c r="G94" s="332"/>
      <c r="H94" s="332">
        <f t="shared" si="2"/>
        <v>0</v>
      </c>
      <c r="I94" s="333">
        <v>0.00284</v>
      </c>
      <c r="J94" s="334">
        <f t="shared" si="3"/>
        <v>2.6338728000000002</v>
      </c>
      <c r="K94" s="693"/>
      <c r="L94" s="693"/>
      <c r="M94" s="693"/>
      <c r="N94" s="693"/>
      <c r="O94" s="693"/>
      <c r="P94" s="693"/>
      <c r="Q94" s="694"/>
      <c r="R94" s="509"/>
      <c r="S94" s="509"/>
      <c r="T94" s="509"/>
    </row>
    <row r="95" spans="1:20" s="22" customFormat="1" ht="20.25" customHeight="1">
      <c r="A95" s="196" t="s">
        <v>1986</v>
      </c>
      <c r="B95" s="197" t="s">
        <v>2008</v>
      </c>
      <c r="C95" s="197" t="s">
        <v>2009</v>
      </c>
      <c r="D95" s="917" t="s">
        <v>2761</v>
      </c>
      <c r="E95" s="198" t="s">
        <v>1826</v>
      </c>
      <c r="F95" s="332">
        <f>F89*3</f>
        <v>229.92000000000002</v>
      </c>
      <c r="G95" s="332"/>
      <c r="H95" s="332">
        <f t="shared" si="2"/>
        <v>0</v>
      </c>
      <c r="I95" s="333">
        <v>8E-05</v>
      </c>
      <c r="J95" s="334">
        <f t="shared" si="3"/>
        <v>0.018393600000000003</v>
      </c>
      <c r="K95" s="693"/>
      <c r="L95" s="693"/>
      <c r="M95" s="693"/>
      <c r="N95" s="693"/>
      <c r="O95" s="693"/>
      <c r="P95" s="693"/>
      <c r="Q95" s="694"/>
      <c r="R95" s="509"/>
      <c r="S95" s="509"/>
      <c r="T95" s="509"/>
    </row>
    <row r="96" spans="1:20" s="22" customFormat="1" ht="15" customHeight="1" thickBot="1">
      <c r="A96" s="255"/>
      <c r="B96" s="256"/>
      <c r="C96" s="256"/>
      <c r="D96" s="968"/>
      <c r="E96" s="257"/>
      <c r="F96" s="368"/>
      <c r="G96" s="368"/>
      <c r="H96" s="368"/>
      <c r="I96" s="369"/>
      <c r="J96" s="370"/>
      <c r="K96" s="509"/>
      <c r="L96" s="509"/>
      <c r="M96" s="509"/>
      <c r="N96" s="509"/>
      <c r="O96" s="509"/>
      <c r="P96" s="509"/>
      <c r="Q96" s="509"/>
      <c r="R96" s="509"/>
      <c r="S96" s="509"/>
      <c r="T96" s="509"/>
    </row>
    <row r="97" spans="1:20" ht="16.5" customHeight="1" thickBot="1">
      <c r="A97" s="266" t="s">
        <v>2011</v>
      </c>
      <c r="B97" s="175" t="s">
        <v>2012</v>
      </c>
      <c r="C97" s="176" t="s">
        <v>2013</v>
      </c>
      <c r="D97" s="175"/>
      <c r="E97" s="175"/>
      <c r="F97" s="341"/>
      <c r="G97" s="341"/>
      <c r="H97" s="342">
        <f>SUM(H98:H109)</f>
        <v>0</v>
      </c>
      <c r="I97" s="343"/>
      <c r="J97" s="344">
        <f>SUM(J98:J109)</f>
        <v>42.854948238125004</v>
      </c>
      <c r="K97" s="670"/>
      <c r="L97" s="670"/>
      <c r="M97" s="670"/>
      <c r="N97" s="670"/>
      <c r="O97" s="670"/>
      <c r="P97" s="670"/>
      <c r="Q97" s="670"/>
      <c r="R97" s="670"/>
      <c r="S97" s="670"/>
      <c r="T97" s="670"/>
    </row>
    <row r="98" spans="1:20" s="22" customFormat="1" ht="14.25" customHeight="1">
      <c r="A98" s="190"/>
      <c r="B98" s="191"/>
      <c r="C98" s="1098"/>
      <c r="D98" s="964"/>
      <c r="E98" s="192"/>
      <c r="F98" s="345"/>
      <c r="G98" s="345"/>
      <c r="H98" s="345"/>
      <c r="I98" s="346"/>
      <c r="J98" s="347"/>
      <c r="K98" s="509"/>
      <c r="L98" s="509"/>
      <c r="M98" s="509"/>
      <c r="N98" s="509"/>
      <c r="O98" s="509"/>
      <c r="P98" s="509"/>
      <c r="Q98" s="509"/>
      <c r="R98" s="509"/>
      <c r="S98" s="509"/>
      <c r="T98" s="509"/>
    </row>
    <row r="99" spans="1:20" s="22" customFormat="1" ht="20.25" customHeight="1">
      <c r="A99" s="196" t="s">
        <v>2014</v>
      </c>
      <c r="B99" s="197" t="s">
        <v>2015</v>
      </c>
      <c r="C99" s="1024" t="s">
        <v>2856</v>
      </c>
      <c r="D99" s="917" t="s">
        <v>2818</v>
      </c>
      <c r="E99" s="198" t="s">
        <v>1748</v>
      </c>
      <c r="F99" s="332">
        <f>SUM(E100:E102)</f>
        <v>444.03999999999996</v>
      </c>
      <c r="G99" s="332"/>
      <c r="H99" s="332">
        <f>F99*G99</f>
        <v>0</v>
      </c>
      <c r="I99" s="333">
        <v>0.02193</v>
      </c>
      <c r="J99" s="334">
        <f>F99*I99</f>
        <v>9.7377972</v>
      </c>
      <c r="K99" s="509"/>
      <c r="L99" s="509"/>
      <c r="M99" s="509"/>
      <c r="N99" s="509"/>
      <c r="O99" s="509"/>
      <c r="P99" s="509"/>
      <c r="Q99" s="509"/>
      <c r="R99" s="509"/>
      <c r="S99" s="509"/>
      <c r="T99" s="509"/>
    </row>
    <row r="100" spans="1:20" s="130" customFormat="1" ht="24" customHeight="1">
      <c r="A100" s="204"/>
      <c r="B100" s="205" t="s">
        <v>891</v>
      </c>
      <c r="C100" s="206" t="s">
        <v>892</v>
      </c>
      <c r="D100" s="916"/>
      <c r="E100" s="207">
        <v>430.95</v>
      </c>
      <c r="F100" s="335"/>
      <c r="G100" s="335"/>
      <c r="H100" s="335"/>
      <c r="I100" s="336"/>
      <c r="J100" s="337"/>
      <c r="K100" s="508"/>
      <c r="L100" s="508"/>
      <c r="M100" s="508"/>
      <c r="N100" s="508"/>
      <c r="O100" s="508"/>
      <c r="P100" s="508"/>
      <c r="Q100" s="508"/>
      <c r="R100" s="508"/>
      <c r="S100" s="508"/>
      <c r="T100" s="508"/>
    </row>
    <row r="101" spans="1:20" s="130" customFormat="1" ht="22.5" customHeight="1">
      <c r="A101" s="204"/>
      <c r="B101" s="205" t="s">
        <v>878</v>
      </c>
      <c r="C101" s="206" t="s">
        <v>879</v>
      </c>
      <c r="D101" s="916"/>
      <c r="E101" s="207">
        <f>(2.86+3.83)</f>
        <v>6.6899999999999995</v>
      </c>
      <c r="F101" s="335"/>
      <c r="G101" s="335"/>
      <c r="H101" s="335"/>
      <c r="I101" s="336"/>
      <c r="J101" s="337"/>
      <c r="K101" s="672"/>
      <c r="L101" s="672"/>
      <c r="M101" s="672"/>
      <c r="N101" s="672"/>
      <c r="O101" s="672"/>
      <c r="P101" s="672"/>
      <c r="Q101" s="673"/>
      <c r="R101" s="508"/>
      <c r="S101" s="508"/>
      <c r="T101" s="508"/>
    </row>
    <row r="102" spans="1:20" s="130" customFormat="1" ht="22.5" customHeight="1">
      <c r="A102" s="204"/>
      <c r="B102" s="205" t="s">
        <v>884</v>
      </c>
      <c r="C102" s="206" t="s">
        <v>885</v>
      </c>
      <c r="D102" s="916"/>
      <c r="E102" s="207">
        <f>(4.06+2.34)</f>
        <v>6.3999999999999995</v>
      </c>
      <c r="F102" s="335"/>
      <c r="G102" s="335"/>
      <c r="H102" s="335"/>
      <c r="I102" s="336"/>
      <c r="J102" s="337"/>
      <c r="K102" s="672"/>
      <c r="L102" s="672"/>
      <c r="M102" s="672"/>
      <c r="N102" s="672"/>
      <c r="O102" s="672"/>
      <c r="P102" s="672"/>
      <c r="Q102" s="673"/>
      <c r="R102" s="508"/>
      <c r="S102" s="508"/>
      <c r="T102" s="508"/>
    </row>
    <row r="103" spans="1:20" s="22" customFormat="1" ht="20.25" customHeight="1">
      <c r="A103" s="196" t="s">
        <v>2026</v>
      </c>
      <c r="B103" s="197" t="s">
        <v>2027</v>
      </c>
      <c r="C103" s="197" t="s">
        <v>2028</v>
      </c>
      <c r="D103" s="917" t="s">
        <v>2819</v>
      </c>
      <c r="E103" s="198" t="s">
        <v>1709</v>
      </c>
      <c r="F103" s="332">
        <f>SUM(E104:E105)</f>
        <v>13.09</v>
      </c>
      <c r="G103" s="332"/>
      <c r="H103" s="332">
        <f>F103*G103</f>
        <v>0</v>
      </c>
      <c r="I103" s="333">
        <v>2.525</v>
      </c>
      <c r="J103" s="334">
        <f>F103*I103</f>
        <v>33.05225</v>
      </c>
      <c r="K103" s="509"/>
      <c r="L103" s="509"/>
      <c r="M103" s="509"/>
      <c r="N103" s="509"/>
      <c r="O103" s="509"/>
      <c r="P103" s="509"/>
      <c r="Q103" s="509"/>
      <c r="R103" s="509"/>
      <c r="S103" s="509"/>
      <c r="T103" s="509"/>
    </row>
    <row r="104" spans="1:20" s="130" customFormat="1" ht="22.5" customHeight="1">
      <c r="A104" s="204"/>
      <c r="B104" s="205" t="s">
        <v>878</v>
      </c>
      <c r="C104" s="206" t="s">
        <v>879</v>
      </c>
      <c r="D104" s="916"/>
      <c r="E104" s="207">
        <f>(2.86+3.83)</f>
        <v>6.6899999999999995</v>
      </c>
      <c r="F104" s="335"/>
      <c r="G104" s="335"/>
      <c r="H104" s="335"/>
      <c r="I104" s="336"/>
      <c r="J104" s="337"/>
      <c r="K104" s="672"/>
      <c r="L104" s="672"/>
      <c r="M104" s="672"/>
      <c r="N104" s="672"/>
      <c r="O104" s="672"/>
      <c r="P104" s="672"/>
      <c r="Q104" s="673"/>
      <c r="R104" s="508"/>
      <c r="S104" s="508"/>
      <c r="T104" s="508"/>
    </row>
    <row r="105" spans="1:20" s="130" customFormat="1" ht="22.5" customHeight="1">
      <c r="A105" s="204"/>
      <c r="B105" s="205" t="s">
        <v>884</v>
      </c>
      <c r="C105" s="206" t="s">
        <v>885</v>
      </c>
      <c r="D105" s="916"/>
      <c r="E105" s="207">
        <f>(4.06+2.34)</f>
        <v>6.3999999999999995</v>
      </c>
      <c r="F105" s="335"/>
      <c r="G105" s="335"/>
      <c r="H105" s="335"/>
      <c r="I105" s="336"/>
      <c r="J105" s="337"/>
      <c r="K105" s="672"/>
      <c r="L105" s="672"/>
      <c r="M105" s="672"/>
      <c r="N105" s="672"/>
      <c r="O105" s="672"/>
      <c r="P105" s="672"/>
      <c r="Q105" s="673"/>
      <c r="R105" s="508"/>
      <c r="S105" s="508"/>
      <c r="T105" s="508"/>
    </row>
    <row r="106" spans="1:20" s="22" customFormat="1" ht="31.5" customHeight="1">
      <c r="A106" s="196" t="s">
        <v>2031</v>
      </c>
      <c r="B106" s="197" t="s">
        <v>2032</v>
      </c>
      <c r="C106" s="199" t="s">
        <v>2033</v>
      </c>
      <c r="D106" s="917" t="s">
        <v>2819</v>
      </c>
      <c r="E106" s="198" t="s">
        <v>1783</v>
      </c>
      <c r="F106" s="332">
        <f>SUM(E107:E108)</f>
        <v>0.06086849999999999</v>
      </c>
      <c r="G106" s="332"/>
      <c r="H106" s="332">
        <f>F106*G106</f>
        <v>0</v>
      </c>
      <c r="I106" s="333">
        <v>1.06625</v>
      </c>
      <c r="J106" s="334">
        <f>F106*I106</f>
        <v>0.06490103812499999</v>
      </c>
      <c r="K106" s="509"/>
      <c r="L106" s="509"/>
      <c r="M106" s="509"/>
      <c r="N106" s="509"/>
      <c r="O106" s="509"/>
      <c r="P106" s="509"/>
      <c r="Q106" s="509"/>
      <c r="R106" s="509"/>
      <c r="S106" s="509"/>
      <c r="T106" s="509"/>
    </row>
    <row r="107" spans="1:20" s="130" customFormat="1" ht="22.5" customHeight="1">
      <c r="A107" s="204"/>
      <c r="B107" s="205" t="s">
        <v>878</v>
      </c>
      <c r="C107" s="206" t="s">
        <v>895</v>
      </c>
      <c r="D107" s="916"/>
      <c r="E107" s="207">
        <f>(2.86+3.83)*0.00465</f>
        <v>0.031108499999999994</v>
      </c>
      <c r="F107" s="335"/>
      <c r="G107" s="335"/>
      <c r="H107" s="335"/>
      <c r="I107" s="336"/>
      <c r="J107" s="337"/>
      <c r="K107" s="672"/>
      <c r="L107" s="672"/>
      <c r="M107" s="672"/>
      <c r="N107" s="672"/>
      <c r="O107" s="672"/>
      <c r="P107" s="672"/>
      <c r="Q107" s="673"/>
      <c r="R107" s="508"/>
      <c r="S107" s="508"/>
      <c r="T107" s="508"/>
    </row>
    <row r="108" spans="1:20" s="130" customFormat="1" ht="22.5" customHeight="1">
      <c r="A108" s="204"/>
      <c r="B108" s="205" t="s">
        <v>884</v>
      </c>
      <c r="C108" s="206" t="s">
        <v>896</v>
      </c>
      <c r="D108" s="916"/>
      <c r="E108" s="207">
        <f>(4.06+2.34)*0.00465</f>
        <v>0.029759999999999995</v>
      </c>
      <c r="F108" s="335"/>
      <c r="G108" s="335"/>
      <c r="H108" s="335"/>
      <c r="I108" s="336"/>
      <c r="J108" s="337"/>
      <c r="K108" s="672"/>
      <c r="L108" s="672"/>
      <c r="M108" s="672"/>
      <c r="N108" s="672"/>
      <c r="O108" s="672"/>
      <c r="P108" s="672"/>
      <c r="Q108" s="673"/>
      <c r="R108" s="508"/>
      <c r="S108" s="508"/>
      <c r="T108" s="508"/>
    </row>
    <row r="109" spans="1:20" s="22" customFormat="1" ht="20.25" customHeight="1" thickBot="1">
      <c r="A109" s="255"/>
      <c r="B109" s="256"/>
      <c r="C109" s="256"/>
      <c r="D109" s="968"/>
      <c r="E109" s="257"/>
      <c r="F109" s="368"/>
      <c r="G109" s="368"/>
      <c r="H109" s="368"/>
      <c r="I109" s="369"/>
      <c r="J109" s="370"/>
      <c r="K109" s="693"/>
      <c r="L109" s="693"/>
      <c r="M109" s="693"/>
      <c r="N109" s="693"/>
      <c r="O109" s="693"/>
      <c r="P109" s="693"/>
      <c r="Q109" s="694"/>
      <c r="R109" s="509"/>
      <c r="S109" s="509"/>
      <c r="T109" s="509"/>
    </row>
    <row r="110" spans="1:20" ht="16.5" customHeight="1" thickBot="1">
      <c r="A110" s="266" t="s">
        <v>2036</v>
      </c>
      <c r="B110" s="175" t="s">
        <v>2037</v>
      </c>
      <c r="C110" s="176" t="s">
        <v>2038</v>
      </c>
      <c r="D110" s="175"/>
      <c r="E110" s="175"/>
      <c r="F110" s="341"/>
      <c r="G110" s="341"/>
      <c r="H110" s="342">
        <f>SUM(H111:H145)</f>
        <v>0</v>
      </c>
      <c r="I110" s="343"/>
      <c r="J110" s="344">
        <f>SUM(J111:J145)</f>
        <v>1.2187211999999996</v>
      </c>
      <c r="K110" s="670"/>
      <c r="L110" s="670"/>
      <c r="M110" s="670"/>
      <c r="N110" s="670"/>
      <c r="O110" s="670"/>
      <c r="P110" s="670"/>
      <c r="Q110" s="670"/>
      <c r="R110" s="670"/>
      <c r="S110" s="670"/>
      <c r="T110" s="670"/>
    </row>
    <row r="111" spans="1:20" s="22" customFormat="1" ht="20.25" customHeight="1">
      <c r="A111" s="190"/>
      <c r="B111" s="191"/>
      <c r="C111" s="191"/>
      <c r="D111" s="964"/>
      <c r="E111" s="192"/>
      <c r="F111" s="345"/>
      <c r="G111" s="345"/>
      <c r="H111" s="345"/>
      <c r="I111" s="346"/>
      <c r="J111" s="347"/>
      <c r="K111" s="509"/>
      <c r="L111" s="509"/>
      <c r="M111" s="509"/>
      <c r="N111" s="509"/>
      <c r="O111" s="509"/>
      <c r="P111" s="509"/>
      <c r="Q111" s="509"/>
      <c r="R111" s="509"/>
      <c r="S111" s="509"/>
      <c r="T111" s="509"/>
    </row>
    <row r="112" spans="1:20" s="22" customFormat="1" ht="20.25" customHeight="1">
      <c r="A112" s="196" t="s">
        <v>2039</v>
      </c>
      <c r="B112" s="197" t="s">
        <v>2040</v>
      </c>
      <c r="C112" s="197" t="s">
        <v>2041</v>
      </c>
      <c r="D112" s="917" t="s">
        <v>2761</v>
      </c>
      <c r="E112" s="198" t="s">
        <v>1831</v>
      </c>
      <c r="F112" s="332">
        <v>19</v>
      </c>
      <c r="G112" s="332"/>
      <c r="H112" s="332">
        <f>F112*G112</f>
        <v>0</v>
      </c>
      <c r="I112" s="333">
        <v>0.0009</v>
      </c>
      <c r="J112" s="334">
        <f>F112*I112</f>
        <v>0.0171</v>
      </c>
      <c r="K112" s="509"/>
      <c r="L112" s="509"/>
      <c r="M112" s="509"/>
      <c r="N112" s="509"/>
      <c r="O112" s="509"/>
      <c r="P112" s="509"/>
      <c r="Q112" s="509"/>
      <c r="R112" s="509"/>
      <c r="S112" s="509"/>
      <c r="T112" s="509"/>
    </row>
    <row r="113" spans="1:20" s="22" customFormat="1" ht="20.25" customHeight="1">
      <c r="A113" s="196" t="s">
        <v>2045</v>
      </c>
      <c r="B113" s="197" t="s">
        <v>2046</v>
      </c>
      <c r="C113" s="197" t="s">
        <v>2047</v>
      </c>
      <c r="D113" s="917" t="s">
        <v>2761</v>
      </c>
      <c r="E113" s="198" t="s">
        <v>1831</v>
      </c>
      <c r="F113" s="332">
        <v>43</v>
      </c>
      <c r="G113" s="332"/>
      <c r="H113" s="332">
        <f>F113*G113</f>
        <v>0</v>
      </c>
      <c r="I113" s="333">
        <v>0.00165</v>
      </c>
      <c r="J113" s="334">
        <f>F113*I113</f>
        <v>0.07095</v>
      </c>
      <c r="K113" s="509"/>
      <c r="L113" s="509"/>
      <c r="M113" s="509"/>
      <c r="N113" s="509"/>
      <c r="O113" s="509"/>
      <c r="P113" s="509"/>
      <c r="Q113" s="509"/>
      <c r="R113" s="509"/>
      <c r="S113" s="509"/>
      <c r="T113" s="509"/>
    </row>
    <row r="114" spans="1:20" s="22" customFormat="1" ht="20.25" customHeight="1">
      <c r="A114" s="196"/>
      <c r="B114" s="197" t="s">
        <v>897</v>
      </c>
      <c r="C114" s="197" t="s">
        <v>898</v>
      </c>
      <c r="D114" s="917" t="s">
        <v>2761</v>
      </c>
      <c r="E114" s="198" t="s">
        <v>1748</v>
      </c>
      <c r="F114" s="332">
        <f>E115</f>
        <v>20.16</v>
      </c>
      <c r="G114" s="332"/>
      <c r="H114" s="332">
        <f>F114*G114</f>
        <v>0</v>
      </c>
      <c r="I114" s="333">
        <v>0.00032</v>
      </c>
      <c r="J114" s="334">
        <f>F114*I114</f>
        <v>0.006451200000000001</v>
      </c>
      <c r="K114" s="693"/>
      <c r="L114" s="693"/>
      <c r="M114" s="693"/>
      <c r="N114" s="693"/>
      <c r="O114" s="693"/>
      <c r="P114" s="693"/>
      <c r="Q114" s="694"/>
      <c r="R114" s="509"/>
      <c r="S114" s="509"/>
      <c r="T114" s="509"/>
    </row>
    <row r="115" spans="1:20" s="130" customFormat="1" ht="21.75" customHeight="1">
      <c r="A115" s="204"/>
      <c r="B115" s="205"/>
      <c r="C115" s="206" t="s">
        <v>899</v>
      </c>
      <c r="D115" s="916"/>
      <c r="E115" s="207">
        <f>2.1*2.4*2+2.1*2.4*2</f>
        <v>20.16</v>
      </c>
      <c r="F115" s="335"/>
      <c r="G115" s="335"/>
      <c r="H115" s="335"/>
      <c r="I115" s="336"/>
      <c r="J115" s="337"/>
      <c r="K115" s="672"/>
      <c r="L115" s="672"/>
      <c r="M115" s="672"/>
      <c r="N115" s="672"/>
      <c r="O115" s="672"/>
      <c r="P115" s="672"/>
      <c r="Q115" s="673"/>
      <c r="R115" s="508"/>
      <c r="S115" s="508"/>
      <c r="T115" s="508"/>
    </row>
    <row r="116" spans="1:20" s="22" customFormat="1" ht="20.25" customHeight="1">
      <c r="A116" s="196"/>
      <c r="B116" s="197"/>
      <c r="C116" s="197"/>
      <c r="D116" s="917"/>
      <c r="E116" s="198"/>
      <c r="F116" s="332"/>
      <c r="G116" s="332"/>
      <c r="H116" s="332"/>
      <c r="I116" s="333"/>
      <c r="J116" s="334"/>
      <c r="K116" s="509"/>
      <c r="L116" s="509"/>
      <c r="M116" s="509"/>
      <c r="N116" s="509"/>
      <c r="O116" s="509"/>
      <c r="P116" s="509"/>
      <c r="Q116" s="509"/>
      <c r="R116" s="509"/>
      <c r="S116" s="509"/>
      <c r="T116" s="509"/>
    </row>
    <row r="117" spans="1:20" s="22" customFormat="1" ht="62.25" customHeight="1">
      <c r="A117" s="196"/>
      <c r="B117" s="197"/>
      <c r="C117" s="199" t="s">
        <v>2048</v>
      </c>
      <c r="D117" s="917" t="s">
        <v>2761</v>
      </c>
      <c r="E117" s="198"/>
      <c r="F117" s="332"/>
      <c r="G117" s="332"/>
      <c r="H117" s="332"/>
      <c r="I117" s="333"/>
      <c r="J117" s="334"/>
      <c r="K117" s="672" t="s">
        <v>2049</v>
      </c>
      <c r="L117" s="672" t="s">
        <v>2050</v>
      </c>
      <c r="M117" s="672" t="s">
        <v>1748</v>
      </c>
      <c r="N117" s="672" t="s">
        <v>2051</v>
      </c>
      <c r="O117" s="672" t="s">
        <v>2052</v>
      </c>
      <c r="P117" s="672" t="s">
        <v>2053</v>
      </c>
      <c r="Q117" s="673"/>
      <c r="R117" s="509"/>
      <c r="S117" s="509"/>
      <c r="T117" s="509"/>
    </row>
    <row r="118" spans="1:20" s="22" customFormat="1" ht="20.25" customHeight="1">
      <c r="A118" s="196" t="s">
        <v>2045</v>
      </c>
      <c r="B118" s="197" t="s">
        <v>905</v>
      </c>
      <c r="C118" s="197" t="s">
        <v>1156</v>
      </c>
      <c r="D118" s="917" t="s">
        <v>906</v>
      </c>
      <c r="E118" s="198" t="s">
        <v>1831</v>
      </c>
      <c r="F118" s="332">
        <v>18</v>
      </c>
      <c r="G118" s="332"/>
      <c r="H118" s="332">
        <f aca="true" t="shared" si="4" ref="H118:H124">F118*G118</f>
        <v>0</v>
      </c>
      <c r="I118" s="333">
        <v>0.00168</v>
      </c>
      <c r="J118" s="334">
        <f aca="true" t="shared" si="5" ref="J118:J124">F118*I118</f>
        <v>0.030240000000000003</v>
      </c>
      <c r="K118" s="693">
        <v>0.9</v>
      </c>
      <c r="L118" s="693">
        <v>1.2</v>
      </c>
      <c r="M118" s="693">
        <f aca="true" t="shared" si="6" ref="M118:M124">K118*L118</f>
        <v>1.08</v>
      </c>
      <c r="N118" s="693">
        <f aca="true" t="shared" si="7" ref="N118:N124">F118*M118</f>
        <v>19.44</v>
      </c>
      <c r="O118" s="693">
        <f aca="true" t="shared" si="8" ref="O118:O124">(K118+L118*2)*F118</f>
        <v>59.4</v>
      </c>
      <c r="P118" s="693">
        <f aca="true" t="shared" si="9" ref="P118:P124">F118*K118</f>
        <v>16.2</v>
      </c>
      <c r="Q118" s="694" t="s">
        <v>740</v>
      </c>
      <c r="R118" s="509"/>
      <c r="S118" s="509"/>
      <c r="T118" s="509"/>
    </row>
    <row r="119" spans="1:20" s="22" customFormat="1" ht="20.25" customHeight="1">
      <c r="A119" s="196" t="s">
        <v>2054</v>
      </c>
      <c r="B119" s="197" t="s">
        <v>910</v>
      </c>
      <c r="C119" s="197" t="s">
        <v>1157</v>
      </c>
      <c r="D119" s="917" t="s">
        <v>911</v>
      </c>
      <c r="E119" s="198" t="s">
        <v>1831</v>
      </c>
      <c r="F119" s="332">
        <v>39</v>
      </c>
      <c r="G119" s="332"/>
      <c r="H119" s="332">
        <f t="shared" si="4"/>
        <v>0</v>
      </c>
      <c r="I119" s="333">
        <v>0.00168</v>
      </c>
      <c r="J119" s="334">
        <f t="shared" si="5"/>
        <v>0.06552000000000001</v>
      </c>
      <c r="K119" s="693">
        <v>2.4</v>
      </c>
      <c r="L119" s="693">
        <v>1.5</v>
      </c>
      <c r="M119" s="693">
        <f t="shared" si="6"/>
        <v>3.5999999999999996</v>
      </c>
      <c r="N119" s="693">
        <f t="shared" si="7"/>
        <v>140.39999999999998</v>
      </c>
      <c r="O119" s="693">
        <f t="shared" si="8"/>
        <v>210.60000000000002</v>
      </c>
      <c r="P119" s="693">
        <f t="shared" si="9"/>
        <v>93.6</v>
      </c>
      <c r="Q119" s="694" t="s">
        <v>740</v>
      </c>
      <c r="R119" s="509"/>
      <c r="S119" s="509"/>
      <c r="T119" s="509"/>
    </row>
    <row r="120" spans="1:20" s="22" customFormat="1" ht="20.25" customHeight="1">
      <c r="A120" s="196" t="s">
        <v>2059</v>
      </c>
      <c r="B120" s="197" t="s">
        <v>912</v>
      </c>
      <c r="C120" s="197" t="s">
        <v>1158</v>
      </c>
      <c r="D120" s="917" t="s">
        <v>914</v>
      </c>
      <c r="E120" s="198" t="s">
        <v>1831</v>
      </c>
      <c r="F120" s="332">
        <v>1</v>
      </c>
      <c r="G120" s="332"/>
      <c r="H120" s="332">
        <f t="shared" si="4"/>
        <v>0</v>
      </c>
      <c r="I120" s="333">
        <v>0.00168</v>
      </c>
      <c r="J120" s="334">
        <f t="shared" si="5"/>
        <v>0.00168</v>
      </c>
      <c r="K120" s="693">
        <v>2.1</v>
      </c>
      <c r="L120" s="693">
        <v>1.5</v>
      </c>
      <c r="M120" s="693">
        <f t="shared" si="6"/>
        <v>3.1500000000000004</v>
      </c>
      <c r="N120" s="693">
        <f t="shared" si="7"/>
        <v>3.1500000000000004</v>
      </c>
      <c r="O120" s="693">
        <f t="shared" si="8"/>
        <v>5.1</v>
      </c>
      <c r="P120" s="693">
        <f t="shared" si="9"/>
        <v>2.1</v>
      </c>
      <c r="Q120" s="694" t="s">
        <v>740</v>
      </c>
      <c r="R120" s="509"/>
      <c r="S120" s="509"/>
      <c r="T120" s="509"/>
    </row>
    <row r="121" spans="1:20" s="22" customFormat="1" ht="20.25" customHeight="1">
      <c r="A121" s="196" t="s">
        <v>2065</v>
      </c>
      <c r="B121" s="197" t="s">
        <v>915</v>
      </c>
      <c r="C121" s="197" t="s">
        <v>916</v>
      </c>
      <c r="D121" s="917" t="s">
        <v>917</v>
      </c>
      <c r="E121" s="198" t="s">
        <v>1831</v>
      </c>
      <c r="F121" s="332">
        <v>3</v>
      </c>
      <c r="G121" s="332"/>
      <c r="H121" s="332">
        <f t="shared" si="4"/>
        <v>0</v>
      </c>
      <c r="I121" s="333">
        <v>0.00168</v>
      </c>
      <c r="J121" s="334">
        <f t="shared" si="5"/>
        <v>0.00504</v>
      </c>
      <c r="K121" s="693">
        <v>3</v>
      </c>
      <c r="L121" s="693">
        <v>1.85</v>
      </c>
      <c r="M121" s="693">
        <f t="shared" si="6"/>
        <v>5.550000000000001</v>
      </c>
      <c r="N121" s="693">
        <f t="shared" si="7"/>
        <v>16.650000000000002</v>
      </c>
      <c r="O121" s="693">
        <f t="shared" si="8"/>
        <v>20.1</v>
      </c>
      <c r="P121" s="693">
        <f t="shared" si="9"/>
        <v>9</v>
      </c>
      <c r="Q121" s="694" t="s">
        <v>740</v>
      </c>
      <c r="R121" s="509"/>
      <c r="S121" s="509"/>
      <c r="T121" s="509"/>
    </row>
    <row r="122" spans="1:20" s="22" customFormat="1" ht="30" customHeight="1">
      <c r="A122" s="196" t="s">
        <v>2069</v>
      </c>
      <c r="B122" s="197" t="s">
        <v>918</v>
      </c>
      <c r="C122" s="199" t="s">
        <v>919</v>
      </c>
      <c r="D122" s="917" t="s">
        <v>920</v>
      </c>
      <c r="E122" s="198" t="s">
        <v>1831</v>
      </c>
      <c r="F122" s="332">
        <v>2</v>
      </c>
      <c r="G122" s="332"/>
      <c r="H122" s="332">
        <f t="shared" si="4"/>
        <v>0</v>
      </c>
      <c r="I122" s="333">
        <v>0.00168</v>
      </c>
      <c r="J122" s="334">
        <f t="shared" si="5"/>
        <v>0.00336</v>
      </c>
      <c r="K122" s="693">
        <v>2.1</v>
      </c>
      <c r="L122" s="693">
        <v>2.4</v>
      </c>
      <c r="M122" s="693">
        <f t="shared" si="6"/>
        <v>5.04</v>
      </c>
      <c r="N122" s="693">
        <f t="shared" si="7"/>
        <v>10.08</v>
      </c>
      <c r="O122" s="693">
        <f t="shared" si="8"/>
        <v>13.8</v>
      </c>
      <c r="P122" s="693">
        <f t="shared" si="9"/>
        <v>4.2</v>
      </c>
      <c r="Q122" s="694" t="s">
        <v>740</v>
      </c>
      <c r="R122" s="509"/>
      <c r="S122" s="509"/>
      <c r="T122" s="509"/>
    </row>
    <row r="123" spans="1:20" s="22" customFormat="1" ht="31.5" customHeight="1">
      <c r="A123" s="196" t="s">
        <v>2074</v>
      </c>
      <c r="B123" s="197" t="s">
        <v>921</v>
      </c>
      <c r="C123" s="199" t="s">
        <v>922</v>
      </c>
      <c r="D123" s="917" t="s">
        <v>920</v>
      </c>
      <c r="E123" s="198" t="s">
        <v>1831</v>
      </c>
      <c r="F123" s="332">
        <v>2</v>
      </c>
      <c r="G123" s="332"/>
      <c r="H123" s="332">
        <f t="shared" si="4"/>
        <v>0</v>
      </c>
      <c r="I123" s="333">
        <v>0.00168</v>
      </c>
      <c r="J123" s="334">
        <f t="shared" si="5"/>
        <v>0.00336</v>
      </c>
      <c r="K123" s="693">
        <v>2.1</v>
      </c>
      <c r="L123" s="693">
        <v>2.4</v>
      </c>
      <c r="M123" s="693">
        <f t="shared" si="6"/>
        <v>5.04</v>
      </c>
      <c r="N123" s="693">
        <f t="shared" si="7"/>
        <v>10.08</v>
      </c>
      <c r="O123" s="693">
        <f t="shared" si="8"/>
        <v>13.8</v>
      </c>
      <c r="P123" s="693">
        <f t="shared" si="9"/>
        <v>4.2</v>
      </c>
      <c r="Q123" s="694" t="s">
        <v>740</v>
      </c>
      <c r="R123" s="509"/>
      <c r="S123" s="509"/>
      <c r="T123" s="509"/>
    </row>
    <row r="124" spans="1:20" s="22" customFormat="1" ht="20.25" customHeight="1">
      <c r="A124" s="196" t="s">
        <v>2078</v>
      </c>
      <c r="B124" s="197" t="s">
        <v>923</v>
      </c>
      <c r="C124" s="197" t="s">
        <v>924</v>
      </c>
      <c r="D124" s="917" t="s">
        <v>925</v>
      </c>
      <c r="E124" s="198" t="s">
        <v>1831</v>
      </c>
      <c r="F124" s="332">
        <v>1</v>
      </c>
      <c r="G124" s="332"/>
      <c r="H124" s="332">
        <f t="shared" si="4"/>
        <v>0</v>
      </c>
      <c r="I124" s="333">
        <v>0.00168</v>
      </c>
      <c r="J124" s="334">
        <f t="shared" si="5"/>
        <v>0.00168</v>
      </c>
      <c r="K124" s="693">
        <v>2.1</v>
      </c>
      <c r="L124" s="693">
        <v>0.4</v>
      </c>
      <c r="M124" s="693">
        <f t="shared" si="6"/>
        <v>0.8400000000000001</v>
      </c>
      <c r="N124" s="693">
        <f t="shared" si="7"/>
        <v>0.8400000000000001</v>
      </c>
      <c r="O124" s="693">
        <f t="shared" si="8"/>
        <v>2.9000000000000004</v>
      </c>
      <c r="P124" s="693">
        <f t="shared" si="9"/>
        <v>2.1</v>
      </c>
      <c r="Q124" s="694" t="s">
        <v>740</v>
      </c>
      <c r="R124" s="509"/>
      <c r="S124" s="509"/>
      <c r="T124" s="509"/>
    </row>
    <row r="125" spans="1:20" s="22" customFormat="1" ht="20.25" customHeight="1">
      <c r="A125" s="196"/>
      <c r="B125" s="197"/>
      <c r="C125" s="197"/>
      <c r="D125" s="917"/>
      <c r="E125" s="198"/>
      <c r="F125" s="332"/>
      <c r="G125" s="332"/>
      <c r="H125" s="332"/>
      <c r="I125" s="333"/>
      <c r="J125" s="334"/>
      <c r="K125" s="509"/>
      <c r="L125" s="509"/>
      <c r="M125" s="509"/>
      <c r="N125" s="509"/>
      <c r="O125" s="509"/>
      <c r="P125" s="509"/>
      <c r="Q125" s="509"/>
      <c r="R125" s="509"/>
      <c r="S125" s="509"/>
      <c r="T125" s="509"/>
    </row>
    <row r="126" spans="1:20" s="22" customFormat="1" ht="20.25" customHeight="1">
      <c r="A126" s="196" t="s">
        <v>2081</v>
      </c>
      <c r="B126" s="197" t="s">
        <v>2250</v>
      </c>
      <c r="C126" s="197" t="s">
        <v>750</v>
      </c>
      <c r="D126" s="917" t="s">
        <v>2820</v>
      </c>
      <c r="E126" s="198" t="s">
        <v>1826</v>
      </c>
      <c r="F126" s="332">
        <f>E127</f>
        <v>122.99999999999999</v>
      </c>
      <c r="G126" s="332"/>
      <c r="H126" s="332">
        <f>F126*G126</f>
        <v>0</v>
      </c>
      <c r="I126" s="333">
        <v>0.00222</v>
      </c>
      <c r="J126" s="334">
        <f>F126*I126</f>
        <v>0.27305999999999997</v>
      </c>
      <c r="K126" s="693"/>
      <c r="L126" s="693"/>
      <c r="M126" s="693"/>
      <c r="N126" s="693"/>
      <c r="O126" s="693"/>
      <c r="P126" s="693"/>
      <c r="Q126" s="694"/>
      <c r="R126" s="509"/>
      <c r="S126" s="509"/>
      <c r="T126" s="509"/>
    </row>
    <row r="127" spans="1:20" s="130" customFormat="1" ht="18.75" customHeight="1">
      <c r="A127" s="204"/>
      <c r="B127" s="205"/>
      <c r="C127" s="206" t="s">
        <v>1159</v>
      </c>
      <c r="D127" s="916"/>
      <c r="E127" s="207">
        <f>(0.9*18+2.4*39+2.1*1+3*3+2.1*1)</f>
        <v>122.99999999999999</v>
      </c>
      <c r="F127" s="335"/>
      <c r="G127" s="335"/>
      <c r="H127" s="335"/>
      <c r="I127" s="336"/>
      <c r="J127" s="337"/>
      <c r="K127" s="672"/>
      <c r="L127" s="672"/>
      <c r="M127" s="672"/>
      <c r="N127" s="672"/>
      <c r="O127" s="672"/>
      <c r="P127" s="672"/>
      <c r="Q127" s="673"/>
      <c r="R127" s="508"/>
      <c r="S127" s="508"/>
      <c r="T127" s="508"/>
    </row>
    <row r="128" spans="1:20" s="22" customFormat="1" ht="24" customHeight="1">
      <c r="A128" s="196"/>
      <c r="B128" s="197"/>
      <c r="C128" s="199" t="s">
        <v>2258</v>
      </c>
      <c r="D128" s="917" t="s">
        <v>2820</v>
      </c>
      <c r="E128" s="198"/>
      <c r="F128" s="332"/>
      <c r="G128" s="332"/>
      <c r="H128" s="332"/>
      <c r="I128" s="333"/>
      <c r="J128" s="334"/>
      <c r="K128" s="693"/>
      <c r="L128" s="693"/>
      <c r="M128" s="693"/>
      <c r="N128" s="693"/>
      <c r="O128" s="693"/>
      <c r="P128" s="693"/>
      <c r="Q128" s="694"/>
      <c r="R128" s="509"/>
      <c r="S128" s="509"/>
      <c r="T128" s="509"/>
    </row>
    <row r="129" spans="1:20" s="22" customFormat="1" ht="20.25" customHeight="1">
      <c r="A129" s="196" t="s">
        <v>2085</v>
      </c>
      <c r="B129" s="197" t="s">
        <v>1160</v>
      </c>
      <c r="C129" s="197" t="s">
        <v>1161</v>
      </c>
      <c r="D129" s="917" t="s">
        <v>2820</v>
      </c>
      <c r="E129" s="198" t="s">
        <v>1826</v>
      </c>
      <c r="F129" s="332">
        <f>E130</f>
        <v>123.09</v>
      </c>
      <c r="G129" s="332"/>
      <c r="H129" s="332">
        <f>F129*G129</f>
        <v>0</v>
      </c>
      <c r="I129" s="333">
        <v>0.0052</v>
      </c>
      <c r="J129" s="334">
        <f>F129*I129</f>
        <v>0.640068</v>
      </c>
      <c r="K129" s="693"/>
      <c r="L129" s="693"/>
      <c r="M129" s="693"/>
      <c r="N129" s="693"/>
      <c r="O129" s="693"/>
      <c r="P129" s="693"/>
      <c r="Q129" s="694"/>
      <c r="R129" s="509"/>
      <c r="S129" s="509"/>
      <c r="T129" s="509"/>
    </row>
    <row r="130" spans="1:20" s="130" customFormat="1" ht="20.25" customHeight="1">
      <c r="A130" s="204"/>
      <c r="B130" s="205"/>
      <c r="C130" s="206" t="s">
        <v>1162</v>
      </c>
      <c r="D130" s="916"/>
      <c r="E130" s="207">
        <f>(0.9*18+2.4*39+2.1*1)*1.1</f>
        <v>123.09</v>
      </c>
      <c r="F130" s="335"/>
      <c r="G130" s="335"/>
      <c r="H130" s="335"/>
      <c r="I130" s="336"/>
      <c r="J130" s="337"/>
      <c r="K130" s="672"/>
      <c r="L130" s="672"/>
      <c r="M130" s="672"/>
      <c r="N130" s="672"/>
      <c r="O130" s="672"/>
      <c r="P130" s="672"/>
      <c r="Q130" s="673"/>
      <c r="R130" s="508"/>
      <c r="S130" s="508"/>
      <c r="T130" s="508"/>
    </row>
    <row r="131" spans="1:20" s="22" customFormat="1" ht="20.25" customHeight="1">
      <c r="A131" s="196" t="s">
        <v>2089</v>
      </c>
      <c r="B131" s="197" t="s">
        <v>2268</v>
      </c>
      <c r="C131" s="197" t="s">
        <v>2269</v>
      </c>
      <c r="D131" s="917" t="s">
        <v>2820</v>
      </c>
      <c r="E131" s="198" t="s">
        <v>1826</v>
      </c>
      <c r="F131" s="332">
        <f>E132</f>
        <v>2.3100000000000005</v>
      </c>
      <c r="G131" s="332"/>
      <c r="H131" s="332">
        <f>F131*G131</f>
        <v>0</v>
      </c>
      <c r="I131" s="333">
        <v>0.0052</v>
      </c>
      <c r="J131" s="334">
        <f>F131*I131</f>
        <v>0.012012000000000002</v>
      </c>
      <c r="K131" s="693"/>
      <c r="L131" s="693"/>
      <c r="M131" s="693"/>
      <c r="N131" s="693"/>
      <c r="O131" s="693"/>
      <c r="P131" s="693"/>
      <c r="Q131" s="694"/>
      <c r="R131" s="509"/>
      <c r="S131" s="509"/>
      <c r="T131" s="509"/>
    </row>
    <row r="132" spans="1:20" s="130" customFormat="1" ht="20.25" customHeight="1">
      <c r="A132" s="204"/>
      <c r="B132" s="205"/>
      <c r="C132" s="206" t="s">
        <v>1163</v>
      </c>
      <c r="D132" s="916"/>
      <c r="E132" s="207">
        <f>(2.1*1)*1.1</f>
        <v>2.3100000000000005</v>
      </c>
      <c r="F132" s="335"/>
      <c r="G132" s="335"/>
      <c r="H132" s="335"/>
      <c r="I132" s="336"/>
      <c r="J132" s="337"/>
      <c r="K132" s="672"/>
      <c r="L132" s="672"/>
      <c r="M132" s="672"/>
      <c r="N132" s="672"/>
      <c r="O132" s="672"/>
      <c r="P132" s="672"/>
      <c r="Q132" s="673"/>
      <c r="R132" s="508"/>
      <c r="S132" s="508"/>
      <c r="T132" s="508"/>
    </row>
    <row r="133" spans="1:20" s="22" customFormat="1" ht="20.25" customHeight="1">
      <c r="A133" s="196" t="s">
        <v>2093</v>
      </c>
      <c r="B133" s="197" t="s">
        <v>2272</v>
      </c>
      <c r="C133" s="197" t="s">
        <v>1164</v>
      </c>
      <c r="D133" s="917" t="s">
        <v>2820</v>
      </c>
      <c r="E133" s="198" t="s">
        <v>1826</v>
      </c>
      <c r="F133" s="332">
        <f>E134</f>
        <v>9.9</v>
      </c>
      <c r="G133" s="332"/>
      <c r="H133" s="332">
        <f>F133*G133</f>
        <v>0</v>
      </c>
      <c r="I133" s="333">
        <v>0.0052</v>
      </c>
      <c r="J133" s="334">
        <f>F133*I133</f>
        <v>0.05148</v>
      </c>
      <c r="K133" s="693"/>
      <c r="L133" s="693"/>
      <c r="M133" s="693"/>
      <c r="N133" s="693"/>
      <c r="O133" s="693"/>
      <c r="P133" s="693"/>
      <c r="Q133" s="694"/>
      <c r="R133" s="509"/>
      <c r="S133" s="509"/>
      <c r="T133" s="509"/>
    </row>
    <row r="134" spans="1:20" s="130" customFormat="1" ht="19.5" customHeight="1">
      <c r="A134" s="204"/>
      <c r="B134" s="205"/>
      <c r="C134" s="206" t="s">
        <v>1165</v>
      </c>
      <c r="D134" s="916"/>
      <c r="E134" s="207">
        <f>(3*3)*1.1</f>
        <v>9.9</v>
      </c>
      <c r="F134" s="335"/>
      <c r="G134" s="335"/>
      <c r="H134" s="335"/>
      <c r="I134" s="336"/>
      <c r="J134" s="337"/>
      <c r="K134" s="672"/>
      <c r="L134" s="672"/>
      <c r="M134" s="672"/>
      <c r="N134" s="672"/>
      <c r="O134" s="672"/>
      <c r="P134" s="672"/>
      <c r="Q134" s="673"/>
      <c r="R134" s="508"/>
      <c r="S134" s="508"/>
      <c r="T134" s="508"/>
    </row>
    <row r="135" spans="1:20" s="22" customFormat="1" ht="20.25" customHeight="1">
      <c r="A135" s="196"/>
      <c r="B135" s="197"/>
      <c r="C135" s="197"/>
      <c r="D135" s="917"/>
      <c r="E135" s="198"/>
      <c r="F135" s="332"/>
      <c r="G135" s="332"/>
      <c r="H135" s="332"/>
      <c r="I135" s="333"/>
      <c r="J135" s="334"/>
      <c r="K135" s="509"/>
      <c r="L135" s="509"/>
      <c r="M135" s="509"/>
      <c r="N135" s="509"/>
      <c r="O135" s="509"/>
      <c r="P135" s="509"/>
      <c r="Q135" s="509"/>
      <c r="R135" s="509"/>
      <c r="S135" s="509"/>
      <c r="T135" s="509"/>
    </row>
    <row r="136" spans="1:20" s="22" customFormat="1" ht="20.25" customHeight="1">
      <c r="A136" s="196" t="s">
        <v>2097</v>
      </c>
      <c r="B136" s="197" t="s">
        <v>2296</v>
      </c>
      <c r="C136" s="197" t="s">
        <v>2297</v>
      </c>
      <c r="D136" s="917" t="s">
        <v>2817</v>
      </c>
      <c r="E136" s="198" t="s">
        <v>1826</v>
      </c>
      <c r="F136" s="332">
        <f>E137</f>
        <v>9.2</v>
      </c>
      <c r="G136" s="332"/>
      <c r="H136" s="332">
        <f>F136*G136</f>
        <v>0</v>
      </c>
      <c r="I136" s="333">
        <v>8E-05</v>
      </c>
      <c r="J136" s="334">
        <f>F136*I136</f>
        <v>0.000736</v>
      </c>
      <c r="K136" s="509"/>
      <c r="L136" s="509"/>
      <c r="M136" s="509"/>
      <c r="N136" s="509"/>
      <c r="O136" s="509"/>
      <c r="P136" s="509"/>
      <c r="Q136" s="704"/>
      <c r="R136" s="509"/>
      <c r="S136" s="509"/>
      <c r="T136" s="509"/>
    </row>
    <row r="137" spans="1:20" s="130" customFormat="1" ht="28.5" customHeight="1">
      <c r="A137" s="204"/>
      <c r="B137" s="205"/>
      <c r="C137" s="206" t="s">
        <v>1166</v>
      </c>
      <c r="D137" s="916"/>
      <c r="E137" s="207">
        <f>(2.1+2.5)*2*1</f>
        <v>9.2</v>
      </c>
      <c r="F137" s="335"/>
      <c r="G137" s="335"/>
      <c r="H137" s="335"/>
      <c r="I137" s="336"/>
      <c r="J137" s="337"/>
      <c r="K137" s="672"/>
      <c r="L137" s="672"/>
      <c r="M137" s="672"/>
      <c r="N137" s="672"/>
      <c r="O137" s="672"/>
      <c r="P137" s="672"/>
      <c r="Q137" s="673"/>
      <c r="R137" s="508"/>
      <c r="S137" s="508"/>
      <c r="T137" s="508"/>
    </row>
    <row r="138" spans="1:20" s="22" customFormat="1" ht="49.5" customHeight="1">
      <c r="A138" s="196"/>
      <c r="B138" s="197"/>
      <c r="C138" s="199" t="s">
        <v>2299</v>
      </c>
      <c r="D138" s="917" t="s">
        <v>2817</v>
      </c>
      <c r="E138" s="198"/>
      <c r="F138" s="332"/>
      <c r="G138" s="332"/>
      <c r="H138" s="332"/>
      <c r="I138" s="333"/>
      <c r="J138" s="334"/>
      <c r="K138" s="693"/>
      <c r="L138" s="693"/>
      <c r="M138" s="693"/>
      <c r="N138" s="693"/>
      <c r="O138" s="693"/>
      <c r="P138" s="693"/>
      <c r="Q138" s="694"/>
      <c r="R138" s="509"/>
      <c r="S138" s="509"/>
      <c r="T138" s="509"/>
    </row>
    <row r="139" spans="1:20" s="22" customFormat="1" ht="40.5" customHeight="1">
      <c r="A139" s="196" t="s">
        <v>2101</v>
      </c>
      <c r="B139" s="197" t="s">
        <v>1167</v>
      </c>
      <c r="C139" s="199" t="s">
        <v>1095</v>
      </c>
      <c r="D139" s="917" t="s">
        <v>1168</v>
      </c>
      <c r="E139" s="198" t="s">
        <v>1831</v>
      </c>
      <c r="F139" s="332">
        <v>1</v>
      </c>
      <c r="G139" s="332"/>
      <c r="H139" s="332">
        <f>F139*G139</f>
        <v>0</v>
      </c>
      <c r="I139" s="333">
        <v>0.00168</v>
      </c>
      <c r="J139" s="334">
        <f>F139*I139</f>
        <v>0.00168</v>
      </c>
      <c r="K139" s="693">
        <v>2.1</v>
      </c>
      <c r="L139" s="693">
        <v>2.1</v>
      </c>
      <c r="M139" s="693">
        <f>K139*L139</f>
        <v>4.41</v>
      </c>
      <c r="N139" s="693">
        <f>F139*M139</f>
        <v>4.41</v>
      </c>
      <c r="O139" s="693">
        <f>(K139+L139*2)*F139</f>
        <v>6.300000000000001</v>
      </c>
      <c r="P139" s="693">
        <v>0</v>
      </c>
      <c r="Q139" s="694" t="s">
        <v>1097</v>
      </c>
      <c r="R139" s="509"/>
      <c r="S139" s="509"/>
      <c r="T139" s="509"/>
    </row>
    <row r="140" spans="1:20" s="22" customFormat="1" ht="20.25" customHeight="1">
      <c r="A140" s="196"/>
      <c r="B140" s="197"/>
      <c r="C140" s="197"/>
      <c r="D140" s="917"/>
      <c r="E140" s="198"/>
      <c r="F140" s="332"/>
      <c r="G140" s="332"/>
      <c r="H140" s="332"/>
      <c r="I140" s="333"/>
      <c r="J140" s="334"/>
      <c r="K140" s="509"/>
      <c r="L140" s="509"/>
      <c r="M140" s="509"/>
      <c r="N140" s="509"/>
      <c r="O140" s="509"/>
      <c r="P140" s="509"/>
      <c r="Q140" s="509"/>
      <c r="R140" s="509"/>
      <c r="S140" s="509"/>
      <c r="T140" s="509"/>
    </row>
    <row r="141" spans="1:20" s="22" customFormat="1" ht="30" customHeight="1">
      <c r="A141" s="196" t="s">
        <v>2105</v>
      </c>
      <c r="B141" s="197" t="s">
        <v>2280</v>
      </c>
      <c r="C141" s="199" t="s">
        <v>2281</v>
      </c>
      <c r="D141" s="917" t="s">
        <v>2820</v>
      </c>
      <c r="E141" s="198" t="s">
        <v>1826</v>
      </c>
      <c r="F141" s="332">
        <f>E142</f>
        <v>332.00000000000006</v>
      </c>
      <c r="G141" s="332"/>
      <c r="H141" s="332">
        <f>F141*G141</f>
        <v>0</v>
      </c>
      <c r="I141" s="333">
        <v>4E-05</v>
      </c>
      <c r="J141" s="334">
        <f>F141*I141</f>
        <v>0.013280000000000004</v>
      </c>
      <c r="K141" s="693"/>
      <c r="L141" s="693"/>
      <c r="M141" s="693"/>
      <c r="N141" s="693"/>
      <c r="O141" s="693"/>
      <c r="P141" s="693"/>
      <c r="Q141" s="694"/>
      <c r="R141" s="509"/>
      <c r="S141" s="509"/>
      <c r="T141" s="509"/>
    </row>
    <row r="142" spans="1:20" s="130" customFormat="1" ht="21" customHeight="1">
      <c r="A142" s="204"/>
      <c r="B142" s="205"/>
      <c r="C142" s="206" t="s">
        <v>1169</v>
      </c>
      <c r="D142" s="916"/>
      <c r="E142" s="207">
        <f>59.4+210.6+5.1+20.1+13.8+13.8+2.9+6.3</f>
        <v>332.00000000000006</v>
      </c>
      <c r="F142" s="335"/>
      <c r="G142" s="335"/>
      <c r="H142" s="335"/>
      <c r="I142" s="336"/>
      <c r="J142" s="337"/>
      <c r="K142" s="672"/>
      <c r="L142" s="672"/>
      <c r="M142" s="672"/>
      <c r="N142" s="672"/>
      <c r="O142" s="672"/>
      <c r="P142" s="672"/>
      <c r="Q142" s="673"/>
      <c r="R142" s="508"/>
      <c r="S142" s="508"/>
      <c r="T142" s="508"/>
    </row>
    <row r="143" spans="1:20" s="22" customFormat="1" ht="30" customHeight="1">
      <c r="A143" s="196" t="s">
        <v>2111</v>
      </c>
      <c r="B143" s="197" t="s">
        <v>2284</v>
      </c>
      <c r="C143" s="199" t="s">
        <v>2285</v>
      </c>
      <c r="D143" s="917" t="s">
        <v>2820</v>
      </c>
      <c r="E143" s="198" t="s">
        <v>1826</v>
      </c>
      <c r="F143" s="332">
        <f>E144</f>
        <v>131.39999999999998</v>
      </c>
      <c r="G143" s="332"/>
      <c r="H143" s="332">
        <f>F143*G143</f>
        <v>0</v>
      </c>
      <c r="I143" s="333">
        <v>0.00016</v>
      </c>
      <c r="J143" s="334">
        <f>F143*I143</f>
        <v>0.021023999999999998</v>
      </c>
      <c r="K143" s="693"/>
      <c r="L143" s="693"/>
      <c r="M143" s="693"/>
      <c r="N143" s="693"/>
      <c r="O143" s="693"/>
      <c r="P143" s="693"/>
      <c r="Q143" s="694"/>
      <c r="R143" s="509"/>
      <c r="S143" s="509"/>
      <c r="T143" s="509"/>
    </row>
    <row r="144" spans="1:20" s="130" customFormat="1" ht="17.25" customHeight="1">
      <c r="A144" s="204"/>
      <c r="B144" s="205"/>
      <c r="C144" s="206" t="s">
        <v>1170</v>
      </c>
      <c r="D144" s="916"/>
      <c r="E144" s="207">
        <f>16.2+93.6+2.1+9+4.2+4.2+2.1</f>
        <v>131.39999999999998</v>
      </c>
      <c r="F144" s="335"/>
      <c r="G144" s="335"/>
      <c r="H144" s="335"/>
      <c r="I144" s="336"/>
      <c r="J144" s="337"/>
      <c r="K144" s="672"/>
      <c r="L144" s="672"/>
      <c r="M144" s="672"/>
      <c r="N144" s="672"/>
      <c r="O144" s="672"/>
      <c r="P144" s="672"/>
      <c r="Q144" s="673"/>
      <c r="R144" s="508"/>
      <c r="S144" s="508"/>
      <c r="T144" s="508"/>
    </row>
    <row r="145" spans="1:20" s="22" customFormat="1" ht="20.25" customHeight="1" thickBot="1">
      <c r="A145" s="255"/>
      <c r="B145" s="256"/>
      <c r="C145" s="256"/>
      <c r="D145" s="968"/>
      <c r="E145" s="257"/>
      <c r="F145" s="368"/>
      <c r="G145" s="368"/>
      <c r="H145" s="368"/>
      <c r="I145" s="369"/>
      <c r="J145" s="370"/>
      <c r="K145" s="509"/>
      <c r="L145" s="509"/>
      <c r="M145" s="509"/>
      <c r="N145" s="509"/>
      <c r="O145" s="509"/>
      <c r="P145" s="509"/>
      <c r="Q145" s="509"/>
      <c r="R145" s="509"/>
      <c r="S145" s="509"/>
      <c r="T145" s="509"/>
    </row>
    <row r="146" spans="1:20" ht="16.5" customHeight="1" thickBot="1">
      <c r="A146" s="266" t="s">
        <v>2322</v>
      </c>
      <c r="B146" s="175" t="s">
        <v>2323</v>
      </c>
      <c r="C146" s="176" t="s">
        <v>2324</v>
      </c>
      <c r="D146" s="1008"/>
      <c r="E146" s="175"/>
      <c r="F146" s="341"/>
      <c r="G146" s="341"/>
      <c r="H146" s="342">
        <f>SUM(H147:H150)</f>
        <v>0</v>
      </c>
      <c r="I146" s="343"/>
      <c r="J146" s="1012">
        <f>SUM(J147:J150)</f>
        <v>0.30572</v>
      </c>
      <c r="K146" s="670"/>
      <c r="L146" s="670"/>
      <c r="M146" s="670"/>
      <c r="N146" s="670"/>
      <c r="O146" s="670"/>
      <c r="P146" s="670"/>
      <c r="Q146" s="670"/>
      <c r="R146" s="670"/>
      <c r="S146" s="670"/>
      <c r="T146" s="670"/>
    </row>
    <row r="147" spans="1:20" s="22" customFormat="1" ht="15" customHeight="1">
      <c r="A147" s="196"/>
      <c r="B147" s="197"/>
      <c r="C147" s="199"/>
      <c r="D147" s="917"/>
      <c r="E147" s="198"/>
      <c r="F147" s="332"/>
      <c r="G147" s="332"/>
      <c r="H147" s="332"/>
      <c r="I147" s="333"/>
      <c r="J147" s="334"/>
      <c r="K147" s="693"/>
      <c r="L147" s="693"/>
      <c r="M147" s="693"/>
      <c r="N147" s="693"/>
      <c r="O147" s="693"/>
      <c r="P147" s="693"/>
      <c r="Q147" s="694"/>
      <c r="R147" s="509"/>
      <c r="S147" s="509"/>
      <c r="T147" s="509"/>
    </row>
    <row r="148" spans="1:20" s="22" customFormat="1" ht="18.75" customHeight="1">
      <c r="A148" s="196" t="s">
        <v>2325</v>
      </c>
      <c r="B148" s="197" t="s">
        <v>2329</v>
      </c>
      <c r="C148" s="199" t="s">
        <v>763</v>
      </c>
      <c r="D148" s="917" t="s">
        <v>2749</v>
      </c>
      <c r="E148" s="198" t="s">
        <v>2331</v>
      </c>
      <c r="F148" s="332">
        <v>17</v>
      </c>
      <c r="G148" s="332"/>
      <c r="H148" s="332">
        <f>F148*G148</f>
        <v>0</v>
      </c>
      <c r="I148" s="333"/>
      <c r="J148" s="334"/>
      <c r="K148" s="693"/>
      <c r="L148" s="693"/>
      <c r="M148" s="693"/>
      <c r="N148" s="693"/>
      <c r="O148" s="693"/>
      <c r="P148" s="693"/>
      <c r="Q148" s="694"/>
      <c r="R148" s="509"/>
      <c r="S148" s="509"/>
      <c r="T148" s="509"/>
    </row>
    <row r="149" spans="1:59" s="22" customFormat="1" ht="30" customHeight="1">
      <c r="A149" s="196" t="s">
        <v>2328</v>
      </c>
      <c r="B149" s="197" t="s">
        <v>2333</v>
      </c>
      <c r="C149" s="199" t="s">
        <v>2334</v>
      </c>
      <c r="D149" s="917" t="s">
        <v>2749</v>
      </c>
      <c r="E149" s="198" t="s">
        <v>1718</v>
      </c>
      <c r="F149" s="332">
        <v>4</v>
      </c>
      <c r="G149" s="332"/>
      <c r="H149" s="332">
        <f>F149*G149</f>
        <v>0</v>
      </c>
      <c r="I149" s="333">
        <v>0.07643</v>
      </c>
      <c r="J149" s="1030">
        <f>F149*I149</f>
        <v>0.30572</v>
      </c>
      <c r="K149" s="693"/>
      <c r="L149" s="693"/>
      <c r="M149" s="693"/>
      <c r="N149" s="693"/>
      <c r="O149" s="693"/>
      <c r="P149" s="693"/>
      <c r="Q149" s="694">
        <v>2</v>
      </c>
      <c r="R149" s="509"/>
      <c r="S149" s="509"/>
      <c r="T149" s="509"/>
      <c r="AA149" s="22">
        <v>12</v>
      </c>
      <c r="AB149" s="22">
        <v>0</v>
      </c>
      <c r="AC149" s="22">
        <v>30</v>
      </c>
      <c r="BB149" s="22">
        <v>1</v>
      </c>
      <c r="BC149" s="22">
        <f>IF(BB149=1,G149,0)</f>
        <v>0</v>
      </c>
      <c r="BD149" s="22">
        <f>IF(BB149=2,G149,0)</f>
        <v>0</v>
      </c>
      <c r="BE149" s="22">
        <f>IF(BB149=3,G149,0)</f>
        <v>0</v>
      </c>
      <c r="BF149" s="22">
        <f>IF(BB149=4,G149,0)</f>
        <v>0</v>
      </c>
      <c r="BG149" s="22">
        <f>IF(BB149=5,G149,0)</f>
        <v>0</v>
      </c>
    </row>
    <row r="150" spans="1:20" s="22" customFormat="1" ht="30" customHeight="1" thickBot="1">
      <c r="A150" s="196" t="s">
        <v>2332</v>
      </c>
      <c r="B150" s="197" t="s">
        <v>2336</v>
      </c>
      <c r="C150" s="199" t="s">
        <v>2337</v>
      </c>
      <c r="D150" s="917" t="s">
        <v>2749</v>
      </c>
      <c r="E150" s="198" t="s">
        <v>1826</v>
      </c>
      <c r="F150" s="332">
        <v>55</v>
      </c>
      <c r="G150" s="332"/>
      <c r="H150" s="332">
        <f>F150*G150</f>
        <v>0</v>
      </c>
      <c r="I150" s="333"/>
      <c r="J150" s="334"/>
      <c r="K150" s="693"/>
      <c r="L150" s="693"/>
      <c r="M150" s="693"/>
      <c r="N150" s="693"/>
      <c r="O150" s="693"/>
      <c r="P150" s="693"/>
      <c r="Q150" s="694"/>
      <c r="R150" s="509"/>
      <c r="S150" s="509"/>
      <c r="T150" s="509"/>
    </row>
    <row r="151" spans="1:20" ht="16.5" customHeight="1" thickBot="1">
      <c r="A151" s="266" t="s">
        <v>2338</v>
      </c>
      <c r="B151" s="175" t="s">
        <v>2339</v>
      </c>
      <c r="C151" s="176" t="s">
        <v>2340</v>
      </c>
      <c r="D151" s="1008"/>
      <c r="E151" s="175"/>
      <c r="F151" s="341"/>
      <c r="G151" s="341"/>
      <c r="H151" s="342">
        <f>SUM(H152:H161)</f>
        <v>0</v>
      </c>
      <c r="I151" s="343"/>
      <c r="J151" s="344">
        <f>SUM(J152:J160)</f>
        <v>29.939541720000005</v>
      </c>
      <c r="K151" s="670"/>
      <c r="L151" s="670"/>
      <c r="M151" s="670"/>
      <c r="N151" s="670"/>
      <c r="O151" s="670"/>
      <c r="P151" s="670"/>
      <c r="Q151" s="670"/>
      <c r="R151" s="670"/>
      <c r="S151" s="670"/>
      <c r="T151" s="670"/>
    </row>
    <row r="152" spans="1:20" s="22" customFormat="1" ht="15" customHeight="1">
      <c r="A152" s="190"/>
      <c r="B152" s="191"/>
      <c r="C152" s="265"/>
      <c r="D152" s="964"/>
      <c r="E152" s="192"/>
      <c r="F152" s="345"/>
      <c r="G152" s="345"/>
      <c r="H152" s="345"/>
      <c r="I152" s="346"/>
      <c r="J152" s="347"/>
      <c r="K152" s="509"/>
      <c r="L152" s="509"/>
      <c r="M152" s="509"/>
      <c r="N152" s="509"/>
      <c r="O152" s="509"/>
      <c r="P152" s="509"/>
      <c r="Q152" s="509"/>
      <c r="R152" s="509"/>
      <c r="S152" s="509"/>
      <c r="T152" s="509"/>
    </row>
    <row r="153" spans="1:20" s="22" customFormat="1" ht="23.25" customHeight="1">
      <c r="A153" s="196" t="s">
        <v>2341</v>
      </c>
      <c r="B153" s="197" t="s">
        <v>2342</v>
      </c>
      <c r="C153" s="199" t="s">
        <v>2343</v>
      </c>
      <c r="D153" s="917"/>
      <c r="E153" s="198" t="s">
        <v>1748</v>
      </c>
      <c r="F153" s="332">
        <f>(970.6+205.05)*1.08</f>
        <v>1269.7020000000002</v>
      </c>
      <c r="G153" s="332"/>
      <c r="H153" s="332">
        <f aca="true" t="shared" si="10" ref="H153:H161">F153*G153</f>
        <v>0</v>
      </c>
      <c r="I153" s="333">
        <v>0.01838</v>
      </c>
      <c r="J153" s="334">
        <f aca="true" t="shared" si="11" ref="J153:J160">F153*I153</f>
        <v>23.337122760000003</v>
      </c>
      <c r="K153" s="693"/>
      <c r="L153" s="693"/>
      <c r="M153" s="693"/>
      <c r="N153" s="693"/>
      <c r="O153" s="693"/>
      <c r="P153" s="693"/>
      <c r="Q153" s="694"/>
      <c r="R153" s="509"/>
      <c r="S153" s="509"/>
      <c r="T153" s="509"/>
    </row>
    <row r="154" spans="1:20" s="22" customFormat="1" ht="23.25" customHeight="1">
      <c r="A154" s="196" t="s">
        <v>2344</v>
      </c>
      <c r="B154" s="197" t="s">
        <v>2345</v>
      </c>
      <c r="C154" s="199" t="s">
        <v>2346</v>
      </c>
      <c r="D154" s="917"/>
      <c r="E154" s="198" t="s">
        <v>1748</v>
      </c>
      <c r="F154" s="332">
        <f>F153*4</f>
        <v>5078.808000000001</v>
      </c>
      <c r="G154" s="332"/>
      <c r="H154" s="332">
        <f t="shared" si="10"/>
        <v>0</v>
      </c>
      <c r="I154" s="333">
        <v>0.00097</v>
      </c>
      <c r="J154" s="334">
        <f t="shared" si="11"/>
        <v>4.9264437600000015</v>
      </c>
      <c r="K154" s="693"/>
      <c r="L154" s="693"/>
      <c r="M154" s="693"/>
      <c r="N154" s="693"/>
      <c r="O154" s="693"/>
      <c r="P154" s="693"/>
      <c r="Q154" s="694"/>
      <c r="R154" s="509"/>
      <c r="S154" s="509"/>
      <c r="T154" s="509"/>
    </row>
    <row r="155" spans="1:20" s="22" customFormat="1" ht="23.25" customHeight="1">
      <c r="A155" s="196" t="s">
        <v>2347</v>
      </c>
      <c r="B155" s="197" t="s">
        <v>2348</v>
      </c>
      <c r="C155" s="199" t="s">
        <v>2349</v>
      </c>
      <c r="D155" s="917"/>
      <c r="E155" s="198" t="s">
        <v>1748</v>
      </c>
      <c r="F155" s="332">
        <f>F153</f>
        <v>1269.7020000000002</v>
      </c>
      <c r="G155" s="332"/>
      <c r="H155" s="332">
        <f t="shared" si="10"/>
        <v>0</v>
      </c>
      <c r="I155" s="333">
        <v>0</v>
      </c>
      <c r="J155" s="334">
        <f t="shared" si="11"/>
        <v>0</v>
      </c>
      <c r="K155" s="693"/>
      <c r="L155" s="693"/>
      <c r="M155" s="693"/>
      <c r="N155" s="693"/>
      <c r="O155" s="693"/>
      <c r="P155" s="693"/>
      <c r="Q155" s="694"/>
      <c r="R155" s="509"/>
      <c r="S155" s="509"/>
      <c r="T155" s="509"/>
    </row>
    <row r="156" spans="1:20" s="22" customFormat="1" ht="23.25" customHeight="1">
      <c r="A156" s="196" t="s">
        <v>2350</v>
      </c>
      <c r="B156" s="197" t="s">
        <v>2351</v>
      </c>
      <c r="C156" s="199" t="s">
        <v>2352</v>
      </c>
      <c r="D156" s="917"/>
      <c r="E156" s="198" t="s">
        <v>1748</v>
      </c>
      <c r="F156" s="332">
        <f>F153</f>
        <v>1269.7020000000002</v>
      </c>
      <c r="G156" s="332"/>
      <c r="H156" s="332">
        <f t="shared" si="10"/>
        <v>0</v>
      </c>
      <c r="I156" s="333">
        <v>0</v>
      </c>
      <c r="J156" s="334">
        <f t="shared" si="11"/>
        <v>0</v>
      </c>
      <c r="K156" s="693"/>
      <c r="L156" s="693"/>
      <c r="M156" s="693"/>
      <c r="N156" s="693"/>
      <c r="O156" s="693"/>
      <c r="P156" s="693"/>
      <c r="Q156" s="694"/>
      <c r="R156" s="509"/>
      <c r="S156" s="509"/>
      <c r="T156" s="509"/>
    </row>
    <row r="157" spans="1:20" s="22" customFormat="1" ht="23.25" customHeight="1">
      <c r="A157" s="196" t="s">
        <v>2353</v>
      </c>
      <c r="B157" s="197" t="s">
        <v>2354</v>
      </c>
      <c r="C157" s="199" t="s">
        <v>2355</v>
      </c>
      <c r="D157" s="917"/>
      <c r="E157" s="198" t="s">
        <v>1748</v>
      </c>
      <c r="F157" s="332">
        <f>F156*4</f>
        <v>5078.808000000001</v>
      </c>
      <c r="G157" s="332"/>
      <c r="H157" s="332">
        <f t="shared" si="10"/>
        <v>0</v>
      </c>
      <c r="I157" s="333">
        <v>0</v>
      </c>
      <c r="J157" s="334">
        <f t="shared" si="11"/>
        <v>0</v>
      </c>
      <c r="K157" s="693"/>
      <c r="L157" s="693"/>
      <c r="M157" s="693"/>
      <c r="N157" s="693"/>
      <c r="O157" s="693"/>
      <c r="P157" s="693"/>
      <c r="Q157" s="694"/>
      <c r="R157" s="509"/>
      <c r="S157" s="509"/>
      <c r="T157" s="509"/>
    </row>
    <row r="158" spans="1:20" s="22" customFormat="1" ht="23.25" customHeight="1">
      <c r="A158" s="196" t="s">
        <v>2356</v>
      </c>
      <c r="B158" s="197" t="s">
        <v>2357</v>
      </c>
      <c r="C158" s="199" t="s">
        <v>2358</v>
      </c>
      <c r="D158" s="917"/>
      <c r="E158" s="198" t="s">
        <v>1748</v>
      </c>
      <c r="F158" s="332">
        <f>F156</f>
        <v>1269.7020000000002</v>
      </c>
      <c r="G158" s="332"/>
      <c r="H158" s="332">
        <f t="shared" si="10"/>
        <v>0</v>
      </c>
      <c r="I158" s="333">
        <v>0</v>
      </c>
      <c r="J158" s="334">
        <f t="shared" si="11"/>
        <v>0</v>
      </c>
      <c r="K158" s="693"/>
      <c r="L158" s="693"/>
      <c r="M158" s="693"/>
      <c r="N158" s="693"/>
      <c r="O158" s="693"/>
      <c r="P158" s="693"/>
      <c r="Q158" s="694"/>
      <c r="R158" s="509"/>
      <c r="S158" s="509"/>
      <c r="T158" s="509"/>
    </row>
    <row r="159" spans="1:20" s="22" customFormat="1" ht="23.25" customHeight="1">
      <c r="A159" s="196" t="s">
        <v>2359</v>
      </c>
      <c r="B159" s="197" t="s">
        <v>2360</v>
      </c>
      <c r="C159" s="199" t="s">
        <v>2361</v>
      </c>
      <c r="D159" s="917"/>
      <c r="E159" s="198" t="s">
        <v>1748</v>
      </c>
      <c r="F159" s="332">
        <f>144.3*1.2+102</f>
        <v>275.15999999999997</v>
      </c>
      <c r="G159" s="332"/>
      <c r="H159" s="332">
        <f t="shared" si="10"/>
        <v>0</v>
      </c>
      <c r="I159" s="333">
        <v>0.00592</v>
      </c>
      <c r="J159" s="334">
        <f t="shared" si="11"/>
        <v>1.6289471999999998</v>
      </c>
      <c r="K159" s="693"/>
      <c r="L159" s="693"/>
      <c r="M159" s="693"/>
      <c r="N159" s="693"/>
      <c r="O159" s="693"/>
      <c r="P159" s="693"/>
      <c r="Q159" s="694"/>
      <c r="R159" s="509"/>
      <c r="S159" s="509"/>
      <c r="T159" s="509"/>
    </row>
    <row r="160" spans="1:20" s="22" customFormat="1" ht="23.25" customHeight="1">
      <c r="A160" s="196" t="s">
        <v>2362</v>
      </c>
      <c r="B160" s="197" t="s">
        <v>2363</v>
      </c>
      <c r="C160" s="199" t="s">
        <v>2364</v>
      </c>
      <c r="D160" s="917"/>
      <c r="E160" s="198" t="s">
        <v>1748</v>
      </c>
      <c r="F160" s="332">
        <f>(970.6+205.05)+0.05</f>
        <v>1175.7</v>
      </c>
      <c r="G160" s="332"/>
      <c r="H160" s="332">
        <f t="shared" si="10"/>
        <v>0</v>
      </c>
      <c r="I160" s="333">
        <v>4E-05</v>
      </c>
      <c r="J160" s="334">
        <f t="shared" si="11"/>
        <v>0.04702800000000001</v>
      </c>
      <c r="K160" s="693"/>
      <c r="L160" s="693"/>
      <c r="M160" s="693"/>
      <c r="N160" s="693"/>
      <c r="O160" s="693"/>
      <c r="P160" s="693"/>
      <c r="Q160" s="694"/>
      <c r="R160" s="509"/>
      <c r="S160" s="509"/>
      <c r="T160" s="509"/>
    </row>
    <row r="161" spans="1:20" s="22" customFormat="1" ht="23.25" customHeight="1" thickBot="1">
      <c r="A161" s="255" t="s">
        <v>2365</v>
      </c>
      <c r="B161" s="256" t="s">
        <v>2366</v>
      </c>
      <c r="C161" s="264" t="s">
        <v>2367</v>
      </c>
      <c r="D161" s="968"/>
      <c r="E161" s="257" t="s">
        <v>1783</v>
      </c>
      <c r="F161" s="1120">
        <f>J151+J146+J110+J97+J64+J56+J44+J38+J36+J28+J18</f>
        <v>303.74446063612504</v>
      </c>
      <c r="G161" s="368"/>
      <c r="H161" s="368">
        <f t="shared" si="10"/>
        <v>0</v>
      </c>
      <c r="I161" s="369">
        <v>0</v>
      </c>
      <c r="J161" s="370"/>
      <c r="K161" s="509"/>
      <c r="L161" s="509"/>
      <c r="M161" s="509"/>
      <c r="N161" s="509"/>
      <c r="O161" s="509"/>
      <c r="P161" s="509"/>
      <c r="Q161" s="509"/>
      <c r="R161" s="509"/>
      <c r="S161" s="509"/>
      <c r="T161" s="509"/>
    </row>
    <row r="162" spans="1:20" ht="16.5" customHeight="1" thickBot="1">
      <c r="A162" s="266" t="s">
        <v>2368</v>
      </c>
      <c r="B162" s="175" t="s">
        <v>2369</v>
      </c>
      <c r="C162" s="176" t="s">
        <v>2370</v>
      </c>
      <c r="D162" s="1008"/>
      <c r="E162" s="175"/>
      <c r="F162" s="341"/>
      <c r="G162" s="341"/>
      <c r="H162" s="1011">
        <f>SUM(H163:H211)</f>
        <v>0</v>
      </c>
      <c r="I162" s="343"/>
      <c r="J162" s="1012">
        <f>SUM(J163:J201)</f>
        <v>76.09015200000002</v>
      </c>
      <c r="K162" s="670"/>
      <c r="L162" s="670"/>
      <c r="M162" s="670"/>
      <c r="N162" s="670"/>
      <c r="O162" s="670"/>
      <c r="P162" s="670"/>
      <c r="Q162" s="670"/>
      <c r="R162" s="670"/>
      <c r="S162" s="670"/>
      <c r="T162" s="670"/>
    </row>
    <row r="163" spans="1:20" s="22" customFormat="1" ht="21.75" customHeight="1">
      <c r="A163" s="190" t="s">
        <v>2371</v>
      </c>
      <c r="B163" s="191" t="s">
        <v>2387</v>
      </c>
      <c r="C163" s="265" t="s">
        <v>2388</v>
      </c>
      <c r="D163" s="917" t="s">
        <v>2761</v>
      </c>
      <c r="E163" s="192" t="s">
        <v>1748</v>
      </c>
      <c r="F163" s="345">
        <v>970.6</v>
      </c>
      <c r="G163" s="345"/>
      <c r="H163" s="345">
        <f>F163*G163</f>
        <v>0</v>
      </c>
      <c r="I163" s="346">
        <v>0.023</v>
      </c>
      <c r="J163" s="347">
        <f aca="true" t="shared" si="12" ref="J163:J194">F163*I163</f>
        <v>22.3238</v>
      </c>
      <c r="K163" s="509"/>
      <c r="L163" s="509"/>
      <c r="M163" s="509"/>
      <c r="N163" s="509"/>
      <c r="O163" s="509"/>
      <c r="P163" s="509"/>
      <c r="Q163" s="509"/>
      <c r="R163" s="509"/>
      <c r="S163" s="509"/>
      <c r="T163" s="509"/>
    </row>
    <row r="164" spans="1:20" s="22" customFormat="1" ht="22.5" customHeight="1">
      <c r="A164" s="196" t="s">
        <v>2374</v>
      </c>
      <c r="B164" s="197" t="s">
        <v>2390</v>
      </c>
      <c r="C164" s="199" t="s">
        <v>2391</v>
      </c>
      <c r="D164" s="917" t="s">
        <v>2761</v>
      </c>
      <c r="E164" s="198" t="s">
        <v>1709</v>
      </c>
      <c r="F164" s="332">
        <f>E165</f>
        <v>0.8505</v>
      </c>
      <c r="G164" s="332"/>
      <c r="H164" s="332">
        <f>F164*G164</f>
        <v>0</v>
      </c>
      <c r="I164" s="333">
        <v>1.8</v>
      </c>
      <c r="J164" s="334">
        <f t="shared" si="12"/>
        <v>1.5309000000000001</v>
      </c>
      <c r="K164" s="509"/>
      <c r="L164" s="509"/>
      <c r="M164" s="509"/>
      <c r="N164" s="509"/>
      <c r="O164" s="509"/>
      <c r="P164" s="509"/>
      <c r="Q164" s="509"/>
      <c r="R164" s="509"/>
      <c r="S164" s="509"/>
      <c r="T164" s="509"/>
    </row>
    <row r="165" spans="1:20" s="130" customFormat="1" ht="17.25" customHeight="1">
      <c r="A165" s="204"/>
      <c r="B165" s="205"/>
      <c r="C165" s="206" t="s">
        <v>1171</v>
      </c>
      <c r="D165" s="916"/>
      <c r="E165" s="207">
        <f>2.1*0.9*0.45</f>
        <v>0.8505</v>
      </c>
      <c r="F165" s="335"/>
      <c r="G165" s="335"/>
      <c r="H165" s="335"/>
      <c r="I165" s="336"/>
      <c r="J165" s="337"/>
      <c r="K165" s="672"/>
      <c r="L165" s="672"/>
      <c r="M165" s="672"/>
      <c r="N165" s="672"/>
      <c r="O165" s="672"/>
      <c r="P165" s="672"/>
      <c r="Q165" s="673"/>
      <c r="R165" s="508"/>
      <c r="S165" s="508"/>
      <c r="T165" s="508"/>
    </row>
    <row r="166" spans="1:20" s="22" customFormat="1" ht="21.75" customHeight="1">
      <c r="A166" s="196" t="s">
        <v>2379</v>
      </c>
      <c r="B166" s="197" t="s">
        <v>953</v>
      </c>
      <c r="C166" s="199" t="s">
        <v>954</v>
      </c>
      <c r="D166" s="917" t="s">
        <v>2819</v>
      </c>
      <c r="E166" s="198" t="s">
        <v>1709</v>
      </c>
      <c r="F166" s="332">
        <f>SUM(E167:E168)</f>
        <v>1.24355</v>
      </c>
      <c r="G166" s="332"/>
      <c r="H166" s="332">
        <f>F166*G166</f>
        <v>0</v>
      </c>
      <c r="I166" s="333">
        <v>2.2</v>
      </c>
      <c r="J166" s="334">
        <f>F166*I166</f>
        <v>2.73581</v>
      </c>
      <c r="K166" s="693"/>
      <c r="L166" s="693"/>
      <c r="M166" s="693"/>
      <c r="N166" s="693"/>
      <c r="O166" s="693"/>
      <c r="P166" s="693"/>
      <c r="Q166" s="694"/>
      <c r="R166" s="509"/>
      <c r="S166" s="509"/>
      <c r="T166" s="509"/>
    </row>
    <row r="167" spans="1:20" s="130" customFormat="1" ht="18.75" customHeight="1">
      <c r="A167" s="204"/>
      <c r="B167" s="205" t="s">
        <v>878</v>
      </c>
      <c r="C167" s="206" t="s">
        <v>955</v>
      </c>
      <c r="D167" s="916"/>
      <c r="E167" s="207">
        <f>(2.86+3.83)*0.095</f>
        <v>0.63555</v>
      </c>
      <c r="F167" s="335"/>
      <c r="G167" s="335"/>
      <c r="H167" s="335"/>
      <c r="I167" s="336"/>
      <c r="J167" s="337"/>
      <c r="K167" s="672"/>
      <c r="L167" s="672"/>
      <c r="M167" s="672"/>
      <c r="N167" s="672"/>
      <c r="O167" s="672"/>
      <c r="P167" s="672"/>
      <c r="Q167" s="673"/>
      <c r="R167" s="508"/>
      <c r="S167" s="508"/>
      <c r="T167" s="508"/>
    </row>
    <row r="168" spans="1:20" s="130" customFormat="1" ht="18.75" customHeight="1">
      <c r="A168" s="204"/>
      <c r="B168" s="205" t="s">
        <v>884</v>
      </c>
      <c r="C168" s="206" t="s">
        <v>956</v>
      </c>
      <c r="D168" s="916"/>
      <c r="E168" s="207">
        <f>(4.06+2.34)*0.095</f>
        <v>0.608</v>
      </c>
      <c r="F168" s="335"/>
      <c r="G168" s="335"/>
      <c r="H168" s="335"/>
      <c r="I168" s="336"/>
      <c r="J168" s="337"/>
      <c r="K168" s="672"/>
      <c r="L168" s="672"/>
      <c r="M168" s="672"/>
      <c r="N168" s="672"/>
      <c r="O168" s="672"/>
      <c r="P168" s="672"/>
      <c r="Q168" s="673"/>
      <c r="R168" s="508"/>
      <c r="S168" s="508"/>
      <c r="T168" s="508"/>
    </row>
    <row r="169" spans="1:20" s="22" customFormat="1" ht="21.75" customHeight="1">
      <c r="A169" s="196" t="s">
        <v>2383</v>
      </c>
      <c r="B169" s="197" t="s">
        <v>2477</v>
      </c>
      <c r="C169" s="199" t="s">
        <v>773</v>
      </c>
      <c r="D169" s="917"/>
      <c r="E169" s="198" t="s">
        <v>1748</v>
      </c>
      <c r="F169" s="332">
        <f>E170</f>
        <v>6.159999999999999</v>
      </c>
      <c r="G169" s="332"/>
      <c r="H169" s="332">
        <f>F169*G169</f>
        <v>0</v>
      </c>
      <c r="I169" s="333">
        <v>0.02</v>
      </c>
      <c r="J169" s="334">
        <f>F169*I169</f>
        <v>0.12319999999999999</v>
      </c>
      <c r="K169" s="693"/>
      <c r="L169" s="693"/>
      <c r="M169" s="693"/>
      <c r="N169" s="693"/>
      <c r="O169" s="693"/>
      <c r="P169" s="693"/>
      <c r="Q169" s="694"/>
      <c r="R169" s="509"/>
      <c r="S169" s="509"/>
      <c r="T169" s="509"/>
    </row>
    <row r="170" spans="1:20" s="130" customFormat="1" ht="18" customHeight="1">
      <c r="A170" s="204"/>
      <c r="B170" s="205"/>
      <c r="C170" s="206" t="s">
        <v>1172</v>
      </c>
      <c r="D170" s="916"/>
      <c r="E170" s="207">
        <f>2.1*0.3*2+3.5*0.7*2</f>
        <v>6.159999999999999</v>
      </c>
      <c r="F170" s="335"/>
      <c r="G170" s="335"/>
      <c r="H170" s="335"/>
      <c r="I170" s="336"/>
      <c r="J170" s="337"/>
      <c r="K170" s="672"/>
      <c r="L170" s="672"/>
      <c r="M170" s="672"/>
      <c r="N170" s="672"/>
      <c r="O170" s="672"/>
      <c r="P170" s="672"/>
      <c r="Q170" s="673"/>
      <c r="R170" s="508"/>
      <c r="S170" s="508"/>
      <c r="T170" s="508"/>
    </row>
    <row r="171" spans="1:20" s="22" customFormat="1" ht="13.5" customHeight="1">
      <c r="A171" s="196"/>
      <c r="B171" s="197"/>
      <c r="C171" s="199"/>
      <c r="D171" s="917"/>
      <c r="E171" s="198"/>
      <c r="F171" s="332"/>
      <c r="G171" s="332"/>
      <c r="H171" s="332"/>
      <c r="I171" s="333"/>
      <c r="J171" s="334"/>
      <c r="K171" s="509"/>
      <c r="L171" s="509"/>
      <c r="M171" s="509"/>
      <c r="N171" s="509"/>
      <c r="O171" s="509"/>
      <c r="P171" s="509"/>
      <c r="Q171" s="509"/>
      <c r="R171" s="509"/>
      <c r="S171" s="509"/>
      <c r="T171" s="509"/>
    </row>
    <row r="172" spans="1:20" s="22" customFormat="1" ht="21.75" customHeight="1">
      <c r="A172" s="196" t="s">
        <v>2386</v>
      </c>
      <c r="B172" s="197" t="s">
        <v>2415</v>
      </c>
      <c r="C172" s="199" t="s">
        <v>2416</v>
      </c>
      <c r="D172" s="917" t="s">
        <v>2761</v>
      </c>
      <c r="E172" s="198" t="s">
        <v>1831</v>
      </c>
      <c r="F172" s="332">
        <f>E173</f>
        <v>138</v>
      </c>
      <c r="G172" s="332"/>
      <c r="H172" s="332">
        <f>F172*G172</f>
        <v>0</v>
      </c>
      <c r="I172" s="333">
        <v>0</v>
      </c>
      <c r="J172" s="334">
        <f t="shared" si="12"/>
        <v>0</v>
      </c>
      <c r="K172" s="693"/>
      <c r="L172" s="693"/>
      <c r="M172" s="693"/>
      <c r="N172" s="693"/>
      <c r="O172" s="693"/>
      <c r="P172" s="693"/>
      <c r="Q172" s="694"/>
      <c r="R172" s="509"/>
      <c r="S172" s="509"/>
      <c r="T172" s="509"/>
    </row>
    <row r="173" spans="1:20" s="130" customFormat="1" ht="18" customHeight="1">
      <c r="A173" s="204"/>
      <c r="B173" s="205"/>
      <c r="C173" s="206" t="s">
        <v>1173</v>
      </c>
      <c r="D173" s="916"/>
      <c r="E173" s="207">
        <f>18+39*2+3+18+12+6+3</f>
        <v>138</v>
      </c>
      <c r="F173" s="335"/>
      <c r="G173" s="335"/>
      <c r="H173" s="335"/>
      <c r="I173" s="336"/>
      <c r="J173" s="337"/>
      <c r="K173" s="672"/>
      <c r="L173" s="672"/>
      <c r="M173" s="672"/>
      <c r="N173" s="672"/>
      <c r="O173" s="672"/>
      <c r="P173" s="672"/>
      <c r="Q173" s="673"/>
      <c r="R173" s="508"/>
      <c r="S173" s="508"/>
      <c r="T173" s="508"/>
    </row>
    <row r="174" spans="1:20" s="22" customFormat="1" ht="21.75" customHeight="1">
      <c r="A174" s="196" t="s">
        <v>2389</v>
      </c>
      <c r="B174" s="197" t="s">
        <v>2419</v>
      </c>
      <c r="C174" s="199" t="s">
        <v>2420</v>
      </c>
      <c r="D174" s="917" t="s">
        <v>2761</v>
      </c>
      <c r="E174" s="198" t="s">
        <v>1748</v>
      </c>
      <c r="F174" s="332">
        <f>E175</f>
        <v>20.28</v>
      </c>
      <c r="G174" s="332"/>
      <c r="H174" s="332">
        <f>F174*G174</f>
        <v>0</v>
      </c>
      <c r="I174" s="333">
        <v>0.031</v>
      </c>
      <c r="J174" s="334">
        <f t="shared" si="12"/>
        <v>0.62868</v>
      </c>
      <c r="K174" s="693"/>
      <c r="L174" s="693"/>
      <c r="M174" s="693"/>
      <c r="N174" s="693"/>
      <c r="O174" s="693"/>
      <c r="P174" s="693"/>
      <c r="Q174" s="694"/>
      <c r="R174" s="509"/>
      <c r="S174" s="509"/>
      <c r="T174" s="509"/>
    </row>
    <row r="175" spans="1:20" s="130" customFormat="1" ht="18" customHeight="1">
      <c r="A175" s="204"/>
      <c r="B175" s="205"/>
      <c r="C175" s="206" t="s">
        <v>1174</v>
      </c>
      <c r="D175" s="916"/>
      <c r="E175" s="207">
        <f>19.44+0.84</f>
        <v>20.28</v>
      </c>
      <c r="F175" s="335"/>
      <c r="G175" s="335"/>
      <c r="H175" s="335"/>
      <c r="I175" s="336"/>
      <c r="J175" s="337"/>
      <c r="K175" s="672"/>
      <c r="L175" s="672"/>
      <c r="M175" s="672"/>
      <c r="N175" s="672"/>
      <c r="O175" s="672"/>
      <c r="P175" s="672"/>
      <c r="Q175" s="673"/>
      <c r="R175" s="508"/>
      <c r="S175" s="508"/>
      <c r="T175" s="508"/>
    </row>
    <row r="176" spans="1:20" s="22" customFormat="1" ht="21.75" customHeight="1">
      <c r="A176" s="196" t="s">
        <v>2393</v>
      </c>
      <c r="B176" s="197" t="s">
        <v>2423</v>
      </c>
      <c r="C176" s="199" t="s">
        <v>2424</v>
      </c>
      <c r="D176" s="917" t="s">
        <v>2761</v>
      </c>
      <c r="E176" s="198" t="s">
        <v>1748</v>
      </c>
      <c r="F176" s="332">
        <f>E177</f>
        <v>143.55</v>
      </c>
      <c r="G176" s="332"/>
      <c r="H176" s="332">
        <f>F176*G176</f>
        <v>0</v>
      </c>
      <c r="I176" s="333">
        <v>0.027</v>
      </c>
      <c r="J176" s="334">
        <f t="shared" si="12"/>
        <v>3.8758500000000002</v>
      </c>
      <c r="K176" s="693"/>
      <c r="L176" s="693"/>
      <c r="M176" s="693"/>
      <c r="N176" s="693"/>
      <c r="O176" s="693"/>
      <c r="P176" s="693"/>
      <c r="Q176" s="694"/>
      <c r="R176" s="509"/>
      <c r="S176" s="509"/>
      <c r="T176" s="509"/>
    </row>
    <row r="177" spans="1:20" s="130" customFormat="1" ht="18.75" customHeight="1">
      <c r="A177" s="204"/>
      <c r="B177" s="205"/>
      <c r="C177" s="206" t="s">
        <v>1175</v>
      </c>
      <c r="D177" s="916"/>
      <c r="E177" s="207">
        <f>140.4+3.15</f>
        <v>143.55</v>
      </c>
      <c r="F177" s="335"/>
      <c r="G177" s="335"/>
      <c r="H177" s="335"/>
      <c r="I177" s="336"/>
      <c r="J177" s="337"/>
      <c r="K177" s="672"/>
      <c r="L177" s="672"/>
      <c r="M177" s="672"/>
      <c r="N177" s="672"/>
      <c r="O177" s="672"/>
      <c r="P177" s="672"/>
      <c r="Q177" s="673"/>
      <c r="R177" s="508"/>
      <c r="S177" s="508"/>
      <c r="T177" s="508"/>
    </row>
    <row r="178" spans="1:20" s="22" customFormat="1" ht="21.75" customHeight="1">
      <c r="A178" s="196" t="s">
        <v>2397</v>
      </c>
      <c r="B178" s="197" t="s">
        <v>961</v>
      </c>
      <c r="C178" s="199" t="s">
        <v>962</v>
      </c>
      <c r="D178" s="917" t="s">
        <v>2761</v>
      </c>
      <c r="E178" s="198" t="s">
        <v>1748</v>
      </c>
      <c r="F178" s="332">
        <f>E179</f>
        <v>36.809999999999995</v>
      </c>
      <c r="G178" s="332"/>
      <c r="H178" s="332">
        <f>F178*G178</f>
        <v>0</v>
      </c>
      <c r="I178" s="333">
        <v>0.023</v>
      </c>
      <c r="J178" s="334">
        <f>F178*I178</f>
        <v>0.8466299999999999</v>
      </c>
      <c r="K178" s="693"/>
      <c r="L178" s="693"/>
      <c r="M178" s="693"/>
      <c r="N178" s="693"/>
      <c r="O178" s="693"/>
      <c r="P178" s="693"/>
      <c r="Q178" s="694"/>
      <c r="R178" s="509"/>
      <c r="S178" s="509"/>
      <c r="T178" s="509"/>
    </row>
    <row r="179" spans="1:20" s="130" customFormat="1" ht="16.5" customHeight="1">
      <c r="A179" s="204"/>
      <c r="B179" s="205"/>
      <c r="C179" s="206" t="s">
        <v>1176</v>
      </c>
      <c r="D179" s="916"/>
      <c r="E179" s="207">
        <f>16.65+10.08+10.08</f>
        <v>36.809999999999995</v>
      </c>
      <c r="F179" s="335"/>
      <c r="G179" s="335"/>
      <c r="H179" s="335"/>
      <c r="I179" s="336"/>
      <c r="J179" s="337"/>
      <c r="K179" s="672"/>
      <c r="L179" s="672"/>
      <c r="M179" s="672"/>
      <c r="N179" s="672"/>
      <c r="O179" s="672"/>
      <c r="P179" s="672"/>
      <c r="Q179" s="673"/>
      <c r="R179" s="508"/>
      <c r="S179" s="508"/>
      <c r="T179" s="508"/>
    </row>
    <row r="180" spans="1:20" s="22" customFormat="1" ht="21.75" customHeight="1">
      <c r="A180" s="196"/>
      <c r="B180" s="197"/>
      <c r="C180" s="199"/>
      <c r="D180" s="917"/>
      <c r="E180" s="198"/>
      <c r="F180" s="332"/>
      <c r="G180" s="332"/>
      <c r="H180" s="332"/>
      <c r="I180" s="333"/>
      <c r="J180" s="334"/>
      <c r="K180" s="693"/>
      <c r="L180" s="693"/>
      <c r="M180" s="693"/>
      <c r="N180" s="693"/>
      <c r="O180" s="693"/>
      <c r="P180" s="693"/>
      <c r="Q180" s="694"/>
      <c r="R180" s="509"/>
      <c r="S180" s="509"/>
      <c r="T180" s="509"/>
    </row>
    <row r="181" spans="1:20" s="22" customFormat="1" ht="21.75" customHeight="1">
      <c r="A181" s="196" t="s">
        <v>2401</v>
      </c>
      <c r="B181" s="197" t="s">
        <v>2439</v>
      </c>
      <c r="C181" s="199" t="s">
        <v>2440</v>
      </c>
      <c r="D181" s="917" t="s">
        <v>2761</v>
      </c>
      <c r="E181" s="198" t="s">
        <v>1718</v>
      </c>
      <c r="F181" s="332">
        <v>1</v>
      </c>
      <c r="G181" s="332"/>
      <c r="H181" s="332">
        <f>F181*G181</f>
        <v>0</v>
      </c>
      <c r="I181" s="333">
        <v>0</v>
      </c>
      <c r="J181" s="334">
        <f>F181*I181</f>
        <v>0</v>
      </c>
      <c r="K181" s="693"/>
      <c r="L181" s="693"/>
      <c r="M181" s="693"/>
      <c r="N181" s="693"/>
      <c r="O181" s="693"/>
      <c r="P181" s="693"/>
      <c r="Q181" s="694"/>
      <c r="R181" s="509"/>
      <c r="S181" s="509"/>
      <c r="T181" s="509"/>
    </row>
    <row r="182" spans="1:20" s="22" customFormat="1" ht="21.75" customHeight="1">
      <c r="A182" s="196" t="s">
        <v>2405</v>
      </c>
      <c r="B182" s="197" t="s">
        <v>2445</v>
      </c>
      <c r="C182" s="199" t="s">
        <v>2446</v>
      </c>
      <c r="D182" s="917" t="s">
        <v>2761</v>
      </c>
      <c r="E182" s="198" t="s">
        <v>1748</v>
      </c>
      <c r="F182" s="332">
        <v>4.41</v>
      </c>
      <c r="G182" s="332"/>
      <c r="H182" s="332">
        <f>F182*G182</f>
        <v>0</v>
      </c>
      <c r="I182" s="333">
        <v>0.067</v>
      </c>
      <c r="J182" s="334">
        <f>F182*I182</f>
        <v>0.29547</v>
      </c>
      <c r="K182" s="693"/>
      <c r="L182" s="693"/>
      <c r="M182" s="693"/>
      <c r="N182" s="693"/>
      <c r="O182" s="693"/>
      <c r="P182" s="693"/>
      <c r="Q182" s="694"/>
      <c r="R182" s="509"/>
      <c r="S182" s="509"/>
      <c r="T182" s="509"/>
    </row>
    <row r="183" spans="1:20" s="22" customFormat="1" ht="12.75" customHeight="1">
      <c r="A183" s="196"/>
      <c r="B183" s="197"/>
      <c r="C183" s="199"/>
      <c r="D183" s="917"/>
      <c r="E183" s="198"/>
      <c r="F183" s="332"/>
      <c r="G183" s="332"/>
      <c r="H183" s="332"/>
      <c r="I183" s="333"/>
      <c r="J183" s="334"/>
      <c r="K183" s="693"/>
      <c r="L183" s="693"/>
      <c r="M183" s="693"/>
      <c r="N183" s="693"/>
      <c r="O183" s="693"/>
      <c r="P183" s="693"/>
      <c r="Q183" s="694"/>
      <c r="R183" s="509"/>
      <c r="S183" s="509"/>
      <c r="T183" s="509"/>
    </row>
    <row r="184" spans="1:20" s="22" customFormat="1" ht="21.75" customHeight="1">
      <c r="A184" s="196" t="s">
        <v>2409</v>
      </c>
      <c r="B184" s="197" t="s">
        <v>975</v>
      </c>
      <c r="C184" s="199" t="s">
        <v>976</v>
      </c>
      <c r="D184" s="917" t="s">
        <v>2761</v>
      </c>
      <c r="E184" s="198" t="s">
        <v>1826</v>
      </c>
      <c r="F184" s="332">
        <v>45.44</v>
      </c>
      <c r="G184" s="332"/>
      <c r="H184" s="332">
        <f aca="true" t="shared" si="13" ref="H184:H196">F184*G184</f>
        <v>0</v>
      </c>
      <c r="I184" s="333">
        <v>0.037</v>
      </c>
      <c r="J184" s="334">
        <f t="shared" si="12"/>
        <v>1.6812799999999999</v>
      </c>
      <c r="K184" s="693"/>
      <c r="L184" s="693"/>
      <c r="M184" s="693"/>
      <c r="N184" s="693"/>
      <c r="O184" s="693"/>
      <c r="P184" s="693"/>
      <c r="Q184" s="694"/>
      <c r="R184" s="509"/>
      <c r="S184" s="509"/>
      <c r="T184" s="509"/>
    </row>
    <row r="185" spans="1:20" s="22" customFormat="1" ht="21.75" customHeight="1">
      <c r="A185" s="196" t="s">
        <v>2412</v>
      </c>
      <c r="B185" s="197" t="s">
        <v>2483</v>
      </c>
      <c r="C185" s="199" t="s">
        <v>2484</v>
      </c>
      <c r="D185" s="917" t="s">
        <v>2761</v>
      </c>
      <c r="E185" s="198" t="s">
        <v>1831</v>
      </c>
      <c r="F185" s="332">
        <v>4</v>
      </c>
      <c r="G185" s="332"/>
      <c r="H185" s="332">
        <f t="shared" si="13"/>
        <v>0</v>
      </c>
      <c r="I185" s="333">
        <v>0.037</v>
      </c>
      <c r="J185" s="334">
        <f t="shared" si="12"/>
        <v>0.148</v>
      </c>
      <c r="K185" s="693"/>
      <c r="L185" s="693"/>
      <c r="M185" s="693"/>
      <c r="N185" s="693"/>
      <c r="O185" s="693"/>
      <c r="P185" s="693"/>
      <c r="Q185" s="694"/>
      <c r="R185" s="509"/>
      <c r="S185" s="509"/>
      <c r="T185" s="509"/>
    </row>
    <row r="186" spans="1:20" s="22" customFormat="1" ht="21.75" customHeight="1">
      <c r="A186" s="196" t="s">
        <v>2414</v>
      </c>
      <c r="B186" s="197" t="s">
        <v>2486</v>
      </c>
      <c r="C186" s="199" t="s">
        <v>2487</v>
      </c>
      <c r="D186" s="917" t="s">
        <v>2761</v>
      </c>
      <c r="E186" s="198" t="s">
        <v>2488</v>
      </c>
      <c r="F186" s="332">
        <v>142</v>
      </c>
      <c r="G186" s="332"/>
      <c r="H186" s="332">
        <f t="shared" si="13"/>
        <v>0</v>
      </c>
      <c r="I186" s="333">
        <v>0.001</v>
      </c>
      <c r="J186" s="334">
        <f t="shared" si="12"/>
        <v>0.14200000000000002</v>
      </c>
      <c r="K186" s="693"/>
      <c r="L186" s="693"/>
      <c r="M186" s="693"/>
      <c r="N186" s="693"/>
      <c r="O186" s="693"/>
      <c r="P186" s="693"/>
      <c r="Q186" s="694"/>
      <c r="R186" s="509"/>
      <c r="S186" s="509"/>
      <c r="T186" s="509"/>
    </row>
    <row r="187" spans="1:20" s="22" customFormat="1" ht="21.75" customHeight="1">
      <c r="A187" s="196" t="s">
        <v>2418</v>
      </c>
      <c r="B187" s="197" t="s">
        <v>2490</v>
      </c>
      <c r="C187" s="199" t="s">
        <v>2491</v>
      </c>
      <c r="D187" s="917" t="s">
        <v>2761</v>
      </c>
      <c r="E187" s="198" t="s">
        <v>1826</v>
      </c>
      <c r="F187" s="332">
        <f>129.1</f>
        <v>129.1</v>
      </c>
      <c r="G187" s="332"/>
      <c r="H187" s="332">
        <f t="shared" si="13"/>
        <v>0</v>
      </c>
      <c r="I187" s="333">
        <v>0.00135</v>
      </c>
      <c r="J187" s="334">
        <f t="shared" si="12"/>
        <v>0.174285</v>
      </c>
      <c r="K187" s="693"/>
      <c r="L187" s="693"/>
      <c r="M187" s="693"/>
      <c r="N187" s="693"/>
      <c r="O187" s="693"/>
      <c r="P187" s="693"/>
      <c r="Q187" s="694"/>
      <c r="R187" s="509"/>
      <c r="S187" s="509"/>
      <c r="T187" s="509"/>
    </row>
    <row r="188" spans="1:20" s="22" customFormat="1" ht="21.75" customHeight="1">
      <c r="A188" s="196" t="s">
        <v>2422</v>
      </c>
      <c r="B188" s="197" t="s">
        <v>2493</v>
      </c>
      <c r="C188" s="199" t="s">
        <v>2494</v>
      </c>
      <c r="D188" s="917" t="s">
        <v>2761</v>
      </c>
      <c r="E188" s="198" t="s">
        <v>1826</v>
      </c>
      <c r="F188" s="332">
        <f>68.8+102.4+6+16.2</f>
        <v>193.39999999999998</v>
      </c>
      <c r="G188" s="332"/>
      <c r="H188" s="332">
        <f t="shared" si="13"/>
        <v>0</v>
      </c>
      <c r="I188" s="333">
        <v>0.00175</v>
      </c>
      <c r="J188" s="334">
        <f t="shared" si="12"/>
        <v>0.33845</v>
      </c>
      <c r="K188" s="693"/>
      <c r="L188" s="693"/>
      <c r="M188" s="693"/>
      <c r="N188" s="693"/>
      <c r="O188" s="693"/>
      <c r="P188" s="693"/>
      <c r="Q188" s="694"/>
      <c r="R188" s="509"/>
      <c r="S188" s="509"/>
      <c r="T188" s="509"/>
    </row>
    <row r="189" spans="1:20" s="22" customFormat="1" ht="21.75" customHeight="1">
      <c r="A189" s="196" t="s">
        <v>2426</v>
      </c>
      <c r="B189" s="197" t="s">
        <v>2496</v>
      </c>
      <c r="C189" s="199" t="s">
        <v>2497</v>
      </c>
      <c r="D189" s="917" t="s">
        <v>2761</v>
      </c>
      <c r="E189" s="198" t="s">
        <v>1826</v>
      </c>
      <c r="F189" s="332">
        <v>21.5</v>
      </c>
      <c r="G189" s="332"/>
      <c r="H189" s="332">
        <f t="shared" si="13"/>
        <v>0</v>
      </c>
      <c r="I189" s="333">
        <v>0.00395</v>
      </c>
      <c r="J189" s="334">
        <f t="shared" si="12"/>
        <v>0.08492500000000001</v>
      </c>
      <c r="K189" s="693"/>
      <c r="L189" s="693"/>
      <c r="M189" s="693"/>
      <c r="N189" s="693"/>
      <c r="O189" s="693"/>
      <c r="P189" s="693"/>
      <c r="Q189" s="694"/>
      <c r="R189" s="509"/>
      <c r="S189" s="509"/>
      <c r="T189" s="509"/>
    </row>
    <row r="190" spans="1:20" s="22" customFormat="1" ht="21.75" customHeight="1">
      <c r="A190" s="196" t="s">
        <v>2430</v>
      </c>
      <c r="B190" s="197" t="s">
        <v>2499</v>
      </c>
      <c r="C190" s="199" t="s">
        <v>2500</v>
      </c>
      <c r="D190" s="917" t="s">
        <v>2761</v>
      </c>
      <c r="E190" s="198" t="s">
        <v>1826</v>
      </c>
      <c r="F190" s="332">
        <f>7.5+5.8+86.5+83.5+63.5</f>
        <v>246.8</v>
      </c>
      <c r="G190" s="332"/>
      <c r="H190" s="332">
        <f t="shared" si="13"/>
        <v>0</v>
      </c>
      <c r="I190" s="333">
        <v>0.0023</v>
      </c>
      <c r="J190" s="334">
        <f t="shared" si="12"/>
        <v>0.56764</v>
      </c>
      <c r="K190" s="693"/>
      <c r="L190" s="693"/>
      <c r="M190" s="693"/>
      <c r="N190" s="693"/>
      <c r="O190" s="693"/>
      <c r="P190" s="693"/>
      <c r="Q190" s="694"/>
      <c r="R190" s="509"/>
      <c r="S190" s="509"/>
      <c r="T190" s="509"/>
    </row>
    <row r="191" spans="1:20" s="22" customFormat="1" ht="21.75" customHeight="1">
      <c r="A191" s="196" t="s">
        <v>2434</v>
      </c>
      <c r="B191" s="197" t="s">
        <v>782</v>
      </c>
      <c r="C191" s="199" t="s">
        <v>783</v>
      </c>
      <c r="D191" s="917" t="s">
        <v>2761</v>
      </c>
      <c r="E191" s="198" t="s">
        <v>1826</v>
      </c>
      <c r="F191" s="332">
        <v>66.5</v>
      </c>
      <c r="G191" s="332"/>
      <c r="H191" s="332">
        <f t="shared" si="13"/>
        <v>0</v>
      </c>
      <c r="I191" s="333">
        <v>0.00392</v>
      </c>
      <c r="J191" s="334">
        <f t="shared" si="12"/>
        <v>0.26067999999999997</v>
      </c>
      <c r="K191" s="693"/>
      <c r="L191" s="693"/>
      <c r="M191" s="693"/>
      <c r="N191" s="693"/>
      <c r="O191" s="693"/>
      <c r="P191" s="693"/>
      <c r="Q191" s="694"/>
      <c r="R191" s="509"/>
      <c r="S191" s="509"/>
      <c r="T191" s="509"/>
    </row>
    <row r="192" spans="1:20" s="22" customFormat="1" ht="21.75" customHeight="1">
      <c r="A192" s="196" t="s">
        <v>2438</v>
      </c>
      <c r="B192" s="197" t="s">
        <v>2508</v>
      </c>
      <c r="C192" s="199" t="s">
        <v>2509</v>
      </c>
      <c r="D192" s="917" t="s">
        <v>2821</v>
      </c>
      <c r="E192" s="198" t="s">
        <v>1826</v>
      </c>
      <c r="F192" s="332">
        <f>3+26.2</f>
        <v>29.2</v>
      </c>
      <c r="G192" s="332"/>
      <c r="H192" s="332">
        <f t="shared" si="13"/>
        <v>0</v>
      </c>
      <c r="I192" s="333">
        <v>0.00324</v>
      </c>
      <c r="J192" s="334">
        <f t="shared" si="12"/>
        <v>0.094608</v>
      </c>
      <c r="K192" s="693"/>
      <c r="L192" s="693"/>
      <c r="M192" s="693"/>
      <c r="N192" s="693"/>
      <c r="O192" s="693"/>
      <c r="P192" s="693"/>
      <c r="Q192" s="694"/>
      <c r="R192" s="509"/>
      <c r="S192" s="509"/>
      <c r="T192" s="509"/>
    </row>
    <row r="193" spans="1:20" s="22" customFormat="1" ht="21.75" customHeight="1">
      <c r="A193" s="196" t="s">
        <v>2441</v>
      </c>
      <c r="B193" s="197" t="s">
        <v>2511</v>
      </c>
      <c r="C193" s="199" t="s">
        <v>2512</v>
      </c>
      <c r="D193" s="917" t="s">
        <v>2821</v>
      </c>
      <c r="E193" s="198" t="s">
        <v>2513</v>
      </c>
      <c r="F193" s="332">
        <v>54</v>
      </c>
      <c r="G193" s="332"/>
      <c r="H193" s="332">
        <f t="shared" si="13"/>
        <v>0</v>
      </c>
      <c r="I193" s="333">
        <v>0.00285</v>
      </c>
      <c r="J193" s="334">
        <f t="shared" si="12"/>
        <v>0.1539</v>
      </c>
      <c r="K193" s="693"/>
      <c r="L193" s="693"/>
      <c r="M193" s="693"/>
      <c r="N193" s="693"/>
      <c r="O193" s="693"/>
      <c r="P193" s="693"/>
      <c r="Q193" s="694"/>
      <c r="R193" s="509"/>
      <c r="S193" s="509"/>
      <c r="T193" s="509"/>
    </row>
    <row r="194" spans="1:20" s="22" customFormat="1" ht="21.75" customHeight="1">
      <c r="A194" s="196" t="s">
        <v>2444</v>
      </c>
      <c r="B194" s="197" t="s">
        <v>2515</v>
      </c>
      <c r="C194" s="199" t="s">
        <v>2516</v>
      </c>
      <c r="D194" s="917" t="s">
        <v>2821</v>
      </c>
      <c r="E194" s="198" t="s">
        <v>1831</v>
      </c>
      <c r="F194" s="332">
        <v>4</v>
      </c>
      <c r="G194" s="332"/>
      <c r="H194" s="332">
        <f t="shared" si="13"/>
        <v>0</v>
      </c>
      <c r="I194" s="333">
        <v>0.03522</v>
      </c>
      <c r="J194" s="334">
        <f t="shared" si="12"/>
        <v>0.14088</v>
      </c>
      <c r="K194" s="693"/>
      <c r="L194" s="693"/>
      <c r="M194" s="693"/>
      <c r="N194" s="693"/>
      <c r="O194" s="693"/>
      <c r="P194" s="693"/>
      <c r="Q194" s="694"/>
      <c r="R194" s="509"/>
      <c r="S194" s="509"/>
      <c r="T194" s="509"/>
    </row>
    <row r="195" spans="1:20" s="22" customFormat="1" ht="18.75" customHeight="1">
      <c r="A195" s="196" t="s">
        <v>2448</v>
      </c>
      <c r="B195" s="197" t="s">
        <v>2523</v>
      </c>
      <c r="C195" s="199" t="s">
        <v>2524</v>
      </c>
      <c r="D195" s="917" t="s">
        <v>2525</v>
      </c>
      <c r="E195" s="198" t="s">
        <v>1831</v>
      </c>
      <c r="F195" s="332">
        <v>16</v>
      </c>
      <c r="G195" s="332"/>
      <c r="H195" s="332">
        <f t="shared" si="13"/>
        <v>0</v>
      </c>
      <c r="I195" s="333">
        <v>0.00463</v>
      </c>
      <c r="J195" s="334">
        <f>F195*I195</f>
        <v>0.07408</v>
      </c>
      <c r="K195" s="509"/>
      <c r="L195" s="509"/>
      <c r="M195" s="509"/>
      <c r="N195" s="509"/>
      <c r="O195" s="509"/>
      <c r="P195" s="509"/>
      <c r="Q195" s="509"/>
      <c r="R195" s="509"/>
      <c r="S195" s="509"/>
      <c r="T195" s="509"/>
    </row>
    <row r="196" spans="1:20" s="22" customFormat="1" ht="21.75" customHeight="1">
      <c r="A196" s="196" t="s">
        <v>2452</v>
      </c>
      <c r="B196" s="197" t="s">
        <v>2518</v>
      </c>
      <c r="C196" s="199" t="s">
        <v>2519</v>
      </c>
      <c r="D196" s="917" t="s">
        <v>2821</v>
      </c>
      <c r="E196" s="198" t="s">
        <v>1748</v>
      </c>
      <c r="F196" s="332">
        <f>E197</f>
        <v>522.45</v>
      </c>
      <c r="G196" s="332"/>
      <c r="H196" s="332">
        <f t="shared" si="13"/>
        <v>0</v>
      </c>
      <c r="I196" s="333">
        <v>0.00732</v>
      </c>
      <c r="J196" s="334">
        <f>F196*I196</f>
        <v>3.8243340000000003</v>
      </c>
      <c r="K196" s="509"/>
      <c r="L196" s="509"/>
      <c r="M196" s="509"/>
      <c r="N196" s="509"/>
      <c r="O196" s="509"/>
      <c r="P196" s="509"/>
      <c r="Q196" s="509"/>
      <c r="R196" s="509"/>
      <c r="S196" s="509"/>
      <c r="T196" s="509"/>
    </row>
    <row r="197" spans="1:20" s="130" customFormat="1" ht="18.75" customHeight="1">
      <c r="A197" s="204"/>
      <c r="B197" s="205"/>
      <c r="C197" s="206" t="s">
        <v>977</v>
      </c>
      <c r="D197" s="916"/>
      <c r="E197" s="207">
        <f>475.45+47</f>
        <v>522.45</v>
      </c>
      <c r="F197" s="335"/>
      <c r="G197" s="335"/>
      <c r="H197" s="335"/>
      <c r="I197" s="336"/>
      <c r="J197" s="337"/>
      <c r="K197" s="508"/>
      <c r="L197" s="508"/>
      <c r="M197" s="508"/>
      <c r="N197" s="508"/>
      <c r="O197" s="508"/>
      <c r="P197" s="508"/>
      <c r="Q197" s="508"/>
      <c r="R197" s="508"/>
      <c r="S197" s="508"/>
      <c r="T197" s="508"/>
    </row>
    <row r="198" spans="1:20" s="22" customFormat="1" ht="20.25" customHeight="1">
      <c r="A198" s="196" t="s">
        <v>2455</v>
      </c>
      <c r="B198" s="197" t="s">
        <v>2474</v>
      </c>
      <c r="C198" s="199" t="s">
        <v>2475</v>
      </c>
      <c r="D198" s="917" t="s">
        <v>2792</v>
      </c>
      <c r="E198" s="198" t="s">
        <v>1748</v>
      </c>
      <c r="F198" s="332">
        <f>SUM(E199)</f>
        <v>430.95</v>
      </c>
      <c r="G198" s="332"/>
      <c r="H198" s="332">
        <f>F198*G198</f>
        <v>0</v>
      </c>
      <c r="I198" s="333">
        <v>0.045</v>
      </c>
      <c r="J198" s="334">
        <f>F198*I198</f>
        <v>19.39275</v>
      </c>
      <c r="K198" s="509"/>
      <c r="L198" s="509"/>
      <c r="M198" s="509"/>
      <c r="N198" s="509"/>
      <c r="O198" s="509"/>
      <c r="P198" s="509"/>
      <c r="Q198" s="509"/>
      <c r="R198" s="509"/>
      <c r="S198" s="509"/>
      <c r="T198" s="509"/>
    </row>
    <row r="199" spans="1:20" s="130" customFormat="1" ht="18.75" customHeight="1">
      <c r="A199" s="204"/>
      <c r="B199" s="205"/>
      <c r="C199" s="206" t="s">
        <v>892</v>
      </c>
      <c r="D199" s="916"/>
      <c r="E199" s="207">
        <v>430.95</v>
      </c>
      <c r="F199" s="335"/>
      <c r="G199" s="335"/>
      <c r="H199" s="335"/>
      <c r="I199" s="336"/>
      <c r="J199" s="337"/>
      <c r="K199" s="672"/>
      <c r="L199" s="672"/>
      <c r="M199" s="672"/>
      <c r="N199" s="672"/>
      <c r="O199" s="672"/>
      <c r="P199" s="672"/>
      <c r="Q199" s="673"/>
      <c r="R199" s="508"/>
      <c r="S199" s="672"/>
      <c r="T199" s="508"/>
    </row>
    <row r="200" spans="1:20" s="22" customFormat="1" ht="21.75" customHeight="1">
      <c r="A200" s="196" t="s">
        <v>2465</v>
      </c>
      <c r="B200" s="197" t="s">
        <v>971</v>
      </c>
      <c r="C200" s="199" t="s">
        <v>972</v>
      </c>
      <c r="D200" s="917" t="s">
        <v>2817</v>
      </c>
      <c r="E200" s="198" t="s">
        <v>1826</v>
      </c>
      <c r="F200" s="332">
        <v>98</v>
      </c>
      <c r="G200" s="332"/>
      <c r="H200" s="332">
        <f aca="true" t="shared" si="14" ref="H200:H210">F200*G200</f>
        <v>0</v>
      </c>
      <c r="I200" s="333">
        <v>0</v>
      </c>
      <c r="J200" s="334">
        <f>F200*I200</f>
        <v>0</v>
      </c>
      <c r="K200" s="693"/>
      <c r="L200" s="693"/>
      <c r="M200" s="693"/>
      <c r="N200" s="693"/>
      <c r="O200" s="693"/>
      <c r="P200" s="693"/>
      <c r="Q200" s="694"/>
      <c r="R200" s="509"/>
      <c r="S200" s="509"/>
      <c r="T200" s="509"/>
    </row>
    <row r="201" spans="1:20" s="22" customFormat="1" ht="21.75" customHeight="1">
      <c r="A201" s="196" t="s">
        <v>2468</v>
      </c>
      <c r="B201" s="197" t="s">
        <v>973</v>
      </c>
      <c r="C201" s="199" t="s">
        <v>974</v>
      </c>
      <c r="D201" s="917" t="s">
        <v>2817</v>
      </c>
      <c r="E201" s="198" t="s">
        <v>1748</v>
      </c>
      <c r="F201" s="332">
        <v>92</v>
      </c>
      <c r="G201" s="332"/>
      <c r="H201" s="332">
        <f t="shared" si="14"/>
        <v>0</v>
      </c>
      <c r="I201" s="333">
        <v>0.181</v>
      </c>
      <c r="J201" s="334">
        <f>F201*I201</f>
        <v>16.652</v>
      </c>
      <c r="K201" s="693"/>
      <c r="L201" s="693"/>
      <c r="M201" s="693"/>
      <c r="N201" s="693"/>
      <c r="O201" s="693"/>
      <c r="P201" s="693"/>
      <c r="Q201" s="694"/>
      <c r="R201" s="509"/>
      <c r="S201" s="509"/>
      <c r="T201" s="509"/>
    </row>
    <row r="202" spans="1:20" s="22" customFormat="1" ht="21.75" customHeight="1">
      <c r="A202" s="196" t="s">
        <v>2473</v>
      </c>
      <c r="B202" s="197" t="s">
        <v>2527</v>
      </c>
      <c r="C202" s="199" t="s">
        <v>2528</v>
      </c>
      <c r="D202" s="917"/>
      <c r="E202" s="198" t="s">
        <v>1783</v>
      </c>
      <c r="F202" s="332">
        <f>F203*0.85</f>
        <v>64.67662920000001</v>
      </c>
      <c r="G202" s="332"/>
      <c r="H202" s="332">
        <f t="shared" si="14"/>
        <v>0</v>
      </c>
      <c r="I202" s="333">
        <v>0</v>
      </c>
      <c r="J202" s="334"/>
      <c r="K202" s="509"/>
      <c r="L202" s="509"/>
      <c r="M202" s="509"/>
      <c r="N202" s="509"/>
      <c r="O202" s="509"/>
      <c r="P202" s="509"/>
      <c r="Q202" s="509"/>
      <c r="R202" s="509"/>
      <c r="S202" s="509"/>
      <c r="T202" s="509"/>
    </row>
    <row r="203" spans="1:20" s="22" customFormat="1" ht="21.75" customHeight="1">
      <c r="A203" s="196" t="s">
        <v>2476</v>
      </c>
      <c r="B203" s="197" t="s">
        <v>2530</v>
      </c>
      <c r="C203" s="199" t="s">
        <v>2531</v>
      </c>
      <c r="D203" s="917"/>
      <c r="E203" s="198" t="s">
        <v>1783</v>
      </c>
      <c r="F203" s="332">
        <f>J162</f>
        <v>76.09015200000002</v>
      </c>
      <c r="G203" s="332"/>
      <c r="H203" s="332">
        <f t="shared" si="14"/>
        <v>0</v>
      </c>
      <c r="I203" s="333">
        <v>0</v>
      </c>
      <c r="J203" s="334"/>
      <c r="K203" s="509"/>
      <c r="L203" s="509"/>
      <c r="M203" s="509"/>
      <c r="N203" s="509"/>
      <c r="O203" s="509"/>
      <c r="P203" s="509"/>
      <c r="Q203" s="509"/>
      <c r="R203" s="509"/>
      <c r="S203" s="509"/>
      <c r="T203" s="509"/>
    </row>
    <row r="204" spans="1:20" s="22" customFormat="1" ht="21.75" customHeight="1">
      <c r="A204" s="196" t="s">
        <v>2482</v>
      </c>
      <c r="B204" s="197" t="s">
        <v>2533</v>
      </c>
      <c r="C204" s="199" t="s">
        <v>2534</v>
      </c>
      <c r="D204" s="917"/>
      <c r="E204" s="198" t="s">
        <v>1783</v>
      </c>
      <c r="F204" s="332">
        <f>F203</f>
        <v>76.09015200000002</v>
      </c>
      <c r="G204" s="332"/>
      <c r="H204" s="332">
        <f t="shared" si="14"/>
        <v>0</v>
      </c>
      <c r="I204" s="333">
        <v>0</v>
      </c>
      <c r="J204" s="334"/>
      <c r="K204" s="509"/>
      <c r="L204" s="509"/>
      <c r="M204" s="509"/>
      <c r="N204" s="509"/>
      <c r="O204" s="509"/>
      <c r="P204" s="509"/>
      <c r="Q204" s="509"/>
      <c r="R204" s="509"/>
      <c r="S204" s="509"/>
      <c r="T204" s="509"/>
    </row>
    <row r="205" spans="1:20" s="22" customFormat="1" ht="21.75" customHeight="1">
      <c r="A205" s="196" t="s">
        <v>2485</v>
      </c>
      <c r="B205" s="197" t="s">
        <v>2536</v>
      </c>
      <c r="C205" s="199" t="s">
        <v>2537</v>
      </c>
      <c r="D205" s="917"/>
      <c r="E205" s="198" t="s">
        <v>1783</v>
      </c>
      <c r="F205" s="332">
        <f>F203</f>
        <v>76.09015200000002</v>
      </c>
      <c r="G205" s="332"/>
      <c r="H205" s="332">
        <f t="shared" si="14"/>
        <v>0</v>
      </c>
      <c r="I205" s="333">
        <v>0</v>
      </c>
      <c r="J205" s="334"/>
      <c r="K205" s="509"/>
      <c r="L205" s="509"/>
      <c r="M205" s="509"/>
      <c r="N205" s="509"/>
      <c r="O205" s="509"/>
      <c r="P205" s="509"/>
      <c r="Q205" s="509"/>
      <c r="R205" s="509"/>
      <c r="S205" s="509"/>
      <c r="T205" s="509"/>
    </row>
    <row r="206" spans="1:20" s="22" customFormat="1" ht="21.75" customHeight="1">
      <c r="A206" s="196" t="s">
        <v>2489</v>
      </c>
      <c r="B206" s="197" t="s">
        <v>2539</v>
      </c>
      <c r="C206" s="199" t="s">
        <v>2540</v>
      </c>
      <c r="D206" s="917"/>
      <c r="E206" s="198" t="s">
        <v>1783</v>
      </c>
      <c r="F206" s="332">
        <f>F203*14</f>
        <v>1065.2621280000003</v>
      </c>
      <c r="G206" s="332"/>
      <c r="H206" s="332">
        <f t="shared" si="14"/>
        <v>0</v>
      </c>
      <c r="I206" s="333">
        <v>0</v>
      </c>
      <c r="J206" s="334"/>
      <c r="K206" s="509"/>
      <c r="L206" s="509"/>
      <c r="M206" s="509"/>
      <c r="N206" s="509"/>
      <c r="O206" s="509"/>
      <c r="P206" s="509"/>
      <c r="Q206" s="509"/>
      <c r="R206" s="509"/>
      <c r="S206" s="509"/>
      <c r="T206" s="509"/>
    </row>
    <row r="207" spans="1:20" s="22" customFormat="1" ht="21.75" customHeight="1">
      <c r="A207" s="854" t="s">
        <v>2492</v>
      </c>
      <c r="B207" s="855" t="s">
        <v>2542</v>
      </c>
      <c r="C207" s="856" t="s">
        <v>2543</v>
      </c>
      <c r="D207" s="975"/>
      <c r="E207" s="857" t="s">
        <v>1783</v>
      </c>
      <c r="F207" s="875">
        <f>F204-F208-F209+F210</f>
        <v>46.10646000000001</v>
      </c>
      <c r="G207" s="858"/>
      <c r="H207" s="858">
        <f t="shared" si="14"/>
        <v>0</v>
      </c>
      <c r="I207" s="859">
        <v>0</v>
      </c>
      <c r="J207" s="860"/>
      <c r="K207" s="693"/>
      <c r="L207" s="693"/>
      <c r="M207" s="693"/>
      <c r="N207" s="693"/>
      <c r="O207" s="693"/>
      <c r="P207" s="693"/>
      <c r="Q207" s="694"/>
      <c r="R207" s="509"/>
      <c r="S207" s="509"/>
      <c r="T207" s="509"/>
    </row>
    <row r="208" spans="1:20" s="22" customFormat="1" ht="21.75" customHeight="1">
      <c r="A208" s="876" t="s">
        <v>2495</v>
      </c>
      <c r="B208" s="877" t="s">
        <v>2545</v>
      </c>
      <c r="C208" s="878" t="s">
        <v>1177</v>
      </c>
      <c r="D208" s="995"/>
      <c r="E208" s="879" t="s">
        <v>1783</v>
      </c>
      <c r="F208" s="880">
        <f>J201</f>
        <v>16.652</v>
      </c>
      <c r="G208" s="881"/>
      <c r="H208" s="881">
        <f t="shared" si="14"/>
        <v>0</v>
      </c>
      <c r="I208" s="882">
        <v>0</v>
      </c>
      <c r="J208" s="883"/>
      <c r="K208" s="509"/>
      <c r="L208" s="509"/>
      <c r="M208" s="509"/>
      <c r="N208" s="509"/>
      <c r="O208" s="509"/>
      <c r="P208" s="509"/>
      <c r="Q208" s="509"/>
      <c r="R208" s="509"/>
      <c r="S208" s="509"/>
      <c r="T208" s="509"/>
    </row>
    <row r="209" spans="1:10" s="847" customFormat="1" ht="21.75" customHeight="1">
      <c r="A209" s="868" t="s">
        <v>2526</v>
      </c>
      <c r="B209" s="869" t="s">
        <v>2743</v>
      </c>
      <c r="C209" s="870" t="s">
        <v>2744</v>
      </c>
      <c r="D209" s="990"/>
      <c r="E209" s="871" t="s">
        <v>1783</v>
      </c>
      <c r="F209" s="872">
        <f>J174+J176+J178+J182</f>
        <v>5.64663</v>
      </c>
      <c r="G209" s="872"/>
      <c r="H209" s="872">
        <f t="shared" si="14"/>
        <v>0</v>
      </c>
      <c r="I209" s="873"/>
      <c r="J209" s="874"/>
    </row>
    <row r="210" spans="1:10" s="847" customFormat="1" ht="21.75" customHeight="1">
      <c r="A210" s="861" t="s">
        <v>2529</v>
      </c>
      <c r="B210" s="862" t="s">
        <v>2745</v>
      </c>
      <c r="C210" s="863" t="s">
        <v>2746</v>
      </c>
      <c r="D210" s="976"/>
      <c r="E210" s="864" t="s">
        <v>1783</v>
      </c>
      <c r="F210" s="865">
        <f>(J184+J185+J186+J187+J188+J189+J190+J191+J192+J193+J194+J195+J196)*-1</f>
        <v>-7.685062</v>
      </c>
      <c r="G210" s="865"/>
      <c r="H210" s="865">
        <f t="shared" si="14"/>
        <v>0</v>
      </c>
      <c r="I210" s="866"/>
      <c r="J210" s="867"/>
    </row>
    <row r="211" spans="1:20" s="22" customFormat="1" ht="14.25" customHeight="1" thickBot="1">
      <c r="A211" s="255"/>
      <c r="B211" s="256"/>
      <c r="C211" s="264"/>
      <c r="D211" s="968"/>
      <c r="E211" s="257"/>
      <c r="F211" s="368"/>
      <c r="G211" s="368"/>
      <c r="H211" s="368"/>
      <c r="I211" s="369"/>
      <c r="J211" s="370"/>
      <c r="K211" s="509"/>
      <c r="L211" s="509"/>
      <c r="M211" s="509"/>
      <c r="N211" s="509"/>
      <c r="O211" s="509"/>
      <c r="P211" s="509"/>
      <c r="Q211" s="509"/>
      <c r="R211" s="509"/>
      <c r="S211" s="509"/>
      <c r="T211" s="509"/>
    </row>
    <row r="212" spans="1:20" ht="16.5" customHeight="1" thickBot="1">
      <c r="A212" s="266" t="s">
        <v>2547</v>
      </c>
      <c r="B212" s="175" t="s">
        <v>2548</v>
      </c>
      <c r="C212" s="176" t="s">
        <v>2549</v>
      </c>
      <c r="D212" s="1008"/>
      <c r="E212" s="175"/>
      <c r="F212" s="341"/>
      <c r="G212" s="341"/>
      <c r="H212" s="342">
        <f>SUM(H213:H246)</f>
        <v>0</v>
      </c>
      <c r="I212" s="343"/>
      <c r="J212" s="344">
        <f>SUM(J213:J245)</f>
        <v>0.5335270999999999</v>
      </c>
      <c r="K212" s="670"/>
      <c r="L212" s="670"/>
      <c r="M212" s="670"/>
      <c r="N212" s="670"/>
      <c r="O212" s="670"/>
      <c r="P212" s="670"/>
      <c r="Q212" s="670"/>
      <c r="R212" s="670"/>
      <c r="S212" s="670"/>
      <c r="T212" s="670"/>
    </row>
    <row r="213" spans="1:20" s="22" customFormat="1" ht="15.75" customHeight="1">
      <c r="A213" s="190"/>
      <c r="B213" s="191"/>
      <c r="C213" s="265"/>
      <c r="D213" s="964"/>
      <c r="E213" s="192"/>
      <c r="F213" s="345"/>
      <c r="G213" s="345"/>
      <c r="H213" s="345"/>
      <c r="I213" s="346"/>
      <c r="J213" s="347"/>
      <c r="K213" s="509"/>
      <c r="L213" s="509"/>
      <c r="M213" s="509"/>
      <c r="N213" s="509"/>
      <c r="O213" s="509"/>
      <c r="P213" s="509"/>
      <c r="Q213" s="509"/>
      <c r="R213" s="509"/>
      <c r="S213" s="509"/>
      <c r="T213" s="509"/>
    </row>
    <row r="214" spans="1:20" s="22" customFormat="1" ht="29.25" customHeight="1">
      <c r="A214" s="196" t="s">
        <v>2550</v>
      </c>
      <c r="B214" s="197" t="s">
        <v>2551</v>
      </c>
      <c r="C214" s="199" t="s">
        <v>2552</v>
      </c>
      <c r="D214" s="917" t="s">
        <v>2816</v>
      </c>
      <c r="E214" s="198" t="s">
        <v>1748</v>
      </c>
      <c r="F214" s="332">
        <f>E215</f>
        <v>46.944</v>
      </c>
      <c r="G214" s="332"/>
      <c r="H214" s="332">
        <f>F214*G214</f>
        <v>0</v>
      </c>
      <c r="I214" s="333">
        <v>0.00052</v>
      </c>
      <c r="J214" s="334">
        <f>F214*I214</f>
        <v>0.02441088</v>
      </c>
      <c r="K214" s="509"/>
      <c r="L214" s="509"/>
      <c r="M214" s="509"/>
      <c r="N214" s="509"/>
      <c r="O214" s="509"/>
      <c r="P214" s="509"/>
      <c r="Q214" s="509"/>
      <c r="R214" s="509"/>
      <c r="S214" s="509"/>
      <c r="T214" s="509"/>
    </row>
    <row r="215" spans="1:20" s="130" customFormat="1" ht="20.25" customHeight="1">
      <c r="A215" s="204"/>
      <c r="B215" s="224" t="s">
        <v>1749</v>
      </c>
      <c r="C215" s="205" t="s">
        <v>1141</v>
      </c>
      <c r="D215" s="916"/>
      <c r="E215" s="207">
        <f>(30.59)*0.6+(33.15+14.5)*0.6</f>
        <v>46.944</v>
      </c>
      <c r="F215" s="335"/>
      <c r="G215" s="335"/>
      <c r="H215" s="335"/>
      <c r="I215" s="336"/>
      <c r="J215" s="337"/>
      <c r="K215" s="672"/>
      <c r="L215" s="672"/>
      <c r="M215" s="672"/>
      <c r="N215" s="672"/>
      <c r="O215" s="672"/>
      <c r="P215" s="672"/>
      <c r="Q215" s="673"/>
      <c r="R215" s="508"/>
      <c r="S215" s="508"/>
      <c r="T215" s="508"/>
    </row>
    <row r="216" spans="1:20" s="22" customFormat="1" ht="22.5" customHeight="1">
      <c r="A216" s="196" t="s">
        <v>2554</v>
      </c>
      <c r="B216" s="197" t="s">
        <v>2555</v>
      </c>
      <c r="C216" s="199" t="s">
        <v>2556</v>
      </c>
      <c r="D216" s="917" t="s">
        <v>2816</v>
      </c>
      <c r="E216" s="198" t="s">
        <v>1748</v>
      </c>
      <c r="F216" s="332">
        <f>E217</f>
        <v>46.944</v>
      </c>
      <c r="G216" s="332"/>
      <c r="H216" s="332">
        <f>F216*G216</f>
        <v>0</v>
      </c>
      <c r="I216" s="333">
        <v>0.00058</v>
      </c>
      <c r="J216" s="334">
        <f>F216*I216</f>
        <v>0.02722752</v>
      </c>
      <c r="K216" s="693"/>
      <c r="L216" s="693"/>
      <c r="M216" s="693"/>
      <c r="N216" s="693"/>
      <c r="O216" s="693"/>
      <c r="P216" s="693"/>
      <c r="Q216" s="694"/>
      <c r="R216" s="509"/>
      <c r="S216" s="509"/>
      <c r="T216" s="509"/>
    </row>
    <row r="217" spans="1:20" s="130" customFormat="1" ht="20.25" customHeight="1">
      <c r="A217" s="204"/>
      <c r="B217" s="224" t="s">
        <v>1749</v>
      </c>
      <c r="C217" s="205" t="s">
        <v>1141</v>
      </c>
      <c r="D217" s="916"/>
      <c r="E217" s="207">
        <f>(30.59)*0.6+(33.15+14.5)*0.6</f>
        <v>46.944</v>
      </c>
      <c r="F217" s="335"/>
      <c r="G217" s="335"/>
      <c r="H217" s="335"/>
      <c r="I217" s="336"/>
      <c r="J217" s="337"/>
      <c r="K217" s="672"/>
      <c r="L217" s="672"/>
      <c r="M217" s="672"/>
      <c r="N217" s="672"/>
      <c r="O217" s="672"/>
      <c r="P217" s="672"/>
      <c r="Q217" s="673"/>
      <c r="R217" s="508"/>
      <c r="S217" s="508"/>
      <c r="T217" s="508"/>
    </row>
    <row r="218" spans="1:20" s="22" customFormat="1" ht="18" customHeight="1">
      <c r="A218" s="196" t="s">
        <v>2557</v>
      </c>
      <c r="B218" s="197" t="s">
        <v>2558</v>
      </c>
      <c r="C218" s="199" t="s">
        <v>2559</v>
      </c>
      <c r="D218" s="1177" t="s">
        <v>2816</v>
      </c>
      <c r="E218" s="198" t="s">
        <v>1748</v>
      </c>
      <c r="F218" s="1028">
        <f>E219</f>
        <v>60.73776</v>
      </c>
      <c r="G218" s="332"/>
      <c r="H218" s="332">
        <f>F218*G218</f>
        <v>0</v>
      </c>
      <c r="I218" s="333">
        <v>0.0045</v>
      </c>
      <c r="J218" s="334">
        <f>F218*I218</f>
        <v>0.27331992</v>
      </c>
      <c r="K218" s="693"/>
      <c r="L218" s="693"/>
      <c r="M218" s="693"/>
      <c r="N218" s="693"/>
      <c r="O218" s="693"/>
      <c r="P218" s="693"/>
      <c r="Q218" s="694"/>
      <c r="R218" s="509"/>
      <c r="S218" s="509"/>
      <c r="T218" s="509"/>
    </row>
    <row r="219" spans="1:20" s="130" customFormat="1" ht="20.25" customHeight="1">
      <c r="A219" s="204"/>
      <c r="B219" s="224" t="s">
        <v>1749</v>
      </c>
      <c r="C219" s="205" t="s">
        <v>2854</v>
      </c>
      <c r="D219" s="1176"/>
      <c r="E219" s="207">
        <f>((30.59)*0.6*1.2+(33.15+14.5)*0.6)*1.2</f>
        <v>60.73776</v>
      </c>
      <c r="F219" s="335"/>
      <c r="G219" s="335"/>
      <c r="H219" s="335"/>
      <c r="I219" s="336"/>
      <c r="J219" s="337"/>
      <c r="K219" s="672"/>
      <c r="L219" s="672"/>
      <c r="M219" s="672"/>
      <c r="N219" s="672"/>
      <c r="O219" s="672"/>
      <c r="P219" s="672"/>
      <c r="Q219" s="673"/>
      <c r="R219" s="508"/>
      <c r="S219" s="508"/>
      <c r="T219" s="508"/>
    </row>
    <row r="220" spans="1:20" s="22" customFormat="1" ht="15.75" customHeight="1">
      <c r="A220" s="196"/>
      <c r="B220" s="197"/>
      <c r="C220" s="199"/>
      <c r="D220" s="917"/>
      <c r="E220" s="198"/>
      <c r="F220" s="332"/>
      <c r="G220" s="332"/>
      <c r="H220" s="332"/>
      <c r="I220" s="333"/>
      <c r="J220" s="334"/>
      <c r="K220" s="693"/>
      <c r="L220" s="693"/>
      <c r="M220" s="693"/>
      <c r="N220" s="693"/>
      <c r="O220" s="693"/>
      <c r="P220" s="693"/>
      <c r="Q220" s="694"/>
      <c r="R220" s="509"/>
      <c r="S220" s="509"/>
      <c r="T220" s="509"/>
    </row>
    <row r="221" spans="1:20" s="22" customFormat="1" ht="26.25" customHeight="1">
      <c r="A221" s="196" t="s">
        <v>2560</v>
      </c>
      <c r="B221" s="197" t="s">
        <v>978</v>
      </c>
      <c r="C221" s="199" t="s">
        <v>979</v>
      </c>
      <c r="D221" s="917" t="s">
        <v>2816</v>
      </c>
      <c r="E221" s="198" t="s">
        <v>1748</v>
      </c>
      <c r="F221" s="332">
        <f>SUM(E222:E223)</f>
        <v>12.199000000000002</v>
      </c>
      <c r="G221" s="332"/>
      <c r="H221" s="332">
        <f>F221*G221</f>
        <v>0</v>
      </c>
      <c r="I221" s="333">
        <v>0.00017</v>
      </c>
      <c r="J221" s="334">
        <f>F221*I221</f>
        <v>0.0020738300000000005</v>
      </c>
      <c r="K221" s="693"/>
      <c r="L221" s="693"/>
      <c r="M221" s="693"/>
      <c r="N221" s="693"/>
      <c r="O221" s="693"/>
      <c r="P221" s="693"/>
      <c r="Q221" s="694"/>
      <c r="R221" s="509"/>
      <c r="S221" s="509"/>
      <c r="T221" s="509"/>
    </row>
    <row r="222" spans="1:20" s="130" customFormat="1" ht="22.5" customHeight="1">
      <c r="A222" s="204"/>
      <c r="B222" s="205" t="s">
        <v>878</v>
      </c>
      <c r="C222" s="206" t="s">
        <v>980</v>
      </c>
      <c r="D222" s="916"/>
      <c r="E222" s="207">
        <f>(2.36+3.33)*1.1</f>
        <v>6.259</v>
      </c>
      <c r="F222" s="335"/>
      <c r="G222" s="335"/>
      <c r="H222" s="335"/>
      <c r="I222" s="336"/>
      <c r="J222" s="337"/>
      <c r="K222" s="672"/>
      <c r="L222" s="672"/>
      <c r="M222" s="672"/>
      <c r="N222" s="672"/>
      <c r="O222" s="672"/>
      <c r="P222" s="672"/>
      <c r="Q222" s="673"/>
      <c r="R222" s="508"/>
      <c r="S222" s="508"/>
      <c r="T222" s="508"/>
    </row>
    <row r="223" spans="1:20" s="130" customFormat="1" ht="22.5" customHeight="1">
      <c r="A223" s="204"/>
      <c r="B223" s="205" t="s">
        <v>884</v>
      </c>
      <c r="C223" s="206" t="s">
        <v>981</v>
      </c>
      <c r="D223" s="916"/>
      <c r="E223" s="207">
        <f>(3.56+1.84)*1.1</f>
        <v>5.940000000000001</v>
      </c>
      <c r="F223" s="335"/>
      <c r="G223" s="335"/>
      <c r="H223" s="335"/>
      <c r="I223" s="336"/>
      <c r="J223" s="337"/>
      <c r="K223" s="672"/>
      <c r="L223" s="672"/>
      <c r="M223" s="672"/>
      <c r="N223" s="672"/>
      <c r="O223" s="672"/>
      <c r="P223" s="672"/>
      <c r="Q223" s="673"/>
      <c r="R223" s="508"/>
      <c r="S223" s="508"/>
      <c r="T223" s="508"/>
    </row>
    <row r="224" spans="1:20" s="22" customFormat="1" ht="15.75" customHeight="1">
      <c r="A224" s="196"/>
      <c r="B224" s="197"/>
      <c r="C224" s="199"/>
      <c r="D224" s="917"/>
      <c r="E224" s="198"/>
      <c r="F224" s="332"/>
      <c r="G224" s="332"/>
      <c r="H224" s="332"/>
      <c r="I224" s="333"/>
      <c r="J224" s="334"/>
      <c r="K224" s="693"/>
      <c r="L224" s="693"/>
      <c r="M224" s="693"/>
      <c r="N224" s="693"/>
      <c r="O224" s="693"/>
      <c r="P224" s="693"/>
      <c r="Q224" s="694"/>
      <c r="R224" s="509"/>
      <c r="S224" s="509"/>
      <c r="T224" s="509"/>
    </row>
    <row r="225" spans="1:20" s="22" customFormat="1" ht="22.5" customHeight="1">
      <c r="A225" s="196" t="s">
        <v>2563</v>
      </c>
      <c r="B225" s="197" t="s">
        <v>982</v>
      </c>
      <c r="C225" s="199" t="s">
        <v>983</v>
      </c>
      <c r="D225" s="917" t="s">
        <v>2816</v>
      </c>
      <c r="E225" s="198" t="s">
        <v>1748</v>
      </c>
      <c r="F225" s="332">
        <f>SUM(E226:E227)</f>
        <v>12.199000000000002</v>
      </c>
      <c r="G225" s="332"/>
      <c r="H225" s="332">
        <f>F225*G225</f>
        <v>0</v>
      </c>
      <c r="I225" s="333">
        <v>0.00041</v>
      </c>
      <c r="J225" s="334">
        <f>F225*I225</f>
        <v>0.00500159</v>
      </c>
      <c r="K225" s="693"/>
      <c r="L225" s="693"/>
      <c r="M225" s="693"/>
      <c r="N225" s="693"/>
      <c r="O225" s="693"/>
      <c r="P225" s="693"/>
      <c r="Q225" s="694"/>
      <c r="R225" s="509"/>
      <c r="S225" s="509"/>
      <c r="T225" s="509"/>
    </row>
    <row r="226" spans="1:20" s="130" customFormat="1" ht="22.5" customHeight="1">
      <c r="A226" s="204"/>
      <c r="B226" s="205" t="s">
        <v>878</v>
      </c>
      <c r="C226" s="206" t="s">
        <v>980</v>
      </c>
      <c r="D226" s="916"/>
      <c r="E226" s="207">
        <f>(2.36+3.33)*1.1</f>
        <v>6.259</v>
      </c>
      <c r="F226" s="335"/>
      <c r="G226" s="335"/>
      <c r="H226" s="335"/>
      <c r="I226" s="336"/>
      <c r="J226" s="337"/>
      <c r="K226" s="672"/>
      <c r="L226" s="672"/>
      <c r="M226" s="672"/>
      <c r="N226" s="672"/>
      <c r="O226" s="672"/>
      <c r="P226" s="672"/>
      <c r="Q226" s="673"/>
      <c r="R226" s="508"/>
      <c r="S226" s="508"/>
      <c r="T226" s="508"/>
    </row>
    <row r="227" spans="1:20" s="130" customFormat="1" ht="22.5" customHeight="1">
      <c r="A227" s="204"/>
      <c r="B227" s="205" t="s">
        <v>884</v>
      </c>
      <c r="C227" s="206" t="s">
        <v>981</v>
      </c>
      <c r="D227" s="916"/>
      <c r="E227" s="207">
        <f>(3.56+1.84)*1.1</f>
        <v>5.940000000000001</v>
      </c>
      <c r="F227" s="335"/>
      <c r="G227" s="335"/>
      <c r="H227" s="335"/>
      <c r="I227" s="336"/>
      <c r="J227" s="337"/>
      <c r="K227" s="672"/>
      <c r="L227" s="672"/>
      <c r="M227" s="672"/>
      <c r="N227" s="672"/>
      <c r="O227" s="672"/>
      <c r="P227" s="672"/>
      <c r="Q227" s="673"/>
      <c r="R227" s="508"/>
      <c r="S227" s="508"/>
      <c r="T227" s="508"/>
    </row>
    <row r="228" spans="1:20" s="22" customFormat="1" ht="22.5" customHeight="1">
      <c r="A228" s="196" t="s">
        <v>2566</v>
      </c>
      <c r="B228" s="197" t="s">
        <v>2619</v>
      </c>
      <c r="C228" s="199" t="s">
        <v>984</v>
      </c>
      <c r="D228" s="1177" t="s">
        <v>2816</v>
      </c>
      <c r="E228" s="198" t="s">
        <v>1748</v>
      </c>
      <c r="F228" s="1028">
        <f>SUM(E229:E230)</f>
        <v>13.862499999999999</v>
      </c>
      <c r="G228" s="332"/>
      <c r="H228" s="332">
        <f>F228*G228</f>
        <v>0</v>
      </c>
      <c r="I228" s="333">
        <v>0.004</v>
      </c>
      <c r="J228" s="334">
        <f>F228*I228</f>
        <v>0.05545</v>
      </c>
      <c r="K228" s="693"/>
      <c r="L228" s="693"/>
      <c r="M228" s="693"/>
      <c r="N228" s="693"/>
      <c r="O228" s="693"/>
      <c r="P228" s="693"/>
      <c r="Q228" s="694"/>
      <c r="R228" s="509"/>
      <c r="S228" s="509"/>
      <c r="T228" s="509"/>
    </row>
    <row r="229" spans="1:20" s="130" customFormat="1" ht="18" customHeight="1">
      <c r="A229" s="204"/>
      <c r="B229" s="205" t="s">
        <v>878</v>
      </c>
      <c r="C229" s="206" t="s">
        <v>2857</v>
      </c>
      <c r="D229" s="1176"/>
      <c r="E229" s="207">
        <f>(2.36+3.33)*1.25</f>
        <v>7.112499999999999</v>
      </c>
      <c r="F229" s="335"/>
      <c r="G229" s="335"/>
      <c r="H229" s="335"/>
      <c r="I229" s="336"/>
      <c r="J229" s="337"/>
      <c r="K229" s="672"/>
      <c r="L229" s="672"/>
      <c r="M229" s="672"/>
      <c r="N229" s="672"/>
      <c r="O229" s="672"/>
      <c r="P229" s="672"/>
      <c r="Q229" s="673"/>
      <c r="R229" s="508"/>
      <c r="S229" s="508"/>
      <c r="T229" s="508"/>
    </row>
    <row r="230" spans="1:20" s="130" customFormat="1" ht="18" customHeight="1">
      <c r="A230" s="204"/>
      <c r="B230" s="205" t="s">
        <v>884</v>
      </c>
      <c r="C230" s="206" t="s">
        <v>2858</v>
      </c>
      <c r="D230" s="1176"/>
      <c r="E230" s="207">
        <f>(3.56+1.84)*1.25</f>
        <v>6.75</v>
      </c>
      <c r="F230" s="335"/>
      <c r="G230" s="335"/>
      <c r="H230" s="335"/>
      <c r="I230" s="336"/>
      <c r="J230" s="337"/>
      <c r="K230" s="672"/>
      <c r="L230" s="672"/>
      <c r="M230" s="672"/>
      <c r="N230" s="672"/>
      <c r="O230" s="672"/>
      <c r="P230" s="672"/>
      <c r="Q230" s="673"/>
      <c r="R230" s="508"/>
      <c r="S230" s="508"/>
      <c r="T230" s="508"/>
    </row>
    <row r="231" spans="1:20" s="1034" customFormat="1" ht="18.75" customHeight="1">
      <c r="A231" s="1023" t="s">
        <v>2861</v>
      </c>
      <c r="B231" s="1024" t="s">
        <v>2859</v>
      </c>
      <c r="C231" s="1025" t="s">
        <v>2860</v>
      </c>
      <c r="D231" s="1109"/>
      <c r="E231" s="1027" t="s">
        <v>1748</v>
      </c>
      <c r="F231" s="1028">
        <f>F232</f>
        <v>17.991</v>
      </c>
      <c r="G231" s="1028"/>
      <c r="H231" s="1028">
        <f>F231*G231</f>
        <v>0</v>
      </c>
      <c r="I231" s="1029">
        <v>0.00021</v>
      </c>
      <c r="J231" s="1090">
        <f>F231*I231</f>
        <v>0.00377811</v>
      </c>
      <c r="K231" s="1033"/>
      <c r="L231" s="1033"/>
      <c r="M231" s="1033"/>
      <c r="N231" s="1033"/>
      <c r="O231" s="1033"/>
      <c r="P231" s="1033"/>
      <c r="Q231" s="1033"/>
      <c r="R231" s="1033"/>
      <c r="S231" s="1033"/>
      <c r="T231" s="1033"/>
    </row>
    <row r="232" spans="1:20" s="22" customFormat="1" ht="22.5" customHeight="1">
      <c r="A232" s="196" t="s">
        <v>2569</v>
      </c>
      <c r="B232" s="197" t="s">
        <v>2570</v>
      </c>
      <c r="C232" s="199" t="s">
        <v>2571</v>
      </c>
      <c r="D232" s="917" t="s">
        <v>2816</v>
      </c>
      <c r="E232" s="198" t="s">
        <v>1748</v>
      </c>
      <c r="F232" s="1236">
        <f>SUM(E233:E235)</f>
        <v>17.991</v>
      </c>
      <c r="G232" s="332"/>
      <c r="H232" s="332">
        <f>F232*G232</f>
        <v>0</v>
      </c>
      <c r="I232" s="333">
        <v>0.003</v>
      </c>
      <c r="J232" s="334">
        <f>F232*I232</f>
        <v>0.053973</v>
      </c>
      <c r="K232" s="693"/>
      <c r="L232" s="693"/>
      <c r="M232" s="693"/>
      <c r="N232" s="693"/>
      <c r="O232" s="693"/>
      <c r="P232" s="693"/>
      <c r="Q232" s="694"/>
      <c r="R232" s="509"/>
      <c r="S232" s="509"/>
      <c r="T232" s="509"/>
    </row>
    <row r="233" spans="1:20" s="130" customFormat="1" ht="22.5" customHeight="1">
      <c r="A233" s="204"/>
      <c r="B233" s="205" t="s">
        <v>878</v>
      </c>
      <c r="C233" s="206" t="s">
        <v>980</v>
      </c>
      <c r="D233" s="916"/>
      <c r="E233" s="207">
        <f>(2.36+3.33)*1.1</f>
        <v>6.259</v>
      </c>
      <c r="F233" s="335"/>
      <c r="G233" s="335"/>
      <c r="H233" s="335"/>
      <c r="I233" s="336"/>
      <c r="J233" s="337"/>
      <c r="K233" s="672"/>
      <c r="L233" s="672"/>
      <c r="M233" s="672"/>
      <c r="N233" s="672"/>
      <c r="O233" s="672"/>
      <c r="P233" s="672"/>
      <c r="Q233" s="673"/>
      <c r="R233" s="508"/>
      <c r="S233" s="508"/>
      <c r="T233" s="508"/>
    </row>
    <row r="234" spans="1:20" s="130" customFormat="1" ht="22.5" customHeight="1">
      <c r="A234" s="204"/>
      <c r="B234" s="205" t="s">
        <v>884</v>
      </c>
      <c r="C234" s="206" t="s">
        <v>981</v>
      </c>
      <c r="D234" s="916"/>
      <c r="E234" s="207">
        <f>(3.56+1.84)*1.1</f>
        <v>5.940000000000001</v>
      </c>
      <c r="F234" s="335"/>
      <c r="G234" s="335"/>
      <c r="H234" s="335"/>
      <c r="I234" s="336"/>
      <c r="J234" s="337"/>
      <c r="K234" s="672"/>
      <c r="L234" s="672"/>
      <c r="M234" s="672"/>
      <c r="N234" s="672"/>
      <c r="O234" s="672"/>
      <c r="P234" s="672"/>
      <c r="Q234" s="673"/>
      <c r="R234" s="508"/>
      <c r="S234" s="508"/>
      <c r="T234" s="508"/>
    </row>
    <row r="235" spans="1:20" s="299" customFormat="1" ht="18" customHeight="1">
      <c r="A235" s="295"/>
      <c r="B235" s="296" t="s">
        <v>1767</v>
      </c>
      <c r="C235" s="297" t="s">
        <v>2967</v>
      </c>
      <c r="D235" s="984"/>
      <c r="E235" s="1244">
        <f>3.8+2.2*0.36+0.6*2</f>
        <v>5.792</v>
      </c>
      <c r="F235" s="141"/>
      <c r="G235" s="141"/>
      <c r="H235" s="141"/>
      <c r="I235" s="390"/>
      <c r="J235" s="391"/>
      <c r="K235" s="736"/>
      <c r="L235" s="736"/>
      <c r="M235" s="736"/>
      <c r="N235" s="737"/>
      <c r="O235" s="580"/>
      <c r="P235" s="580"/>
      <c r="Q235" s="580"/>
      <c r="R235" s="580"/>
      <c r="S235" s="580"/>
      <c r="T235" s="580"/>
    </row>
    <row r="236" spans="1:20" s="22" customFormat="1" ht="30" customHeight="1">
      <c r="A236" s="196" t="s">
        <v>2573</v>
      </c>
      <c r="B236" s="197" t="s">
        <v>1720</v>
      </c>
      <c r="C236" s="199" t="s">
        <v>2574</v>
      </c>
      <c r="D236" s="917" t="s">
        <v>2816</v>
      </c>
      <c r="E236" s="198" t="s">
        <v>1748</v>
      </c>
      <c r="F236" s="332">
        <f>SUM(E237:E238)</f>
        <v>12.199000000000002</v>
      </c>
      <c r="G236" s="332"/>
      <c r="H236" s="332">
        <f>F236*G236</f>
        <v>0</v>
      </c>
      <c r="I236" s="333">
        <v>0.003</v>
      </c>
      <c r="J236" s="334">
        <f>F236*I236</f>
        <v>0.036597000000000005</v>
      </c>
      <c r="K236" s="693"/>
      <c r="L236" s="693"/>
      <c r="M236" s="693"/>
      <c r="N236" s="693"/>
      <c r="O236" s="693"/>
      <c r="P236" s="693"/>
      <c r="Q236" s="694"/>
      <c r="R236" s="509"/>
      <c r="S236" s="509"/>
      <c r="T236" s="509"/>
    </row>
    <row r="237" spans="1:20" s="130" customFormat="1" ht="22.5" customHeight="1">
      <c r="A237" s="204"/>
      <c r="B237" s="205" t="s">
        <v>878</v>
      </c>
      <c r="C237" s="206" t="s">
        <v>980</v>
      </c>
      <c r="D237" s="916"/>
      <c r="E237" s="207">
        <f>(2.36+3.33)*1.1</f>
        <v>6.259</v>
      </c>
      <c r="F237" s="335"/>
      <c r="G237" s="335"/>
      <c r="H237" s="335"/>
      <c r="I237" s="336"/>
      <c r="J237" s="337"/>
      <c r="K237" s="672"/>
      <c r="L237" s="672"/>
      <c r="M237" s="672"/>
      <c r="N237" s="672"/>
      <c r="O237" s="672"/>
      <c r="P237" s="672"/>
      <c r="Q237" s="673"/>
      <c r="R237" s="508"/>
      <c r="S237" s="508"/>
      <c r="T237" s="508"/>
    </row>
    <row r="238" spans="1:20" s="130" customFormat="1" ht="22.5" customHeight="1">
      <c r="A238" s="204"/>
      <c r="B238" s="205" t="s">
        <v>884</v>
      </c>
      <c r="C238" s="206" t="s">
        <v>981</v>
      </c>
      <c r="D238" s="916"/>
      <c r="E238" s="207">
        <f>(3.56+1.84)*1.1</f>
        <v>5.940000000000001</v>
      </c>
      <c r="F238" s="335"/>
      <c r="G238" s="335"/>
      <c r="H238" s="335"/>
      <c r="I238" s="336"/>
      <c r="J238" s="337"/>
      <c r="K238" s="672"/>
      <c r="L238" s="672"/>
      <c r="M238" s="672"/>
      <c r="N238" s="672"/>
      <c r="O238" s="672"/>
      <c r="P238" s="672"/>
      <c r="Q238" s="673"/>
      <c r="R238" s="508"/>
      <c r="S238" s="508"/>
      <c r="T238" s="508"/>
    </row>
    <row r="239" spans="1:20" s="22" customFormat="1" ht="22.5" customHeight="1">
      <c r="A239" s="196" t="s">
        <v>2575</v>
      </c>
      <c r="B239" s="197" t="s">
        <v>2576</v>
      </c>
      <c r="C239" s="199" t="s">
        <v>2577</v>
      </c>
      <c r="D239" s="917" t="s">
        <v>2816</v>
      </c>
      <c r="E239" s="198" t="s">
        <v>1826</v>
      </c>
      <c r="F239" s="332">
        <v>16.4</v>
      </c>
      <c r="G239" s="332"/>
      <c r="H239" s="332">
        <f>F239*G239</f>
        <v>0</v>
      </c>
      <c r="I239" s="333">
        <v>0.003</v>
      </c>
      <c r="J239" s="334">
        <f>F239*I239</f>
        <v>0.049199999999999994</v>
      </c>
      <c r="K239" s="693"/>
      <c r="L239" s="693"/>
      <c r="M239" s="693"/>
      <c r="N239" s="693"/>
      <c r="O239" s="693"/>
      <c r="P239" s="693"/>
      <c r="Q239" s="694"/>
      <c r="R239" s="509"/>
      <c r="S239" s="509"/>
      <c r="T239" s="509"/>
    </row>
    <row r="240" spans="1:20" s="22" customFormat="1" ht="22.5" customHeight="1">
      <c r="A240" s="196" t="s">
        <v>2578</v>
      </c>
      <c r="B240" s="197" t="s">
        <v>2579</v>
      </c>
      <c r="C240" s="199" t="s">
        <v>2580</v>
      </c>
      <c r="D240" s="917"/>
      <c r="E240" s="198" t="s">
        <v>1748</v>
      </c>
      <c r="F240" s="332">
        <f>SUM(E241:E242)</f>
        <v>12.199000000000002</v>
      </c>
      <c r="G240" s="332"/>
      <c r="H240" s="332">
        <f>F240*G240</f>
        <v>0</v>
      </c>
      <c r="I240" s="333">
        <v>0</v>
      </c>
      <c r="J240" s="334">
        <f>F240*I240</f>
        <v>0</v>
      </c>
      <c r="K240" s="693"/>
      <c r="L240" s="693"/>
      <c r="M240" s="693"/>
      <c r="N240" s="693"/>
      <c r="O240" s="693"/>
      <c r="P240" s="693"/>
      <c r="Q240" s="694"/>
      <c r="R240" s="509"/>
      <c r="S240" s="509"/>
      <c r="T240" s="509"/>
    </row>
    <row r="241" spans="1:20" s="130" customFormat="1" ht="22.5" customHeight="1">
      <c r="A241" s="204"/>
      <c r="B241" s="205" t="s">
        <v>878</v>
      </c>
      <c r="C241" s="206" t="s">
        <v>980</v>
      </c>
      <c r="D241" s="916"/>
      <c r="E241" s="207">
        <f>(2.36+3.33)*1.1</f>
        <v>6.259</v>
      </c>
      <c r="F241" s="335"/>
      <c r="G241" s="335"/>
      <c r="H241" s="335"/>
      <c r="I241" s="336"/>
      <c r="J241" s="337"/>
      <c r="K241" s="672"/>
      <c r="L241" s="672"/>
      <c r="M241" s="672"/>
      <c r="N241" s="672"/>
      <c r="O241" s="672"/>
      <c r="P241" s="672"/>
      <c r="Q241" s="673"/>
      <c r="R241" s="508"/>
      <c r="S241" s="508"/>
      <c r="T241" s="508"/>
    </row>
    <row r="242" spans="1:20" s="130" customFormat="1" ht="22.5" customHeight="1">
      <c r="A242" s="204"/>
      <c r="B242" s="205" t="s">
        <v>884</v>
      </c>
      <c r="C242" s="206" t="s">
        <v>981</v>
      </c>
      <c r="D242" s="916"/>
      <c r="E242" s="207">
        <f>(3.56+1.84)*1.1</f>
        <v>5.940000000000001</v>
      </c>
      <c r="F242" s="335"/>
      <c r="G242" s="335"/>
      <c r="H242" s="335"/>
      <c r="I242" s="336"/>
      <c r="J242" s="337"/>
      <c r="K242" s="672"/>
      <c r="L242" s="672"/>
      <c r="M242" s="672"/>
      <c r="N242" s="672"/>
      <c r="O242" s="672"/>
      <c r="P242" s="672"/>
      <c r="Q242" s="673"/>
      <c r="R242" s="508"/>
      <c r="S242" s="508"/>
      <c r="T242" s="508"/>
    </row>
    <row r="243" spans="1:20" s="22" customFormat="1" ht="22.5" customHeight="1">
      <c r="A243" s="196" t="s">
        <v>2581</v>
      </c>
      <c r="B243" s="197" t="s">
        <v>2582</v>
      </c>
      <c r="C243" s="199" t="s">
        <v>2583</v>
      </c>
      <c r="D243" s="1177" t="s">
        <v>2819</v>
      </c>
      <c r="E243" s="198" t="s">
        <v>1748</v>
      </c>
      <c r="F243" s="1028">
        <f>SUM(E244:E245)</f>
        <v>13.862499999999999</v>
      </c>
      <c r="G243" s="332"/>
      <c r="H243" s="332">
        <f>F243*G243</f>
        <v>0</v>
      </c>
      <c r="I243" s="333">
        <v>0.00018</v>
      </c>
      <c r="J243" s="334">
        <f>F243*I243</f>
        <v>0.00249525</v>
      </c>
      <c r="K243" s="693"/>
      <c r="L243" s="693"/>
      <c r="M243" s="693"/>
      <c r="N243" s="693"/>
      <c r="O243" s="693"/>
      <c r="P243" s="693"/>
      <c r="Q243" s="694"/>
      <c r="R243" s="509"/>
      <c r="S243" s="509"/>
      <c r="T243" s="509"/>
    </row>
    <row r="244" spans="1:20" s="130" customFormat="1" ht="22.5" customHeight="1">
      <c r="A244" s="204"/>
      <c r="B244" s="205" t="s">
        <v>878</v>
      </c>
      <c r="C244" s="206" t="s">
        <v>2857</v>
      </c>
      <c r="D244" s="1176"/>
      <c r="E244" s="207">
        <f>(2.36+3.33)*1.25</f>
        <v>7.112499999999999</v>
      </c>
      <c r="F244" s="335"/>
      <c r="G244" s="335"/>
      <c r="H244" s="335"/>
      <c r="I244" s="336"/>
      <c r="J244" s="337"/>
      <c r="K244" s="672"/>
      <c r="L244" s="672"/>
      <c r="M244" s="672"/>
      <c r="N244" s="672"/>
      <c r="O244" s="672"/>
      <c r="P244" s="672"/>
      <c r="Q244" s="673"/>
      <c r="R244" s="508"/>
      <c r="S244" s="508"/>
      <c r="T244" s="508"/>
    </row>
    <row r="245" spans="1:20" s="130" customFormat="1" ht="22.5" customHeight="1">
      <c r="A245" s="204"/>
      <c r="B245" s="205" t="s">
        <v>884</v>
      </c>
      <c r="C245" s="206" t="s">
        <v>2858</v>
      </c>
      <c r="D245" s="1176"/>
      <c r="E245" s="207">
        <f>(3.56+1.84)*1.25</f>
        <v>6.75</v>
      </c>
      <c r="F245" s="335"/>
      <c r="G245" s="335"/>
      <c r="H245" s="335"/>
      <c r="I245" s="336"/>
      <c r="J245" s="337"/>
      <c r="K245" s="672"/>
      <c r="L245" s="672"/>
      <c r="M245" s="672"/>
      <c r="N245" s="672"/>
      <c r="O245" s="672"/>
      <c r="P245" s="672"/>
      <c r="Q245" s="673"/>
      <c r="R245" s="508"/>
      <c r="S245" s="508"/>
      <c r="T245" s="508"/>
    </row>
    <row r="246" spans="1:20" s="22" customFormat="1" ht="22.5" customHeight="1" thickBot="1">
      <c r="A246" s="255" t="s">
        <v>2586</v>
      </c>
      <c r="B246" s="256" t="s">
        <v>2587</v>
      </c>
      <c r="C246" s="264" t="s">
        <v>2588</v>
      </c>
      <c r="D246" s="968"/>
      <c r="E246" s="257" t="s">
        <v>1783</v>
      </c>
      <c r="F246" s="368">
        <f>J212</f>
        <v>0.5335270999999999</v>
      </c>
      <c r="G246" s="368"/>
      <c r="H246" s="368">
        <f>F246*G246</f>
        <v>0</v>
      </c>
      <c r="I246" s="369">
        <v>0</v>
      </c>
      <c r="J246" s="370"/>
      <c r="K246" s="509"/>
      <c r="L246" s="509"/>
      <c r="M246" s="509"/>
      <c r="N246" s="509"/>
      <c r="O246" s="509"/>
      <c r="P246" s="509"/>
      <c r="Q246" s="509"/>
      <c r="R246" s="509"/>
      <c r="S246" s="509"/>
      <c r="T246" s="509"/>
    </row>
    <row r="247" spans="1:20" ht="16.5" customHeight="1" thickBot="1">
      <c r="A247" s="266" t="s">
        <v>2589</v>
      </c>
      <c r="B247" s="175" t="s">
        <v>2590</v>
      </c>
      <c r="C247" s="176" t="s">
        <v>2591</v>
      </c>
      <c r="D247" s="1008"/>
      <c r="E247" s="175"/>
      <c r="F247" s="341"/>
      <c r="G247" s="341"/>
      <c r="H247" s="342">
        <f>SUM(H248:H264)</f>
        <v>0</v>
      </c>
      <c r="I247" s="343"/>
      <c r="J247" s="344">
        <f>SUM(J248:J262)</f>
        <v>7.78349925</v>
      </c>
      <c r="K247" s="670"/>
      <c r="L247" s="670"/>
      <c r="M247" s="670"/>
      <c r="N247" s="670"/>
      <c r="O247" s="670"/>
      <c r="P247" s="670"/>
      <c r="Q247" s="670"/>
      <c r="R247" s="670"/>
      <c r="S247" s="670"/>
      <c r="T247" s="670"/>
    </row>
    <row r="248" spans="1:20" s="22" customFormat="1" ht="18" customHeight="1">
      <c r="A248" s="190"/>
      <c r="B248" s="191"/>
      <c r="C248" s="265"/>
      <c r="D248" s="964"/>
      <c r="E248" s="192"/>
      <c r="F248" s="345"/>
      <c r="G248" s="345"/>
      <c r="H248" s="345"/>
      <c r="I248" s="346"/>
      <c r="J248" s="347"/>
      <c r="K248" s="509"/>
      <c r="L248" s="509"/>
      <c r="M248" s="509"/>
      <c r="N248" s="509"/>
      <c r="O248" s="509"/>
      <c r="P248" s="509"/>
      <c r="Q248" s="509"/>
      <c r="R248" s="509"/>
      <c r="S248" s="509"/>
      <c r="T248" s="509"/>
    </row>
    <row r="249" spans="1:20" s="22" customFormat="1" ht="30.75" customHeight="1">
      <c r="A249" s="196" t="s">
        <v>2592</v>
      </c>
      <c r="B249" s="197" t="s">
        <v>2593</v>
      </c>
      <c r="C249" s="199" t="s">
        <v>2594</v>
      </c>
      <c r="D249" s="917" t="s">
        <v>2792</v>
      </c>
      <c r="E249" s="198" t="s">
        <v>1748</v>
      </c>
      <c r="F249" s="332">
        <f>E250</f>
        <v>430.95</v>
      </c>
      <c r="G249" s="332"/>
      <c r="H249" s="332">
        <f>F249*G249</f>
        <v>0</v>
      </c>
      <c r="I249" s="333">
        <v>0</v>
      </c>
      <c r="J249" s="334">
        <f>F249*I249</f>
        <v>0</v>
      </c>
      <c r="K249" s="509"/>
      <c r="L249" s="509"/>
      <c r="M249" s="509"/>
      <c r="N249" s="509"/>
      <c r="O249" s="509"/>
      <c r="P249" s="509"/>
      <c r="Q249" s="509"/>
      <c r="R249" s="509"/>
      <c r="S249" s="509"/>
      <c r="T249" s="509"/>
    </row>
    <row r="250" spans="1:20" s="130" customFormat="1" ht="18" customHeight="1">
      <c r="A250" s="204"/>
      <c r="B250" s="205" t="s">
        <v>985</v>
      </c>
      <c r="C250" s="206" t="s">
        <v>892</v>
      </c>
      <c r="D250" s="916"/>
      <c r="E250" s="207">
        <v>430.95</v>
      </c>
      <c r="F250" s="335"/>
      <c r="G250" s="335"/>
      <c r="H250" s="335"/>
      <c r="I250" s="336"/>
      <c r="J250" s="337"/>
      <c r="K250" s="508"/>
      <c r="L250" s="508"/>
      <c r="M250" s="508"/>
      <c r="N250" s="508"/>
      <c r="O250" s="508"/>
      <c r="P250" s="508"/>
      <c r="Q250" s="508"/>
      <c r="R250" s="508"/>
      <c r="S250" s="508"/>
      <c r="T250" s="508"/>
    </row>
    <row r="251" spans="1:20" s="22" customFormat="1" ht="15" customHeight="1">
      <c r="A251" s="196"/>
      <c r="B251" s="197"/>
      <c r="C251" s="199"/>
      <c r="D251" s="917"/>
      <c r="E251" s="198"/>
      <c r="F251" s="332"/>
      <c r="G251" s="332"/>
      <c r="H251" s="332"/>
      <c r="I251" s="333"/>
      <c r="J251" s="334"/>
      <c r="K251" s="693"/>
      <c r="L251" s="693"/>
      <c r="M251" s="693"/>
      <c r="N251" s="693"/>
      <c r="O251" s="693"/>
      <c r="P251" s="693"/>
      <c r="Q251" s="694"/>
      <c r="R251" s="509"/>
      <c r="S251" s="509"/>
      <c r="T251" s="509"/>
    </row>
    <row r="252" spans="1:20" s="22" customFormat="1" ht="24" customHeight="1">
      <c r="A252" s="196" t="s">
        <v>2598</v>
      </c>
      <c r="B252" s="197" t="s">
        <v>2599</v>
      </c>
      <c r="C252" s="199" t="s">
        <v>986</v>
      </c>
      <c r="D252" s="917" t="s">
        <v>2821</v>
      </c>
      <c r="E252" s="198" t="s">
        <v>1748</v>
      </c>
      <c r="F252" s="332">
        <f>E253</f>
        <v>522.45</v>
      </c>
      <c r="G252" s="332"/>
      <c r="H252" s="332">
        <f aca="true" t="shared" si="15" ref="H252:H260">F252*G252</f>
        <v>0</v>
      </c>
      <c r="I252" s="333">
        <v>0</v>
      </c>
      <c r="J252" s="334">
        <f aca="true" t="shared" si="16" ref="J252:J260">F252*I252</f>
        <v>0</v>
      </c>
      <c r="K252" s="693"/>
      <c r="L252" s="693"/>
      <c r="M252" s="693"/>
      <c r="N252" s="693"/>
      <c r="O252" s="693"/>
      <c r="P252" s="693"/>
      <c r="Q252" s="694"/>
      <c r="R252" s="509"/>
      <c r="S252" s="509"/>
      <c r="T252" s="509"/>
    </row>
    <row r="253" spans="1:20" s="130" customFormat="1" ht="24" customHeight="1">
      <c r="A253" s="204"/>
      <c r="B253" s="205" t="s">
        <v>987</v>
      </c>
      <c r="C253" s="206" t="s">
        <v>977</v>
      </c>
      <c r="D253" s="916"/>
      <c r="E253" s="207">
        <f>475.45+47</f>
        <v>522.45</v>
      </c>
      <c r="F253" s="335"/>
      <c r="G253" s="335"/>
      <c r="H253" s="335"/>
      <c r="I253" s="336"/>
      <c r="J253" s="337"/>
      <c r="K253" s="508"/>
      <c r="L253" s="508"/>
      <c r="M253" s="508"/>
      <c r="N253" s="508"/>
      <c r="O253" s="508"/>
      <c r="P253" s="508"/>
      <c r="Q253" s="508"/>
      <c r="R253" s="508"/>
      <c r="S253" s="508"/>
      <c r="T253" s="508"/>
    </row>
    <row r="254" spans="1:20" s="22" customFormat="1" ht="18" customHeight="1">
      <c r="A254" s="196" t="s">
        <v>2601</v>
      </c>
      <c r="B254" s="197" t="s">
        <v>2602</v>
      </c>
      <c r="C254" s="199" t="s">
        <v>2603</v>
      </c>
      <c r="D254" s="917" t="s">
        <v>2821</v>
      </c>
      <c r="E254" s="198" t="s">
        <v>1748</v>
      </c>
      <c r="F254" s="1028">
        <f>E255</f>
        <v>600.8175</v>
      </c>
      <c r="G254" s="332"/>
      <c r="H254" s="332">
        <f t="shared" si="15"/>
        <v>0</v>
      </c>
      <c r="I254" s="333">
        <v>0.0047</v>
      </c>
      <c r="J254" s="334">
        <f t="shared" si="16"/>
        <v>2.82384225</v>
      </c>
      <c r="K254" s="693"/>
      <c r="L254" s="693"/>
      <c r="M254" s="693"/>
      <c r="N254" s="693"/>
      <c r="O254" s="693"/>
      <c r="P254" s="693"/>
      <c r="Q254" s="694"/>
      <c r="R254" s="509"/>
      <c r="S254" s="509"/>
      <c r="T254" s="509"/>
    </row>
    <row r="255" spans="1:20" s="130" customFormat="1" ht="24" customHeight="1">
      <c r="A255" s="204"/>
      <c r="B255" s="205" t="s">
        <v>987</v>
      </c>
      <c r="C255" s="206" t="s">
        <v>2943</v>
      </c>
      <c r="D255" s="916"/>
      <c r="E255" s="207">
        <f>(475.45+47)*1.15</f>
        <v>600.8175</v>
      </c>
      <c r="F255" s="335"/>
      <c r="G255" s="335"/>
      <c r="H255" s="335"/>
      <c r="I255" s="336"/>
      <c r="J255" s="337"/>
      <c r="K255" s="508"/>
      <c r="L255" s="508"/>
      <c r="M255" s="508"/>
      <c r="N255" s="508"/>
      <c r="O255" s="508"/>
      <c r="P255" s="508"/>
      <c r="Q255" s="508"/>
      <c r="R255" s="508"/>
      <c r="S255" s="508"/>
      <c r="T255" s="508"/>
    </row>
    <row r="256" spans="1:20" s="22" customFormat="1" ht="24" customHeight="1">
      <c r="A256" s="196" t="s">
        <v>2607</v>
      </c>
      <c r="B256" s="197" t="s">
        <v>2611</v>
      </c>
      <c r="C256" s="199" t="s">
        <v>2612</v>
      </c>
      <c r="D256" s="917" t="s">
        <v>2821</v>
      </c>
      <c r="E256" s="198" t="s">
        <v>1748</v>
      </c>
      <c r="F256" s="332">
        <f>E257</f>
        <v>522.45</v>
      </c>
      <c r="G256" s="332"/>
      <c r="H256" s="332">
        <f t="shared" si="15"/>
        <v>0</v>
      </c>
      <c r="I256" s="333">
        <v>0.00035</v>
      </c>
      <c r="J256" s="334">
        <f t="shared" si="16"/>
        <v>0.1828575</v>
      </c>
      <c r="K256" s="693"/>
      <c r="L256" s="693"/>
      <c r="M256" s="693"/>
      <c r="N256" s="693"/>
      <c r="O256" s="693"/>
      <c r="P256" s="693"/>
      <c r="Q256" s="694"/>
      <c r="R256" s="509"/>
      <c r="S256" s="509"/>
      <c r="T256" s="509"/>
    </row>
    <row r="257" spans="1:20" s="130" customFormat="1" ht="24" customHeight="1">
      <c r="A257" s="204"/>
      <c r="B257" s="205" t="s">
        <v>987</v>
      </c>
      <c r="C257" s="206" t="s">
        <v>977</v>
      </c>
      <c r="D257" s="916"/>
      <c r="E257" s="207">
        <f>475.45+47</f>
        <v>522.45</v>
      </c>
      <c r="F257" s="335"/>
      <c r="G257" s="335"/>
      <c r="H257" s="335"/>
      <c r="I257" s="336"/>
      <c r="J257" s="337"/>
      <c r="K257" s="508"/>
      <c r="L257" s="508"/>
      <c r="M257" s="508"/>
      <c r="N257" s="508"/>
      <c r="O257" s="508"/>
      <c r="P257" s="508"/>
      <c r="Q257" s="508"/>
      <c r="R257" s="508"/>
      <c r="S257" s="508"/>
      <c r="T257" s="508"/>
    </row>
    <row r="258" spans="1:20" s="22" customFormat="1" ht="19.5" customHeight="1">
      <c r="A258" s="196" t="s">
        <v>2610</v>
      </c>
      <c r="B258" s="197" t="s">
        <v>2614</v>
      </c>
      <c r="C258" s="199" t="s">
        <v>2615</v>
      </c>
      <c r="D258" s="917" t="s">
        <v>2821</v>
      </c>
      <c r="E258" s="198" t="s">
        <v>1748</v>
      </c>
      <c r="F258" s="1028">
        <f>E259</f>
        <v>600.8175</v>
      </c>
      <c r="G258" s="332"/>
      <c r="H258" s="332">
        <f t="shared" si="15"/>
        <v>0</v>
      </c>
      <c r="I258" s="333">
        <v>0.0044</v>
      </c>
      <c r="J258" s="334">
        <f t="shared" si="16"/>
        <v>2.643597</v>
      </c>
      <c r="K258" s="693"/>
      <c r="L258" s="693"/>
      <c r="M258" s="693"/>
      <c r="N258" s="693"/>
      <c r="O258" s="693"/>
      <c r="P258" s="693"/>
      <c r="Q258" s="694"/>
      <c r="R258" s="509"/>
      <c r="S258" s="509"/>
      <c r="T258" s="509"/>
    </row>
    <row r="259" spans="1:20" s="130" customFormat="1" ht="24" customHeight="1">
      <c r="A259" s="204"/>
      <c r="B259" s="205" t="s">
        <v>987</v>
      </c>
      <c r="C259" s="206" t="s">
        <v>2943</v>
      </c>
      <c r="D259" s="916"/>
      <c r="E259" s="207">
        <f>(475.45+47)*1.15</f>
        <v>600.8175</v>
      </c>
      <c r="F259" s="335"/>
      <c r="G259" s="335"/>
      <c r="H259" s="335"/>
      <c r="I259" s="336"/>
      <c r="J259" s="337"/>
      <c r="K259" s="508"/>
      <c r="L259" s="508"/>
      <c r="M259" s="508"/>
      <c r="N259" s="508"/>
      <c r="O259" s="508"/>
      <c r="P259" s="508"/>
      <c r="Q259" s="508"/>
      <c r="R259" s="508"/>
      <c r="S259" s="508"/>
      <c r="T259" s="508"/>
    </row>
    <row r="260" spans="1:20" s="22" customFormat="1" ht="24" customHeight="1">
      <c r="A260" s="196" t="s">
        <v>2613</v>
      </c>
      <c r="B260" s="197" t="s">
        <v>2611</v>
      </c>
      <c r="C260" s="199" t="s">
        <v>2617</v>
      </c>
      <c r="D260" s="917" t="s">
        <v>2821</v>
      </c>
      <c r="E260" s="198" t="s">
        <v>1748</v>
      </c>
      <c r="F260" s="332">
        <f>SUM(E261:E261)</f>
        <v>430.95</v>
      </c>
      <c r="G260" s="332"/>
      <c r="H260" s="332">
        <f t="shared" si="15"/>
        <v>0</v>
      </c>
      <c r="I260" s="333">
        <v>0.00035</v>
      </c>
      <c r="J260" s="334">
        <f t="shared" si="16"/>
        <v>0.1508325</v>
      </c>
      <c r="K260" s="693"/>
      <c r="L260" s="693"/>
      <c r="M260" s="693"/>
      <c r="N260" s="693"/>
      <c r="O260" s="693"/>
      <c r="P260" s="693"/>
      <c r="Q260" s="694"/>
      <c r="R260" s="509"/>
      <c r="S260" s="509"/>
      <c r="T260" s="509"/>
    </row>
    <row r="261" spans="1:20" s="130" customFormat="1" ht="24" customHeight="1">
      <c r="A261" s="204"/>
      <c r="B261" s="205" t="s">
        <v>985</v>
      </c>
      <c r="C261" s="206" t="s">
        <v>892</v>
      </c>
      <c r="D261" s="916"/>
      <c r="E261" s="207">
        <v>430.95</v>
      </c>
      <c r="F261" s="335"/>
      <c r="G261" s="335"/>
      <c r="H261" s="335"/>
      <c r="I261" s="336"/>
      <c r="J261" s="337"/>
      <c r="K261" s="508"/>
      <c r="L261" s="508"/>
      <c r="M261" s="508"/>
      <c r="N261" s="508"/>
      <c r="O261" s="508"/>
      <c r="P261" s="508"/>
      <c r="Q261" s="508"/>
      <c r="R261" s="508"/>
      <c r="S261" s="508"/>
      <c r="T261" s="508"/>
    </row>
    <row r="262" spans="1:20" s="22" customFormat="1" ht="18.75" customHeight="1">
      <c r="A262" s="196" t="s">
        <v>2616</v>
      </c>
      <c r="B262" s="197" t="s">
        <v>2619</v>
      </c>
      <c r="C262" s="199" t="s">
        <v>2620</v>
      </c>
      <c r="D262" s="917" t="s">
        <v>2821</v>
      </c>
      <c r="E262" s="198" t="s">
        <v>1748</v>
      </c>
      <c r="F262" s="1028">
        <f>F260*1.15</f>
        <v>495.5925</v>
      </c>
      <c r="G262" s="332"/>
      <c r="H262" s="332">
        <f>F262*G262</f>
        <v>0</v>
      </c>
      <c r="I262" s="333">
        <v>0.004</v>
      </c>
      <c r="J262" s="334">
        <f>F262*I262</f>
        <v>1.98237</v>
      </c>
      <c r="K262" s="693"/>
      <c r="L262" s="693"/>
      <c r="M262" s="693"/>
      <c r="N262" s="693"/>
      <c r="O262" s="693"/>
      <c r="P262" s="693"/>
      <c r="Q262" s="694"/>
      <c r="R262" s="509"/>
      <c r="S262" s="509"/>
      <c r="T262" s="509"/>
    </row>
    <row r="263" spans="1:20" s="1034" customFormat="1" ht="17.25" customHeight="1">
      <c r="A263" s="1023" t="s">
        <v>2878</v>
      </c>
      <c r="B263" s="1024" t="s">
        <v>2876</v>
      </c>
      <c r="C263" s="1025" t="s">
        <v>2877</v>
      </c>
      <c r="D263" s="1177"/>
      <c r="E263" s="1027" t="s">
        <v>1748</v>
      </c>
      <c r="F263" s="1028">
        <f>F260</f>
        <v>430.95</v>
      </c>
      <c r="G263" s="1028"/>
      <c r="H263" s="1028">
        <f>F263*G263</f>
        <v>0</v>
      </c>
      <c r="I263" s="1029">
        <v>0.00013</v>
      </c>
      <c r="J263" s="1030">
        <f>F263*I263</f>
        <v>0.0560235</v>
      </c>
      <c r="K263" s="1031"/>
      <c r="L263" s="1031"/>
      <c r="M263" s="1031"/>
      <c r="N263" s="1031"/>
      <c r="O263" s="1031"/>
      <c r="P263" s="1031"/>
      <c r="Q263" s="1032"/>
      <c r="R263" s="1033"/>
      <c r="S263" s="1033"/>
      <c r="T263" s="1033"/>
    </row>
    <row r="264" spans="1:20" s="22" customFormat="1" ht="24" customHeight="1" thickBot="1">
      <c r="A264" s="255" t="s">
        <v>2618</v>
      </c>
      <c r="B264" s="256" t="s">
        <v>2625</v>
      </c>
      <c r="C264" s="264" t="s">
        <v>2626</v>
      </c>
      <c r="D264" s="968"/>
      <c r="E264" s="257" t="s">
        <v>1783</v>
      </c>
      <c r="F264" s="368">
        <f>J247</f>
        <v>7.78349925</v>
      </c>
      <c r="G264" s="368"/>
      <c r="H264" s="368">
        <f>F264*G264</f>
        <v>0</v>
      </c>
      <c r="I264" s="369">
        <v>0</v>
      </c>
      <c r="J264" s="370">
        <f>F264*I264</f>
        <v>0</v>
      </c>
      <c r="K264" s="509"/>
      <c r="L264" s="509"/>
      <c r="M264" s="509"/>
      <c r="N264" s="509"/>
      <c r="O264" s="509"/>
      <c r="P264" s="509"/>
      <c r="Q264" s="509"/>
      <c r="R264" s="509"/>
      <c r="S264" s="509"/>
      <c r="T264" s="509"/>
    </row>
    <row r="265" spans="1:20" ht="16.5" customHeight="1" thickBot="1">
      <c r="A265" s="266" t="s">
        <v>2627</v>
      </c>
      <c r="B265" s="175" t="s">
        <v>2628</v>
      </c>
      <c r="C265" s="176" t="s">
        <v>2629</v>
      </c>
      <c r="D265" s="1008"/>
      <c r="E265" s="175"/>
      <c r="F265" s="341"/>
      <c r="G265" s="341"/>
      <c r="H265" s="342">
        <f>SUM(H266:H282)</f>
        <v>0</v>
      </c>
      <c r="I265" s="343"/>
      <c r="J265" s="344">
        <f>SUM(J266:J281)</f>
        <v>2.1903036317000004</v>
      </c>
      <c r="K265" s="670"/>
      <c r="L265" s="670"/>
      <c r="M265" s="670"/>
      <c r="N265" s="670"/>
      <c r="O265" s="670"/>
      <c r="P265" s="670"/>
      <c r="Q265" s="670"/>
      <c r="R265" s="670"/>
      <c r="S265" s="670"/>
      <c r="T265" s="670"/>
    </row>
    <row r="266" spans="1:20" s="22" customFormat="1" ht="18.75" customHeight="1">
      <c r="A266" s="190"/>
      <c r="B266" s="191"/>
      <c r="C266" s="265"/>
      <c r="D266" s="964"/>
      <c r="E266" s="192"/>
      <c r="F266" s="345"/>
      <c r="G266" s="345"/>
      <c r="H266" s="345"/>
      <c r="I266" s="346"/>
      <c r="J266" s="347"/>
      <c r="K266" s="509"/>
      <c r="L266" s="509"/>
      <c r="M266" s="509"/>
      <c r="N266" s="509"/>
      <c r="O266" s="509"/>
      <c r="P266" s="509"/>
      <c r="Q266" s="509"/>
      <c r="R266" s="509"/>
      <c r="S266" s="509"/>
      <c r="T266" s="509"/>
    </row>
    <row r="267" spans="1:20" s="22" customFormat="1" ht="18.75" customHeight="1">
      <c r="A267" s="196" t="s">
        <v>2630</v>
      </c>
      <c r="B267" s="197" t="s">
        <v>2631</v>
      </c>
      <c r="C267" s="199" t="s">
        <v>2632</v>
      </c>
      <c r="D267" s="917" t="s">
        <v>2792</v>
      </c>
      <c r="E267" s="198" t="s">
        <v>1748</v>
      </c>
      <c r="F267" s="332">
        <f>E268</f>
        <v>430.95</v>
      </c>
      <c r="G267" s="332"/>
      <c r="H267" s="332">
        <f>F267*G267</f>
        <v>0</v>
      </c>
      <c r="I267" s="333">
        <v>0</v>
      </c>
      <c r="J267" s="334">
        <f>F267*I267</f>
        <v>0</v>
      </c>
      <c r="K267" s="693"/>
      <c r="L267" s="693"/>
      <c r="M267" s="693"/>
      <c r="N267" s="693"/>
      <c r="O267" s="693"/>
      <c r="P267" s="693"/>
      <c r="Q267" s="694"/>
      <c r="R267" s="509"/>
      <c r="S267" s="509"/>
      <c r="T267" s="509"/>
    </row>
    <row r="268" spans="1:20" s="130" customFormat="1" ht="20.25" customHeight="1">
      <c r="A268" s="204"/>
      <c r="B268" s="205" t="s">
        <v>993</v>
      </c>
      <c r="C268" s="205" t="s">
        <v>892</v>
      </c>
      <c r="D268" s="916"/>
      <c r="E268" s="260">
        <v>430.95</v>
      </c>
      <c r="F268" s="335"/>
      <c r="G268" s="335"/>
      <c r="H268" s="335"/>
      <c r="I268" s="336"/>
      <c r="J268" s="337"/>
      <c r="K268" s="672"/>
      <c r="L268" s="672"/>
      <c r="M268" s="672"/>
      <c r="N268" s="672"/>
      <c r="O268" s="672"/>
      <c r="P268" s="672"/>
      <c r="Q268" s="673"/>
      <c r="R268" s="508"/>
      <c r="S268" s="508"/>
      <c r="T268" s="508"/>
    </row>
    <row r="269" spans="1:20" s="22" customFormat="1" ht="18.75" customHeight="1">
      <c r="A269" s="196" t="s">
        <v>2633</v>
      </c>
      <c r="B269" s="197" t="s">
        <v>2646</v>
      </c>
      <c r="C269" s="199" t="s">
        <v>2647</v>
      </c>
      <c r="D269" s="917" t="s">
        <v>2792</v>
      </c>
      <c r="E269" s="198" t="s">
        <v>1748</v>
      </c>
      <c r="F269" s="332">
        <f>E270</f>
        <v>879.138</v>
      </c>
      <c r="G269" s="332"/>
      <c r="H269" s="332">
        <f>F269*G269</f>
        <v>0</v>
      </c>
      <c r="I269" s="333">
        <v>0.0024</v>
      </c>
      <c r="J269" s="334">
        <f>F269*I269</f>
        <v>2.1099312</v>
      </c>
      <c r="K269" s="693"/>
      <c r="L269" s="693"/>
      <c r="M269" s="693"/>
      <c r="N269" s="693"/>
      <c r="O269" s="693"/>
      <c r="P269" s="693"/>
      <c r="Q269" s="694"/>
      <c r="R269" s="509"/>
      <c r="S269" s="509"/>
      <c r="T269" s="509"/>
    </row>
    <row r="270" spans="1:20" s="130" customFormat="1" ht="20.25" customHeight="1">
      <c r="A270" s="204"/>
      <c r="B270" s="205" t="s">
        <v>993</v>
      </c>
      <c r="C270" s="205" t="s">
        <v>994</v>
      </c>
      <c r="D270" s="916"/>
      <c r="E270" s="260">
        <f>(430.95*2)*1.02</f>
        <v>879.138</v>
      </c>
      <c r="F270" s="335"/>
      <c r="G270" s="335"/>
      <c r="H270" s="335"/>
      <c r="I270" s="336"/>
      <c r="J270" s="337"/>
      <c r="K270" s="672"/>
      <c r="L270" s="672"/>
      <c r="M270" s="672"/>
      <c r="N270" s="672"/>
      <c r="O270" s="672"/>
      <c r="P270" s="672"/>
      <c r="Q270" s="673"/>
      <c r="R270" s="508"/>
      <c r="S270" s="508"/>
      <c r="T270" s="508"/>
    </row>
    <row r="271" spans="1:20" s="22" customFormat="1" ht="18.75" customHeight="1">
      <c r="A271" s="196" t="s">
        <v>2637</v>
      </c>
      <c r="B271" s="197" t="s">
        <v>787</v>
      </c>
      <c r="C271" s="1025" t="s">
        <v>2946</v>
      </c>
      <c r="D271" s="917" t="s">
        <v>2792</v>
      </c>
      <c r="E271" s="198" t="s">
        <v>1748</v>
      </c>
      <c r="F271" s="332">
        <f>SUM(E272:E273)</f>
        <v>13.09</v>
      </c>
      <c r="G271" s="332"/>
      <c r="H271" s="332">
        <f>F271*G271</f>
        <v>0</v>
      </c>
      <c r="I271" s="333">
        <v>0.001185</v>
      </c>
      <c r="J271" s="334">
        <f>F271*I271</f>
        <v>0.01551165</v>
      </c>
      <c r="K271" s="693"/>
      <c r="L271" s="693"/>
      <c r="M271" s="693"/>
      <c r="N271" s="693"/>
      <c r="O271" s="693"/>
      <c r="P271" s="693"/>
      <c r="Q271" s="694"/>
      <c r="R271" s="509"/>
      <c r="S271" s="509"/>
      <c r="T271" s="509"/>
    </row>
    <row r="272" spans="1:20" s="130" customFormat="1" ht="22.5" customHeight="1">
      <c r="A272" s="204"/>
      <c r="B272" s="205" t="s">
        <v>878</v>
      </c>
      <c r="C272" s="206" t="s">
        <v>879</v>
      </c>
      <c r="D272" s="916" t="s">
        <v>995</v>
      </c>
      <c r="E272" s="207">
        <f>(2.86+3.83)</f>
        <v>6.6899999999999995</v>
      </c>
      <c r="F272" s="335"/>
      <c r="G272" s="335"/>
      <c r="H272" s="335"/>
      <c r="I272" s="336"/>
      <c r="J272" s="337"/>
      <c r="K272" s="672"/>
      <c r="L272" s="672"/>
      <c r="M272" s="672"/>
      <c r="N272" s="672"/>
      <c r="O272" s="672"/>
      <c r="P272" s="672"/>
      <c r="Q272" s="673"/>
      <c r="R272" s="508"/>
      <c r="S272" s="508"/>
      <c r="T272" s="508"/>
    </row>
    <row r="273" spans="1:20" s="130" customFormat="1" ht="22.5" customHeight="1">
      <c r="A273" s="204"/>
      <c r="B273" s="205" t="s">
        <v>884</v>
      </c>
      <c r="C273" s="206" t="s">
        <v>885</v>
      </c>
      <c r="D273" s="916" t="s">
        <v>995</v>
      </c>
      <c r="E273" s="207">
        <f>(4.06+2.34)</f>
        <v>6.3999999999999995</v>
      </c>
      <c r="F273" s="335"/>
      <c r="G273" s="335"/>
      <c r="H273" s="335"/>
      <c r="I273" s="336"/>
      <c r="J273" s="337"/>
      <c r="K273" s="672"/>
      <c r="L273" s="672"/>
      <c r="M273" s="672"/>
      <c r="N273" s="672"/>
      <c r="O273" s="672"/>
      <c r="P273" s="672"/>
      <c r="Q273" s="673"/>
      <c r="R273" s="508"/>
      <c r="S273" s="508"/>
      <c r="T273" s="508"/>
    </row>
    <row r="274" spans="1:20" s="22" customFormat="1" ht="20.25" customHeight="1">
      <c r="A274" s="196" t="s">
        <v>2641</v>
      </c>
      <c r="B274" s="197" t="s">
        <v>996</v>
      </c>
      <c r="C274" s="197" t="s">
        <v>997</v>
      </c>
      <c r="D274" s="1177" t="s">
        <v>883</v>
      </c>
      <c r="E274" s="198" t="s">
        <v>1709</v>
      </c>
      <c r="F274" s="1028">
        <f>SUM(E275:E276)</f>
        <v>0.6675900000000001</v>
      </c>
      <c r="G274" s="332"/>
      <c r="H274" s="332">
        <f>F274*G274</f>
        <v>0</v>
      </c>
      <c r="I274" s="333">
        <v>0.00463</v>
      </c>
      <c r="J274" s="334">
        <f>F274*I274</f>
        <v>0.0030909417000000005</v>
      </c>
      <c r="K274" s="693"/>
      <c r="L274" s="693"/>
      <c r="M274" s="693"/>
      <c r="N274" s="693"/>
      <c r="O274" s="693"/>
      <c r="P274" s="693"/>
      <c r="Q274" s="694"/>
      <c r="R274" s="509"/>
      <c r="S274" s="509"/>
      <c r="T274" s="509"/>
    </row>
    <row r="275" spans="1:20" s="130" customFormat="1" ht="22.5" customHeight="1">
      <c r="A275" s="204"/>
      <c r="B275" s="205" t="s">
        <v>878</v>
      </c>
      <c r="C275" s="206" t="s">
        <v>2862</v>
      </c>
      <c r="D275" s="1176" t="s">
        <v>995</v>
      </c>
      <c r="E275" s="207">
        <f>(2.86+3.83)*0.05*1.02</f>
        <v>0.34119000000000005</v>
      </c>
      <c r="F275" s="335"/>
      <c r="G275" s="335"/>
      <c r="H275" s="335"/>
      <c r="I275" s="336"/>
      <c r="J275" s="337"/>
      <c r="K275" s="672"/>
      <c r="L275" s="672"/>
      <c r="M275" s="672"/>
      <c r="N275" s="672"/>
      <c r="O275" s="672"/>
      <c r="P275" s="672"/>
      <c r="Q275" s="673"/>
      <c r="R275" s="508"/>
      <c r="S275" s="508"/>
      <c r="T275" s="508"/>
    </row>
    <row r="276" spans="1:20" s="130" customFormat="1" ht="22.5" customHeight="1">
      <c r="A276" s="204"/>
      <c r="B276" s="205" t="s">
        <v>884</v>
      </c>
      <c r="C276" s="206" t="s">
        <v>2863</v>
      </c>
      <c r="D276" s="1176" t="s">
        <v>995</v>
      </c>
      <c r="E276" s="207">
        <f>(4.06+2.34)*0.05*1.02</f>
        <v>0.3264</v>
      </c>
      <c r="F276" s="335"/>
      <c r="G276" s="335"/>
      <c r="H276" s="335"/>
      <c r="I276" s="336"/>
      <c r="J276" s="337"/>
      <c r="K276" s="672"/>
      <c r="L276" s="672"/>
      <c r="M276" s="672"/>
      <c r="N276" s="672"/>
      <c r="O276" s="672"/>
      <c r="P276" s="672"/>
      <c r="Q276" s="673"/>
      <c r="R276" s="508"/>
      <c r="S276" s="508"/>
      <c r="T276" s="508"/>
    </row>
    <row r="277" spans="1:20" s="22" customFormat="1" ht="18.75" customHeight="1">
      <c r="A277" s="196" t="s">
        <v>2645</v>
      </c>
      <c r="B277" s="197" t="s">
        <v>998</v>
      </c>
      <c r="C277" s="199" t="s">
        <v>2955</v>
      </c>
      <c r="D277" s="1177" t="s">
        <v>2792</v>
      </c>
      <c r="E277" s="198" t="s">
        <v>1748</v>
      </c>
      <c r="F277" s="332">
        <f>E278</f>
        <v>474.045</v>
      </c>
      <c r="G277" s="332"/>
      <c r="H277" s="332">
        <f>F277*G277</f>
        <v>0</v>
      </c>
      <c r="I277" s="333">
        <v>0.00013</v>
      </c>
      <c r="J277" s="334">
        <f>F277*I277</f>
        <v>0.061625849999999996</v>
      </c>
      <c r="K277" s="693"/>
      <c r="L277" s="693"/>
      <c r="M277" s="693"/>
      <c r="N277" s="693"/>
      <c r="O277" s="693"/>
      <c r="P277" s="693"/>
      <c r="Q277" s="694"/>
      <c r="R277" s="509"/>
      <c r="S277" s="509"/>
      <c r="T277" s="509"/>
    </row>
    <row r="278" spans="1:20" s="130" customFormat="1" ht="20.25" customHeight="1">
      <c r="A278" s="204"/>
      <c r="B278" s="205" t="s">
        <v>993</v>
      </c>
      <c r="C278" s="205" t="s">
        <v>1000</v>
      </c>
      <c r="D278" s="916"/>
      <c r="E278" s="260">
        <f>430.95*1.1</f>
        <v>474.045</v>
      </c>
      <c r="F278" s="335"/>
      <c r="G278" s="335"/>
      <c r="H278" s="335"/>
      <c r="I278" s="336"/>
      <c r="J278" s="337"/>
      <c r="K278" s="672"/>
      <c r="L278" s="672"/>
      <c r="M278" s="672"/>
      <c r="N278" s="672"/>
      <c r="O278" s="672"/>
      <c r="P278" s="672"/>
      <c r="Q278" s="673"/>
      <c r="R278" s="508"/>
      <c r="S278" s="508"/>
      <c r="T278" s="508"/>
    </row>
    <row r="279" spans="1:20" s="22" customFormat="1" ht="18.75" customHeight="1">
      <c r="A279" s="196" t="s">
        <v>2648</v>
      </c>
      <c r="B279" s="197" t="s">
        <v>2665</v>
      </c>
      <c r="C279" s="199" t="s">
        <v>2666</v>
      </c>
      <c r="D279" s="917" t="s">
        <v>2792</v>
      </c>
      <c r="E279" s="198" t="s">
        <v>1748</v>
      </c>
      <c r="F279" s="332">
        <f>SUM(E280:E281)</f>
        <v>14.399000000000001</v>
      </c>
      <c r="G279" s="332"/>
      <c r="H279" s="332">
        <f>F279*G279</f>
        <v>0</v>
      </c>
      <c r="I279" s="333">
        <v>1E-05</v>
      </c>
      <c r="J279" s="334">
        <f>F279*I279</f>
        <v>0.00014399</v>
      </c>
      <c r="K279" s="693"/>
      <c r="L279" s="693"/>
      <c r="M279" s="693"/>
      <c r="N279" s="693"/>
      <c r="O279" s="693"/>
      <c r="P279" s="693"/>
      <c r="Q279" s="694"/>
      <c r="R279" s="509"/>
      <c r="S279" s="509"/>
      <c r="T279" s="509"/>
    </row>
    <row r="280" spans="1:20" s="130" customFormat="1" ht="22.5" customHeight="1">
      <c r="A280" s="204"/>
      <c r="B280" s="205" t="s">
        <v>878</v>
      </c>
      <c r="C280" s="206" t="s">
        <v>1001</v>
      </c>
      <c r="D280" s="916"/>
      <c r="E280" s="207">
        <f>(2.86+3.83)*1.1</f>
        <v>7.359</v>
      </c>
      <c r="F280" s="335"/>
      <c r="G280" s="335"/>
      <c r="H280" s="335"/>
      <c r="I280" s="336"/>
      <c r="J280" s="337"/>
      <c r="K280" s="672"/>
      <c r="L280" s="672"/>
      <c r="M280" s="672"/>
      <c r="N280" s="672"/>
      <c r="O280" s="672"/>
      <c r="P280" s="672"/>
      <c r="Q280" s="673"/>
      <c r="R280" s="508"/>
      <c r="S280" s="508"/>
      <c r="T280" s="508"/>
    </row>
    <row r="281" spans="1:20" s="130" customFormat="1" ht="22.5" customHeight="1">
      <c r="A281" s="204"/>
      <c r="B281" s="205" t="s">
        <v>884</v>
      </c>
      <c r="C281" s="206" t="s">
        <v>1002</v>
      </c>
      <c r="D281" s="916"/>
      <c r="E281" s="207">
        <f>(4.06+2.34)*1.1</f>
        <v>7.04</v>
      </c>
      <c r="F281" s="335"/>
      <c r="G281" s="335"/>
      <c r="H281" s="335"/>
      <c r="I281" s="336"/>
      <c r="J281" s="337"/>
      <c r="K281" s="672"/>
      <c r="L281" s="672"/>
      <c r="M281" s="672"/>
      <c r="N281" s="672"/>
      <c r="O281" s="672"/>
      <c r="P281" s="672"/>
      <c r="Q281" s="673"/>
      <c r="R281" s="508"/>
      <c r="S281" s="508"/>
      <c r="T281" s="508"/>
    </row>
    <row r="282" spans="1:20" s="22" customFormat="1" ht="18.75" customHeight="1" thickBot="1">
      <c r="A282" s="255" t="s">
        <v>2658</v>
      </c>
      <c r="B282" s="256" t="s">
        <v>2681</v>
      </c>
      <c r="C282" s="264" t="s">
        <v>2682</v>
      </c>
      <c r="D282" s="968"/>
      <c r="E282" s="257" t="s">
        <v>1783</v>
      </c>
      <c r="F282" s="368">
        <f>J265</f>
        <v>2.1903036317000004</v>
      </c>
      <c r="G282" s="368"/>
      <c r="H282" s="368">
        <f>F282*G282</f>
        <v>0</v>
      </c>
      <c r="I282" s="369">
        <v>0</v>
      </c>
      <c r="J282" s="370">
        <f>F282*I282</f>
        <v>0</v>
      </c>
      <c r="K282" s="509"/>
      <c r="L282" s="509"/>
      <c r="M282" s="509"/>
      <c r="N282" s="509"/>
      <c r="O282" s="509"/>
      <c r="P282" s="509"/>
      <c r="Q282" s="509"/>
      <c r="R282" s="509"/>
      <c r="S282" s="509"/>
      <c r="T282" s="509"/>
    </row>
    <row r="283" spans="1:20" ht="16.5" customHeight="1" thickBot="1">
      <c r="A283" s="266" t="s">
        <v>2683</v>
      </c>
      <c r="B283" s="175" t="s">
        <v>2684</v>
      </c>
      <c r="C283" s="176" t="s">
        <v>2685</v>
      </c>
      <c r="D283" s="1008"/>
      <c r="E283" s="175"/>
      <c r="F283" s="341"/>
      <c r="G283" s="341"/>
      <c r="H283" s="342">
        <f>SUM(H284)</f>
        <v>0</v>
      </c>
      <c r="I283" s="343"/>
      <c r="J283" s="344">
        <f>SUM(J284)</f>
        <v>0</v>
      </c>
      <c r="K283" s="670"/>
      <c r="L283" s="670"/>
      <c r="M283" s="670"/>
      <c r="N283" s="670"/>
      <c r="O283" s="670"/>
      <c r="P283" s="670"/>
      <c r="Q283" s="670"/>
      <c r="R283" s="670"/>
      <c r="S283" s="670"/>
      <c r="T283" s="670"/>
    </row>
    <row r="284" spans="1:20" s="22" customFormat="1" ht="18.75" customHeight="1" thickBot="1">
      <c r="A284" s="196" t="s">
        <v>1122</v>
      </c>
      <c r="B284" s="197" t="s">
        <v>1123</v>
      </c>
      <c r="C284" s="199" t="s">
        <v>1124</v>
      </c>
      <c r="D284" s="917" t="s">
        <v>2749</v>
      </c>
      <c r="E284" s="198" t="s">
        <v>2695</v>
      </c>
      <c r="F284" s="332">
        <v>1</v>
      </c>
      <c r="G284" s="332"/>
      <c r="H284" s="332">
        <f>F284*G284</f>
        <v>0</v>
      </c>
      <c r="I284" s="333">
        <v>0</v>
      </c>
      <c r="J284" s="334">
        <f>F284*I284</f>
        <v>0</v>
      </c>
      <c r="K284" s="693"/>
      <c r="L284" s="693"/>
      <c r="M284" s="693"/>
      <c r="N284" s="693"/>
      <c r="O284" s="693"/>
      <c r="P284" s="693"/>
      <c r="Q284" s="694"/>
      <c r="R284" s="509"/>
      <c r="S284" s="509"/>
      <c r="T284" s="509"/>
    </row>
    <row r="285" spans="1:20" ht="16.5" customHeight="1" thickBot="1">
      <c r="A285" s="266" t="s">
        <v>2686</v>
      </c>
      <c r="B285" s="175" t="s">
        <v>2687</v>
      </c>
      <c r="C285" s="176" t="s">
        <v>2688</v>
      </c>
      <c r="D285" s="1008"/>
      <c r="E285" s="175"/>
      <c r="F285" s="341"/>
      <c r="G285" s="341"/>
      <c r="H285" s="342">
        <f>SUM(H286:H289)</f>
        <v>0</v>
      </c>
      <c r="I285" s="343"/>
      <c r="J285" s="344">
        <f>SUM(J286:J289)</f>
        <v>0</v>
      </c>
      <c r="K285" s="670"/>
      <c r="L285" s="670"/>
      <c r="M285" s="670"/>
      <c r="N285" s="670"/>
      <c r="O285" s="670"/>
      <c r="P285" s="670"/>
      <c r="Q285" s="670"/>
      <c r="R285" s="670"/>
      <c r="S285" s="670"/>
      <c r="T285" s="670"/>
    </row>
    <row r="286" spans="1:20" s="586" customFormat="1" ht="60.75" customHeight="1">
      <c r="A286" s="770"/>
      <c r="B286" s="771" t="s">
        <v>1676</v>
      </c>
      <c r="C286" s="772" t="s">
        <v>2689</v>
      </c>
      <c r="D286" s="979" t="s">
        <v>2749</v>
      </c>
      <c r="E286" s="773"/>
      <c r="F286" s="774"/>
      <c r="G286" s="774"/>
      <c r="H286" s="774"/>
      <c r="I286" s="775"/>
      <c r="J286" s="776"/>
      <c r="K286" s="597"/>
      <c r="L286" s="597"/>
      <c r="M286" s="597"/>
      <c r="N286" s="597"/>
      <c r="O286" s="597"/>
      <c r="P286" s="597"/>
      <c r="Q286" s="597"/>
      <c r="R286" s="597"/>
      <c r="S286" s="597"/>
      <c r="T286" s="597"/>
    </row>
    <row r="287" spans="1:20" s="22" customFormat="1" ht="32.25" customHeight="1">
      <c r="A287" s="196" t="s">
        <v>2690</v>
      </c>
      <c r="B287" s="197" t="s">
        <v>2691</v>
      </c>
      <c r="C287" s="453" t="s">
        <v>1178</v>
      </c>
      <c r="D287" s="917" t="s">
        <v>2749</v>
      </c>
      <c r="E287" s="198" t="s">
        <v>1831</v>
      </c>
      <c r="F287" s="332">
        <v>47</v>
      </c>
      <c r="G287" s="332"/>
      <c r="H287" s="332">
        <f>F287*G287</f>
        <v>0</v>
      </c>
      <c r="I287" s="333">
        <v>0</v>
      </c>
      <c r="J287" s="334">
        <f>F287*I287</f>
        <v>0</v>
      </c>
      <c r="K287" s="693"/>
      <c r="L287" s="693"/>
      <c r="M287" s="693"/>
      <c r="N287" s="693"/>
      <c r="O287" s="693"/>
      <c r="P287" s="693"/>
      <c r="Q287" s="694"/>
      <c r="R287" s="509"/>
      <c r="S287" s="509"/>
      <c r="T287" s="509"/>
    </row>
    <row r="288" spans="1:20" s="22" customFormat="1" ht="46.5" customHeight="1">
      <c r="A288" s="196" t="s">
        <v>2693</v>
      </c>
      <c r="B288" s="197" t="s">
        <v>2691</v>
      </c>
      <c r="C288" s="705" t="s">
        <v>2694</v>
      </c>
      <c r="D288" s="917" t="s">
        <v>2749</v>
      </c>
      <c r="E288" s="198" t="s">
        <v>2695</v>
      </c>
      <c r="F288" s="332">
        <v>1</v>
      </c>
      <c r="G288" s="828"/>
      <c r="H288" s="332">
        <f>F288*G288</f>
        <v>0</v>
      </c>
      <c r="I288" s="333">
        <v>0</v>
      </c>
      <c r="J288" s="334">
        <f>F288*I288</f>
        <v>0</v>
      </c>
      <c r="K288" s="693"/>
      <c r="L288" s="693"/>
      <c r="M288" s="693"/>
      <c r="N288" s="693"/>
      <c r="O288" s="693"/>
      <c r="P288" s="693"/>
      <c r="Q288" s="694"/>
      <c r="R288" s="509"/>
      <c r="S288" s="509"/>
      <c r="T288" s="509"/>
    </row>
    <row r="289" spans="1:20" s="461" customFormat="1" ht="18.75" customHeight="1" thickBot="1">
      <c r="A289" s="454"/>
      <c r="B289" s="455"/>
      <c r="C289" s="456" t="s">
        <v>1179</v>
      </c>
      <c r="D289" s="916"/>
      <c r="E289" s="457">
        <f>47*500</f>
        <v>23500</v>
      </c>
      <c r="F289" s="458"/>
      <c r="G289" s="458"/>
      <c r="H289" s="458"/>
      <c r="I289" s="459"/>
      <c r="J289" s="460"/>
      <c r="K289" s="729"/>
      <c r="L289" s="729"/>
      <c r="M289" s="729"/>
      <c r="N289" s="729"/>
      <c r="O289" s="729"/>
      <c r="P289" s="729"/>
      <c r="Q289" s="729"/>
      <c r="R289" s="729"/>
      <c r="S289" s="729"/>
      <c r="T289" s="729"/>
    </row>
    <row r="290" spans="1:20" ht="16.5" customHeight="1" thickBot="1">
      <c r="A290" s="266" t="s">
        <v>2697</v>
      </c>
      <c r="B290" s="175" t="s">
        <v>2698</v>
      </c>
      <c r="C290" s="176" t="s">
        <v>2699</v>
      </c>
      <c r="D290" s="1008"/>
      <c r="E290" s="175"/>
      <c r="F290" s="341"/>
      <c r="G290" s="341"/>
      <c r="H290" s="342">
        <f>SUM(H291:H305)</f>
        <v>0</v>
      </c>
      <c r="I290" s="343"/>
      <c r="J290" s="344">
        <f>SUM(J291:J304)</f>
        <v>13.9202251</v>
      </c>
      <c r="K290" s="670"/>
      <c r="L290" s="670"/>
      <c r="M290" s="670"/>
      <c r="N290" s="670"/>
      <c r="O290" s="670"/>
      <c r="P290" s="670"/>
      <c r="Q290" s="670"/>
      <c r="R290" s="670"/>
      <c r="S290" s="670"/>
      <c r="T290" s="670"/>
    </row>
    <row r="291" spans="1:20" s="22" customFormat="1" ht="15.75" customHeight="1">
      <c r="A291" s="190"/>
      <c r="B291" s="191"/>
      <c r="C291" s="265"/>
      <c r="D291" s="964"/>
      <c r="E291" s="192"/>
      <c r="F291" s="345"/>
      <c r="G291" s="345"/>
      <c r="H291" s="345"/>
      <c r="I291" s="346"/>
      <c r="J291" s="347"/>
      <c r="K291" s="509"/>
      <c r="L291" s="509"/>
      <c r="M291" s="509"/>
      <c r="N291" s="509"/>
      <c r="O291" s="509"/>
      <c r="P291" s="509"/>
      <c r="Q291" s="509"/>
      <c r="R291" s="509"/>
      <c r="S291" s="509"/>
      <c r="T291" s="509"/>
    </row>
    <row r="292" spans="1:20" s="22" customFormat="1" ht="18.75" customHeight="1">
      <c r="A292" s="196" t="s">
        <v>2700</v>
      </c>
      <c r="B292" s="197" t="s">
        <v>2701</v>
      </c>
      <c r="C292" s="199" t="s">
        <v>2702</v>
      </c>
      <c r="D292" s="917" t="s">
        <v>2792</v>
      </c>
      <c r="E292" s="198" t="s">
        <v>1748</v>
      </c>
      <c r="F292" s="332">
        <f>E293</f>
        <v>475.45</v>
      </c>
      <c r="G292" s="332"/>
      <c r="H292" s="332">
        <f aca="true" t="shared" si="17" ref="H292:H305">F292*G292</f>
        <v>0</v>
      </c>
      <c r="I292" s="333">
        <v>0.015</v>
      </c>
      <c r="J292" s="334">
        <f aca="true" t="shared" si="18" ref="J292:J305">F292*I292</f>
        <v>7.131749999999999</v>
      </c>
      <c r="K292" s="693"/>
      <c r="L292" s="693"/>
      <c r="M292" s="693"/>
      <c r="N292" s="693"/>
      <c r="O292" s="693"/>
      <c r="P292" s="693"/>
      <c r="Q292" s="694"/>
      <c r="R292" s="509"/>
      <c r="S292" s="509"/>
      <c r="T292" s="509"/>
    </row>
    <row r="293" spans="1:20" s="130" customFormat="1" ht="21.75" customHeight="1">
      <c r="A293" s="204"/>
      <c r="B293" s="205" t="s">
        <v>891</v>
      </c>
      <c r="C293" s="206" t="s">
        <v>1005</v>
      </c>
      <c r="D293" s="916"/>
      <c r="E293" s="207">
        <f>475.45</f>
        <v>475.45</v>
      </c>
      <c r="F293" s="335"/>
      <c r="G293" s="335"/>
      <c r="H293" s="335"/>
      <c r="I293" s="336"/>
      <c r="J293" s="337"/>
      <c r="K293" s="508"/>
      <c r="L293" s="508"/>
      <c r="M293" s="508"/>
      <c r="N293" s="508"/>
      <c r="O293" s="508"/>
      <c r="P293" s="508"/>
      <c r="Q293" s="508"/>
      <c r="R293" s="508"/>
      <c r="S293" s="508"/>
      <c r="T293" s="508"/>
    </row>
    <row r="294" spans="1:17" s="1119" customFormat="1" ht="18.75" customHeight="1">
      <c r="A294" s="1110" t="s">
        <v>2704</v>
      </c>
      <c r="B294" s="1111" t="s">
        <v>2705</v>
      </c>
      <c r="C294" s="1112" t="s">
        <v>2706</v>
      </c>
      <c r="D294" s="1191" t="s">
        <v>2839</v>
      </c>
      <c r="E294" s="1113" t="s">
        <v>1826</v>
      </c>
      <c r="F294" s="1114">
        <v>0</v>
      </c>
      <c r="G294" s="1114"/>
      <c r="H294" s="1114">
        <f t="shared" si="17"/>
        <v>0</v>
      </c>
      <c r="I294" s="1115">
        <v>0.00016</v>
      </c>
      <c r="J294" s="1116">
        <f t="shared" si="18"/>
        <v>0</v>
      </c>
      <c r="K294" s="1117"/>
      <c r="L294" s="1117"/>
      <c r="M294" s="1117"/>
      <c r="N294" s="1117"/>
      <c r="O294" s="1117"/>
      <c r="P294" s="1117"/>
      <c r="Q294" s="1118"/>
    </row>
    <row r="295" spans="1:10" s="1128" customFormat="1" ht="21.75" customHeight="1">
      <c r="A295" s="1122"/>
      <c r="B295" s="1123" t="s">
        <v>891</v>
      </c>
      <c r="C295" s="1124" t="s">
        <v>2944</v>
      </c>
      <c r="D295" s="1192"/>
      <c r="E295" s="1160">
        <f>475.45*0.1*4.8</f>
        <v>228.216</v>
      </c>
      <c r="F295" s="1125"/>
      <c r="G295" s="1125"/>
      <c r="H295" s="1125"/>
      <c r="I295" s="1126"/>
      <c r="J295" s="1127"/>
    </row>
    <row r="296" spans="1:17" s="1119" customFormat="1" ht="18.75" customHeight="1">
      <c r="A296" s="1110" t="s">
        <v>2708</v>
      </c>
      <c r="B296" s="1111" t="s">
        <v>2709</v>
      </c>
      <c r="C296" s="1112" t="s">
        <v>2710</v>
      </c>
      <c r="D296" s="1191" t="s">
        <v>2839</v>
      </c>
      <c r="E296" s="1113" t="s">
        <v>1826</v>
      </c>
      <c r="F296" s="1114">
        <v>0</v>
      </c>
      <c r="G296" s="1114"/>
      <c r="H296" s="1114">
        <f t="shared" si="17"/>
        <v>0</v>
      </c>
      <c r="I296" s="1115">
        <v>0.00099</v>
      </c>
      <c r="J296" s="1116">
        <f t="shared" si="18"/>
        <v>0</v>
      </c>
      <c r="K296" s="1117"/>
      <c r="L296" s="1117"/>
      <c r="M296" s="1117"/>
      <c r="N296" s="1117"/>
      <c r="O296" s="1117"/>
      <c r="P296" s="1117"/>
      <c r="Q296" s="1118"/>
    </row>
    <row r="297" spans="1:10" s="1128" customFormat="1" ht="21.75" customHeight="1">
      <c r="A297" s="1122"/>
      <c r="B297" s="1123" t="s">
        <v>891</v>
      </c>
      <c r="C297" s="1124" t="s">
        <v>2944</v>
      </c>
      <c r="D297" s="1192"/>
      <c r="E297" s="1160">
        <f>475.45*0.1*4.8</f>
        <v>228.216</v>
      </c>
      <c r="F297" s="1125"/>
      <c r="G297" s="1125"/>
      <c r="H297" s="1125"/>
      <c r="I297" s="1126"/>
      <c r="J297" s="1127"/>
    </row>
    <row r="298" spans="1:17" s="1119" customFormat="1" ht="18.75" customHeight="1">
      <c r="A298" s="1110" t="s">
        <v>2711</v>
      </c>
      <c r="B298" s="1111" t="s">
        <v>2712</v>
      </c>
      <c r="C298" s="1112" t="s">
        <v>2713</v>
      </c>
      <c r="D298" s="1191" t="s">
        <v>2839</v>
      </c>
      <c r="E298" s="1113" t="s">
        <v>1709</v>
      </c>
      <c r="F298" s="1114">
        <v>0</v>
      </c>
      <c r="G298" s="1114"/>
      <c r="H298" s="1114">
        <f t="shared" si="17"/>
        <v>0</v>
      </c>
      <c r="I298" s="1115">
        <v>0.55</v>
      </c>
      <c r="J298" s="1116">
        <f t="shared" si="18"/>
        <v>0</v>
      </c>
      <c r="K298" s="1117"/>
      <c r="L298" s="1117"/>
      <c r="M298" s="1117"/>
      <c r="N298" s="1117"/>
      <c r="O298" s="1117"/>
      <c r="P298" s="1117"/>
      <c r="Q298" s="1118"/>
    </row>
    <row r="299" spans="1:10" s="1128" customFormat="1" ht="21.75" customHeight="1">
      <c r="A299" s="1122"/>
      <c r="B299" s="1123" t="s">
        <v>891</v>
      </c>
      <c r="C299" s="1124" t="s">
        <v>2945</v>
      </c>
      <c r="D299" s="1192"/>
      <c r="E299" s="1160">
        <f>475.45*0.1*4.8*0.12*0.18</f>
        <v>4.9294655999999994</v>
      </c>
      <c r="F299" s="1125"/>
      <c r="G299" s="1125"/>
      <c r="H299" s="1125"/>
      <c r="I299" s="1126"/>
      <c r="J299" s="1127"/>
    </row>
    <row r="300" spans="1:17" s="1119" customFormat="1" ht="18.75" customHeight="1">
      <c r="A300" s="1110" t="s">
        <v>2715</v>
      </c>
      <c r="B300" s="1111" t="s">
        <v>2716</v>
      </c>
      <c r="C300" s="1112" t="s">
        <v>2868</v>
      </c>
      <c r="D300" s="1191" t="s">
        <v>2839</v>
      </c>
      <c r="E300" s="1113" t="s">
        <v>1748</v>
      </c>
      <c r="F300" s="1114">
        <v>0</v>
      </c>
      <c r="G300" s="1114"/>
      <c r="H300" s="1114">
        <f t="shared" si="17"/>
        <v>0</v>
      </c>
      <c r="I300" s="1115">
        <v>0.00017</v>
      </c>
      <c r="J300" s="1116">
        <f t="shared" si="18"/>
        <v>0</v>
      </c>
      <c r="K300" s="1117"/>
      <c r="L300" s="1117"/>
      <c r="M300" s="1117"/>
      <c r="N300" s="1117"/>
      <c r="O300" s="1117"/>
      <c r="P300" s="1117"/>
      <c r="Q300" s="1118"/>
    </row>
    <row r="301" spans="1:20" s="22" customFormat="1" ht="18.75" customHeight="1">
      <c r="A301" s="196" t="s">
        <v>2719</v>
      </c>
      <c r="B301" s="197" t="s">
        <v>2720</v>
      </c>
      <c r="C301" s="199" t="s">
        <v>2721</v>
      </c>
      <c r="D301" s="917" t="s">
        <v>2792</v>
      </c>
      <c r="E301" s="198" t="s">
        <v>1748</v>
      </c>
      <c r="F301" s="332">
        <f>E302</f>
        <v>475.45</v>
      </c>
      <c r="G301" s="332"/>
      <c r="H301" s="332">
        <f t="shared" si="17"/>
        <v>0</v>
      </c>
      <c r="I301" s="333">
        <v>0</v>
      </c>
      <c r="J301" s="334">
        <f t="shared" si="18"/>
        <v>0</v>
      </c>
      <c r="K301" s="693"/>
      <c r="L301" s="693"/>
      <c r="M301" s="693"/>
      <c r="N301" s="693"/>
      <c r="O301" s="693"/>
      <c r="P301" s="693"/>
      <c r="Q301" s="694"/>
      <c r="R301" s="509"/>
      <c r="S301" s="509"/>
      <c r="T301" s="509"/>
    </row>
    <row r="302" spans="1:20" s="130" customFormat="1" ht="15.75" customHeight="1">
      <c r="A302" s="204"/>
      <c r="B302" s="205" t="s">
        <v>891</v>
      </c>
      <c r="C302" s="206" t="s">
        <v>1005</v>
      </c>
      <c r="D302" s="916"/>
      <c r="E302" s="207">
        <f>475.45</f>
        <v>475.45</v>
      </c>
      <c r="F302" s="335"/>
      <c r="G302" s="335"/>
      <c r="H302" s="335"/>
      <c r="I302" s="336"/>
      <c r="J302" s="337"/>
      <c r="K302" s="508"/>
      <c r="L302" s="508"/>
      <c r="M302" s="508"/>
      <c r="N302" s="508"/>
      <c r="O302" s="508"/>
      <c r="P302" s="508"/>
      <c r="Q302" s="508"/>
      <c r="R302" s="508"/>
      <c r="S302" s="508"/>
      <c r="T302" s="508"/>
    </row>
    <row r="303" spans="1:20" s="22" customFormat="1" ht="18.75" customHeight="1">
      <c r="A303" s="196" t="s">
        <v>2722</v>
      </c>
      <c r="B303" s="197" t="s">
        <v>2723</v>
      </c>
      <c r="C303" s="199" t="s">
        <v>2724</v>
      </c>
      <c r="D303" s="1177" t="s">
        <v>2792</v>
      </c>
      <c r="E303" s="198" t="s">
        <v>1748</v>
      </c>
      <c r="F303" s="1028">
        <f>E304</f>
        <v>522.995</v>
      </c>
      <c r="G303" s="332"/>
      <c r="H303" s="332">
        <f t="shared" si="17"/>
        <v>0</v>
      </c>
      <c r="I303" s="333">
        <v>0.01298</v>
      </c>
      <c r="J303" s="334">
        <f t="shared" si="18"/>
        <v>6.7884751</v>
      </c>
      <c r="K303" s="693"/>
      <c r="L303" s="693"/>
      <c r="M303" s="693"/>
      <c r="N303" s="693"/>
      <c r="O303" s="693"/>
      <c r="P303" s="693"/>
      <c r="Q303" s="694"/>
      <c r="R303" s="509"/>
      <c r="S303" s="509"/>
      <c r="T303" s="509"/>
    </row>
    <row r="304" spans="1:20" s="130" customFormat="1" ht="16.5" customHeight="1">
      <c r="A304" s="204"/>
      <c r="B304" s="205" t="s">
        <v>891</v>
      </c>
      <c r="C304" s="206" t="s">
        <v>2874</v>
      </c>
      <c r="D304" s="1176"/>
      <c r="E304" s="207">
        <f>475.45*1.1</f>
        <v>522.995</v>
      </c>
      <c r="F304" s="335"/>
      <c r="G304" s="335"/>
      <c r="H304" s="335"/>
      <c r="I304" s="336"/>
      <c r="J304" s="337"/>
      <c r="K304" s="508"/>
      <c r="L304" s="508"/>
      <c r="M304" s="508"/>
      <c r="N304" s="508"/>
      <c r="O304" s="508"/>
      <c r="P304" s="508"/>
      <c r="Q304" s="508"/>
      <c r="R304" s="508"/>
      <c r="S304" s="508"/>
      <c r="T304" s="508"/>
    </row>
    <row r="305" spans="1:20" s="22" customFormat="1" ht="18.75" customHeight="1" thickBot="1">
      <c r="A305" s="255" t="s">
        <v>2725</v>
      </c>
      <c r="B305" s="256" t="s">
        <v>2733</v>
      </c>
      <c r="C305" s="264" t="s">
        <v>2734</v>
      </c>
      <c r="D305" s="1201"/>
      <c r="E305" s="257" t="s">
        <v>1783</v>
      </c>
      <c r="F305" s="368">
        <f>SUM(J290)</f>
        <v>13.9202251</v>
      </c>
      <c r="G305" s="368"/>
      <c r="H305" s="368">
        <f t="shared" si="17"/>
        <v>0</v>
      </c>
      <c r="I305" s="369">
        <v>0</v>
      </c>
      <c r="J305" s="370">
        <f t="shared" si="18"/>
        <v>0</v>
      </c>
      <c r="K305" s="509"/>
      <c r="L305" s="509"/>
      <c r="M305" s="509"/>
      <c r="N305" s="509"/>
      <c r="O305" s="509"/>
      <c r="P305" s="509"/>
      <c r="Q305" s="509"/>
      <c r="R305" s="509"/>
      <c r="S305" s="509"/>
      <c r="T305" s="509"/>
    </row>
    <row r="306" spans="1:20" ht="16.5" customHeight="1" thickBot="1">
      <c r="A306" s="266" t="s">
        <v>2735</v>
      </c>
      <c r="B306" s="175" t="s">
        <v>2736</v>
      </c>
      <c r="C306" s="176" t="s">
        <v>2737</v>
      </c>
      <c r="D306" s="1008"/>
      <c r="E306" s="175"/>
      <c r="F306" s="341"/>
      <c r="G306" s="341"/>
      <c r="H306" s="342">
        <f>SUM(H307:H329)</f>
        <v>0</v>
      </c>
      <c r="I306" s="343"/>
      <c r="J306" s="344">
        <f>SUM(J307:J328)</f>
        <v>2.6551829999999996</v>
      </c>
      <c r="K306" s="670"/>
      <c r="L306" s="670"/>
      <c r="M306" s="670"/>
      <c r="N306" s="670"/>
      <c r="O306" s="670"/>
      <c r="P306" s="670"/>
      <c r="Q306" s="670"/>
      <c r="R306" s="670"/>
      <c r="S306" s="670"/>
      <c r="T306" s="670"/>
    </row>
    <row r="307" spans="1:20" s="22" customFormat="1" ht="39.75" customHeight="1">
      <c r="A307" s="190"/>
      <c r="B307" s="191"/>
      <c r="C307" s="316" t="s">
        <v>2738</v>
      </c>
      <c r="D307" s="964"/>
      <c r="E307" s="192"/>
      <c r="F307" s="345"/>
      <c r="G307" s="345"/>
      <c r="H307" s="345"/>
      <c r="I307" s="346"/>
      <c r="J307" s="347"/>
      <c r="K307" s="693"/>
      <c r="L307" s="693"/>
      <c r="M307" s="693"/>
      <c r="N307" s="693"/>
      <c r="O307" s="693"/>
      <c r="P307" s="693"/>
      <c r="Q307" s="694"/>
      <c r="R307" s="509"/>
      <c r="S307" s="509"/>
      <c r="T307" s="509"/>
    </row>
    <row r="308" spans="1:20" s="22" customFormat="1" ht="18.75" customHeight="1">
      <c r="A308" s="196" t="s">
        <v>2739</v>
      </c>
      <c r="B308" s="197" t="s">
        <v>2740</v>
      </c>
      <c r="C308" s="199" t="s">
        <v>446</v>
      </c>
      <c r="D308" s="917" t="s">
        <v>447</v>
      </c>
      <c r="E308" s="198" t="s">
        <v>1826</v>
      </c>
      <c r="F308" s="332">
        <v>114.6</v>
      </c>
      <c r="G308" s="332"/>
      <c r="H308" s="332">
        <f aca="true" t="shared" si="19" ref="H308:H326">F308*G308</f>
        <v>0</v>
      </c>
      <c r="I308" s="333">
        <v>0.00301</v>
      </c>
      <c r="J308" s="334">
        <f aca="true" t="shared" si="20" ref="J308:J326">F308*I308</f>
        <v>0.344946</v>
      </c>
      <c r="K308" s="509"/>
      <c r="L308" s="509"/>
      <c r="M308" s="509"/>
      <c r="N308" s="509"/>
      <c r="O308" s="509"/>
      <c r="P308" s="509"/>
      <c r="Q308" s="509"/>
      <c r="R308" s="509"/>
      <c r="S308" s="509"/>
      <c r="T308" s="509"/>
    </row>
    <row r="309" spans="1:20" s="22" customFormat="1" ht="18.75" customHeight="1">
      <c r="A309" s="196" t="s">
        <v>448</v>
      </c>
      <c r="B309" s="197" t="s">
        <v>513</v>
      </c>
      <c r="C309" s="199" t="s">
        <v>514</v>
      </c>
      <c r="D309" s="917" t="s">
        <v>447</v>
      </c>
      <c r="E309" s="198" t="s">
        <v>1826</v>
      </c>
      <c r="F309" s="332">
        <v>7.5</v>
      </c>
      <c r="G309" s="332"/>
      <c r="H309" s="332">
        <f t="shared" si="19"/>
        <v>0</v>
      </c>
      <c r="I309" s="333">
        <v>0.00383</v>
      </c>
      <c r="J309" s="334">
        <f t="shared" si="20"/>
        <v>0.028725</v>
      </c>
      <c r="K309" s="509"/>
      <c r="L309" s="509"/>
      <c r="M309" s="509"/>
      <c r="N309" s="509"/>
      <c r="O309" s="509"/>
      <c r="P309" s="509"/>
      <c r="Q309" s="509"/>
      <c r="R309" s="509"/>
      <c r="S309" s="509"/>
      <c r="T309" s="509"/>
    </row>
    <row r="310" spans="1:20" s="22" customFormat="1" ht="18.75" customHeight="1">
      <c r="A310" s="196" t="s">
        <v>452</v>
      </c>
      <c r="B310" s="197" t="s">
        <v>1006</v>
      </c>
      <c r="C310" s="199" t="s">
        <v>1007</v>
      </c>
      <c r="D310" s="917" t="s">
        <v>1008</v>
      </c>
      <c r="E310" s="198" t="s">
        <v>1826</v>
      </c>
      <c r="F310" s="332">
        <v>5.8</v>
      </c>
      <c r="G310" s="332"/>
      <c r="H310" s="332">
        <f t="shared" si="19"/>
        <v>0</v>
      </c>
      <c r="I310" s="333">
        <v>0.00347</v>
      </c>
      <c r="J310" s="334">
        <f t="shared" si="20"/>
        <v>0.020125999999999998</v>
      </c>
      <c r="K310" s="509"/>
      <c r="L310" s="509"/>
      <c r="M310" s="509"/>
      <c r="N310" s="509"/>
      <c r="O310" s="509"/>
      <c r="P310" s="509"/>
      <c r="Q310" s="509"/>
      <c r="R310" s="509"/>
      <c r="S310" s="509"/>
      <c r="T310" s="509"/>
    </row>
    <row r="311" spans="1:21" s="22" customFormat="1" ht="18.75" customHeight="1">
      <c r="A311" s="196" t="s">
        <v>456</v>
      </c>
      <c r="B311" s="197" t="s">
        <v>449</v>
      </c>
      <c r="C311" s="199" t="s">
        <v>790</v>
      </c>
      <c r="D311" s="917" t="s">
        <v>451</v>
      </c>
      <c r="E311" s="198" t="s">
        <v>1826</v>
      </c>
      <c r="F311" s="332">
        <v>67.4</v>
      </c>
      <c r="G311" s="332"/>
      <c r="H311" s="332">
        <f t="shared" si="19"/>
        <v>0</v>
      </c>
      <c r="I311" s="333">
        <v>0.00295</v>
      </c>
      <c r="J311" s="334">
        <f t="shared" si="20"/>
        <v>0.19883</v>
      </c>
      <c r="K311" s="509"/>
      <c r="L311" s="585"/>
      <c r="M311" s="585"/>
      <c r="N311" s="585"/>
      <c r="O311" s="585"/>
      <c r="P311" s="585"/>
      <c r="Q311" s="585"/>
      <c r="R311" s="585"/>
      <c r="S311" s="585"/>
      <c r="T311" s="585"/>
      <c r="U311" s="777"/>
    </row>
    <row r="312" spans="1:20" s="22" customFormat="1" ht="18.75" customHeight="1">
      <c r="A312" s="196" t="s">
        <v>460</v>
      </c>
      <c r="B312" s="197" t="s">
        <v>491</v>
      </c>
      <c r="C312" s="199" t="s">
        <v>492</v>
      </c>
      <c r="D312" s="917" t="s">
        <v>791</v>
      </c>
      <c r="E312" s="198" t="s">
        <v>1826</v>
      </c>
      <c r="F312" s="332">
        <v>102.4</v>
      </c>
      <c r="G312" s="332"/>
      <c r="H312" s="332">
        <f t="shared" si="19"/>
        <v>0</v>
      </c>
      <c r="I312" s="333">
        <v>0.00339</v>
      </c>
      <c r="J312" s="334">
        <f t="shared" si="20"/>
        <v>0.347136</v>
      </c>
      <c r="K312" s="509"/>
      <c r="L312" s="509"/>
      <c r="M312" s="509"/>
      <c r="N312" s="509"/>
      <c r="O312" s="509"/>
      <c r="P312" s="509"/>
      <c r="Q312" s="509"/>
      <c r="R312" s="509"/>
      <c r="S312" s="509"/>
      <c r="T312" s="509"/>
    </row>
    <row r="313" spans="1:20" s="22" customFormat="1" ht="18.75" customHeight="1">
      <c r="A313" s="196" t="s">
        <v>464</v>
      </c>
      <c r="B313" s="197" t="s">
        <v>517</v>
      </c>
      <c r="C313" s="199" t="s">
        <v>518</v>
      </c>
      <c r="D313" s="917" t="s">
        <v>1009</v>
      </c>
      <c r="E313" s="198" t="s">
        <v>1826</v>
      </c>
      <c r="F313" s="332">
        <v>10</v>
      </c>
      <c r="G313" s="332"/>
      <c r="H313" s="332">
        <f t="shared" si="19"/>
        <v>0</v>
      </c>
      <c r="I313" s="333">
        <v>0.00267</v>
      </c>
      <c r="J313" s="334">
        <f t="shared" si="20"/>
        <v>0.0267</v>
      </c>
      <c r="K313" s="509"/>
      <c r="L313" s="509"/>
      <c r="M313" s="509"/>
      <c r="N313" s="509"/>
      <c r="O313" s="509"/>
      <c r="P313" s="509"/>
      <c r="Q313" s="509"/>
      <c r="R313" s="509"/>
      <c r="S313" s="509"/>
      <c r="T313" s="509"/>
    </row>
    <row r="314" spans="1:20" s="22" customFormat="1" ht="18.75" customHeight="1">
      <c r="A314" s="196" t="s">
        <v>468</v>
      </c>
      <c r="B314" s="197" t="s">
        <v>1010</v>
      </c>
      <c r="C314" s="199" t="s">
        <v>1011</v>
      </c>
      <c r="D314" s="917" t="s">
        <v>1012</v>
      </c>
      <c r="E314" s="198" t="s">
        <v>1826</v>
      </c>
      <c r="F314" s="332">
        <v>86.5</v>
      </c>
      <c r="G314" s="332"/>
      <c r="H314" s="332">
        <f t="shared" si="19"/>
        <v>0</v>
      </c>
      <c r="I314" s="333">
        <v>0.00376</v>
      </c>
      <c r="J314" s="334">
        <f t="shared" si="20"/>
        <v>0.32524</v>
      </c>
      <c r="K314" s="509"/>
      <c r="L314" s="509"/>
      <c r="M314" s="509"/>
      <c r="N314" s="509"/>
      <c r="O314" s="509"/>
      <c r="P314" s="509"/>
      <c r="Q314" s="509"/>
      <c r="R314" s="509"/>
      <c r="S314" s="509"/>
      <c r="T314" s="509"/>
    </row>
    <row r="315" spans="1:20" s="22" customFormat="1" ht="18.75" customHeight="1">
      <c r="A315" s="196" t="s">
        <v>471</v>
      </c>
      <c r="B315" s="197" t="s">
        <v>1013</v>
      </c>
      <c r="C315" s="246" t="s">
        <v>1180</v>
      </c>
      <c r="D315" s="917" t="s">
        <v>1015</v>
      </c>
      <c r="E315" s="198" t="s">
        <v>1826</v>
      </c>
      <c r="F315" s="332">
        <v>83.5</v>
      </c>
      <c r="G315" s="332"/>
      <c r="H315" s="332">
        <f t="shared" si="19"/>
        <v>0</v>
      </c>
      <c r="I315" s="333">
        <v>0.00435</v>
      </c>
      <c r="J315" s="334">
        <f t="shared" si="20"/>
        <v>0.36322499999999996</v>
      </c>
      <c r="K315" s="509"/>
      <c r="L315" s="509"/>
      <c r="M315" s="509"/>
      <c r="N315" s="509"/>
      <c r="O315" s="509"/>
      <c r="P315" s="509"/>
      <c r="Q315" s="509"/>
      <c r="R315" s="509"/>
      <c r="S315" s="509"/>
      <c r="T315" s="509"/>
    </row>
    <row r="316" spans="1:20" s="22" customFormat="1" ht="18.75" customHeight="1">
      <c r="A316" s="196" t="s">
        <v>474</v>
      </c>
      <c r="B316" s="197" t="s">
        <v>521</v>
      </c>
      <c r="C316" s="246" t="s">
        <v>522</v>
      </c>
      <c r="D316" s="917" t="s">
        <v>1016</v>
      </c>
      <c r="E316" s="198" t="s">
        <v>1826</v>
      </c>
      <c r="F316" s="332">
        <v>63.5</v>
      </c>
      <c r="G316" s="332"/>
      <c r="H316" s="332">
        <f t="shared" si="19"/>
        <v>0</v>
      </c>
      <c r="I316" s="333">
        <v>0.0038</v>
      </c>
      <c r="J316" s="334">
        <f t="shared" si="20"/>
        <v>0.2413</v>
      </c>
      <c r="K316" s="509"/>
      <c r="L316" s="509"/>
      <c r="M316" s="509"/>
      <c r="N316" s="509"/>
      <c r="O316" s="509"/>
      <c r="P316" s="509"/>
      <c r="Q316" s="509"/>
      <c r="R316" s="509"/>
      <c r="S316" s="509"/>
      <c r="T316" s="509"/>
    </row>
    <row r="317" spans="1:20" s="22" customFormat="1" ht="27.75" customHeight="1">
      <c r="A317" s="196" t="s">
        <v>478</v>
      </c>
      <c r="B317" s="197" t="s">
        <v>498</v>
      </c>
      <c r="C317" s="246" t="s">
        <v>1017</v>
      </c>
      <c r="D317" s="917" t="s">
        <v>1018</v>
      </c>
      <c r="E317" s="198" t="s">
        <v>1826</v>
      </c>
      <c r="F317" s="332">
        <v>21.5</v>
      </c>
      <c r="G317" s="332"/>
      <c r="H317" s="332">
        <f t="shared" si="19"/>
        <v>0</v>
      </c>
      <c r="I317" s="333">
        <v>0.00489</v>
      </c>
      <c r="J317" s="334">
        <f t="shared" si="20"/>
        <v>0.105135</v>
      </c>
      <c r="K317" s="509"/>
      <c r="L317" s="509"/>
      <c r="M317" s="509"/>
      <c r="N317" s="509"/>
      <c r="O317" s="509"/>
      <c r="P317" s="509"/>
      <c r="Q317" s="509"/>
      <c r="R317" s="509"/>
      <c r="S317" s="509"/>
      <c r="T317" s="509"/>
    </row>
    <row r="318" spans="1:20" s="22" customFormat="1" ht="18.75" customHeight="1">
      <c r="A318" s="196" t="s">
        <v>482</v>
      </c>
      <c r="B318" s="197" t="s">
        <v>792</v>
      </c>
      <c r="C318" s="246" t="s">
        <v>793</v>
      </c>
      <c r="D318" s="917" t="s">
        <v>794</v>
      </c>
      <c r="E318" s="198" t="s">
        <v>1826</v>
      </c>
      <c r="F318" s="332">
        <v>66.5</v>
      </c>
      <c r="G318" s="332"/>
      <c r="H318" s="332">
        <f t="shared" si="19"/>
        <v>0</v>
      </c>
      <c r="I318" s="333">
        <v>0.00363</v>
      </c>
      <c r="J318" s="334">
        <f t="shared" si="20"/>
        <v>0.241395</v>
      </c>
      <c r="K318" s="509"/>
      <c r="L318" s="509"/>
      <c r="M318" s="509"/>
      <c r="N318" s="509"/>
      <c r="O318" s="509"/>
      <c r="P318" s="509"/>
      <c r="Q318" s="509"/>
      <c r="R318" s="509"/>
      <c r="S318" s="509"/>
      <c r="T318" s="509"/>
    </row>
    <row r="319" spans="1:20" s="22" customFormat="1" ht="18.75" customHeight="1">
      <c r="A319" s="196" t="s">
        <v>486</v>
      </c>
      <c r="B319" s="197" t="s">
        <v>453</v>
      </c>
      <c r="C319" s="246" t="s">
        <v>454</v>
      </c>
      <c r="D319" s="917" t="s">
        <v>455</v>
      </c>
      <c r="E319" s="198" t="s">
        <v>1826</v>
      </c>
      <c r="F319" s="332">
        <v>49.7</v>
      </c>
      <c r="G319" s="332"/>
      <c r="H319" s="332">
        <f t="shared" si="19"/>
        <v>0</v>
      </c>
      <c r="I319" s="333">
        <v>0.00315</v>
      </c>
      <c r="J319" s="334">
        <f t="shared" si="20"/>
        <v>0.156555</v>
      </c>
      <c r="K319" s="509"/>
      <c r="L319" s="509"/>
      <c r="M319" s="509"/>
      <c r="N319" s="509"/>
      <c r="O319" s="509"/>
      <c r="P319" s="509"/>
      <c r="Q319" s="509"/>
      <c r="R319" s="509"/>
      <c r="S319" s="509"/>
      <c r="T319" s="509"/>
    </row>
    <row r="320" spans="1:20" s="22" customFormat="1" ht="18.75" customHeight="1">
      <c r="A320" s="196" t="s">
        <v>490</v>
      </c>
      <c r="B320" s="197" t="s">
        <v>1019</v>
      </c>
      <c r="C320" s="246" t="s">
        <v>1020</v>
      </c>
      <c r="D320" s="917" t="s">
        <v>1021</v>
      </c>
      <c r="E320" s="198" t="s">
        <v>1831</v>
      </c>
      <c r="F320" s="332">
        <v>1</v>
      </c>
      <c r="G320" s="332"/>
      <c r="H320" s="332">
        <f t="shared" si="19"/>
        <v>0</v>
      </c>
      <c r="I320" s="333">
        <v>0</v>
      </c>
      <c r="J320" s="334">
        <f t="shared" si="20"/>
        <v>0</v>
      </c>
      <c r="K320" s="693"/>
      <c r="L320" s="693"/>
      <c r="M320" s="693"/>
      <c r="N320" s="693"/>
      <c r="O320" s="693"/>
      <c r="P320" s="693"/>
      <c r="Q320" s="694"/>
      <c r="R320" s="509"/>
      <c r="S320" s="509"/>
      <c r="T320" s="509"/>
    </row>
    <row r="321" spans="1:20" s="22" customFormat="1" ht="18.75" customHeight="1">
      <c r="A321" s="196" t="s">
        <v>494</v>
      </c>
      <c r="B321" s="197" t="s">
        <v>1022</v>
      </c>
      <c r="C321" s="246" t="s">
        <v>1023</v>
      </c>
      <c r="D321" s="917" t="s">
        <v>1021</v>
      </c>
      <c r="E321" s="198" t="s">
        <v>1831</v>
      </c>
      <c r="F321" s="332">
        <v>1</v>
      </c>
      <c r="G321" s="332"/>
      <c r="H321" s="332">
        <f t="shared" si="19"/>
        <v>0</v>
      </c>
      <c r="I321" s="333">
        <v>0.0165</v>
      </c>
      <c r="J321" s="334">
        <f t="shared" si="20"/>
        <v>0.0165</v>
      </c>
      <c r="K321" s="693"/>
      <c r="L321" s="693"/>
      <c r="M321" s="693"/>
      <c r="N321" s="693"/>
      <c r="O321" s="693"/>
      <c r="P321" s="693"/>
      <c r="Q321" s="694"/>
      <c r="R321" s="509"/>
      <c r="S321" s="509"/>
      <c r="T321" s="509"/>
    </row>
    <row r="322" spans="1:20" s="22" customFormat="1" ht="18.75" customHeight="1">
      <c r="A322" s="196" t="s">
        <v>497</v>
      </c>
      <c r="B322" s="197" t="s">
        <v>457</v>
      </c>
      <c r="C322" s="246" t="s">
        <v>458</v>
      </c>
      <c r="D322" s="917" t="s">
        <v>459</v>
      </c>
      <c r="E322" s="198" t="s">
        <v>1826</v>
      </c>
      <c r="F322" s="332">
        <v>3</v>
      </c>
      <c r="G322" s="332"/>
      <c r="H322" s="332">
        <f t="shared" si="19"/>
        <v>0</v>
      </c>
      <c r="I322" s="333">
        <v>0.00376</v>
      </c>
      <c r="J322" s="334">
        <f t="shared" si="20"/>
        <v>0.01128</v>
      </c>
      <c r="K322" s="509"/>
      <c r="L322" s="585"/>
      <c r="M322" s="585"/>
      <c r="N322" s="585"/>
      <c r="O322" s="585"/>
      <c r="P322" s="585"/>
      <c r="Q322" s="585"/>
      <c r="R322" s="509"/>
      <c r="S322" s="509"/>
      <c r="T322" s="509"/>
    </row>
    <row r="323" spans="1:20" s="22" customFormat="1" ht="18.75" customHeight="1">
      <c r="A323" s="196" t="s">
        <v>501</v>
      </c>
      <c r="B323" s="197" t="s">
        <v>461</v>
      </c>
      <c r="C323" s="246" t="s">
        <v>1024</v>
      </c>
      <c r="D323" s="917" t="s">
        <v>463</v>
      </c>
      <c r="E323" s="198" t="s">
        <v>1826</v>
      </c>
      <c r="F323" s="332">
        <v>24.8</v>
      </c>
      <c r="G323" s="332"/>
      <c r="H323" s="332">
        <f t="shared" si="19"/>
        <v>0</v>
      </c>
      <c r="I323" s="333">
        <v>0.00285</v>
      </c>
      <c r="J323" s="334">
        <f t="shared" si="20"/>
        <v>0.07068</v>
      </c>
      <c r="K323" s="509"/>
      <c r="L323" s="585"/>
      <c r="M323" s="509"/>
      <c r="N323" s="509"/>
      <c r="O323" s="509"/>
      <c r="P323" s="509"/>
      <c r="Q323" s="509"/>
      <c r="R323" s="509"/>
      <c r="S323" s="509"/>
      <c r="T323" s="509"/>
    </row>
    <row r="324" spans="1:20" s="22" customFormat="1" ht="18.75" customHeight="1">
      <c r="A324" s="196" t="s">
        <v>502</v>
      </c>
      <c r="B324" s="197" t="s">
        <v>465</v>
      </c>
      <c r="C324" s="246" t="s">
        <v>466</v>
      </c>
      <c r="D324" s="917" t="s">
        <v>467</v>
      </c>
      <c r="E324" s="198" t="s">
        <v>1826</v>
      </c>
      <c r="F324" s="332">
        <v>16.2</v>
      </c>
      <c r="G324" s="332"/>
      <c r="H324" s="332">
        <f t="shared" si="19"/>
        <v>0</v>
      </c>
      <c r="I324" s="333">
        <v>0.00145</v>
      </c>
      <c r="J324" s="334">
        <f t="shared" si="20"/>
        <v>0.023489999999999997</v>
      </c>
      <c r="K324" s="509"/>
      <c r="L324" s="509"/>
      <c r="M324" s="509"/>
      <c r="N324" s="509"/>
      <c r="O324" s="509"/>
      <c r="P324" s="509"/>
      <c r="Q324" s="509"/>
      <c r="R324" s="509"/>
      <c r="S324" s="509"/>
      <c r="T324" s="509"/>
    </row>
    <row r="325" spans="1:20" s="22" customFormat="1" ht="18.75" customHeight="1">
      <c r="A325" s="196" t="s">
        <v>505</v>
      </c>
      <c r="B325" s="197" t="s">
        <v>469</v>
      </c>
      <c r="C325" s="199" t="s">
        <v>470</v>
      </c>
      <c r="D325" s="917"/>
      <c r="E325" s="198" t="s">
        <v>1748</v>
      </c>
      <c r="F325" s="332">
        <v>1.2</v>
      </c>
      <c r="G325" s="332"/>
      <c r="H325" s="332">
        <f t="shared" si="19"/>
        <v>0</v>
      </c>
      <c r="I325" s="333">
        <v>0</v>
      </c>
      <c r="J325" s="334">
        <f t="shared" si="20"/>
        <v>0</v>
      </c>
      <c r="K325" s="509"/>
      <c r="L325" s="509"/>
      <c r="M325" s="509"/>
      <c r="N325" s="509"/>
      <c r="O325" s="509"/>
      <c r="P325" s="509"/>
      <c r="Q325" s="509"/>
      <c r="R325" s="509"/>
      <c r="S325" s="509"/>
      <c r="T325" s="509"/>
    </row>
    <row r="326" spans="1:20" s="22" customFormat="1" ht="18.75" customHeight="1">
      <c r="A326" s="196" t="s">
        <v>508</v>
      </c>
      <c r="B326" s="197" t="s">
        <v>472</v>
      </c>
      <c r="C326" s="199" t="s">
        <v>473</v>
      </c>
      <c r="D326" s="917" t="s">
        <v>2636</v>
      </c>
      <c r="E326" s="198" t="s">
        <v>1748</v>
      </c>
      <c r="F326" s="332">
        <v>1.2</v>
      </c>
      <c r="G326" s="332"/>
      <c r="H326" s="332">
        <f t="shared" si="19"/>
        <v>0</v>
      </c>
      <c r="I326" s="333">
        <v>0.0048</v>
      </c>
      <c r="J326" s="334">
        <f t="shared" si="20"/>
        <v>0.0057599999999999995</v>
      </c>
      <c r="K326" s="509"/>
      <c r="L326" s="509"/>
      <c r="M326" s="509"/>
      <c r="N326" s="509"/>
      <c r="O326" s="509"/>
      <c r="P326" s="509"/>
      <c r="Q326" s="509"/>
      <c r="R326" s="509"/>
      <c r="S326" s="509"/>
      <c r="T326" s="509"/>
    </row>
    <row r="327" spans="1:20" s="22" customFormat="1" ht="18.75" customHeight="1">
      <c r="A327" s="196" t="s">
        <v>512</v>
      </c>
      <c r="B327" s="197" t="s">
        <v>525</v>
      </c>
      <c r="C327" s="199" t="s">
        <v>526</v>
      </c>
      <c r="D327" s="917" t="s">
        <v>2525</v>
      </c>
      <c r="E327" s="198" t="s">
        <v>1831</v>
      </c>
      <c r="F327" s="332">
        <v>16</v>
      </c>
      <c r="G327" s="332"/>
      <c r="H327" s="332">
        <f>F327*G327</f>
        <v>0</v>
      </c>
      <c r="I327" s="333">
        <v>0.00801</v>
      </c>
      <c r="J327" s="334">
        <f>F327*I327</f>
        <v>0.12816</v>
      </c>
      <c r="K327" s="509"/>
      <c r="L327" s="509"/>
      <c r="M327" s="509"/>
      <c r="N327" s="509"/>
      <c r="O327" s="509"/>
      <c r="P327" s="509"/>
      <c r="Q327" s="509"/>
      <c r="R327" s="509"/>
      <c r="S327" s="509"/>
      <c r="T327" s="509"/>
    </row>
    <row r="328" spans="1:20" s="18" customFormat="1" ht="12.75">
      <c r="A328" s="325"/>
      <c r="B328" s="326"/>
      <c r="C328" s="326"/>
      <c r="D328" s="992"/>
      <c r="E328" s="327"/>
      <c r="F328" s="419"/>
      <c r="G328" s="419"/>
      <c r="H328" s="419"/>
      <c r="I328" s="420"/>
      <c r="J328" s="421"/>
      <c r="K328" s="671"/>
      <c r="L328" s="671"/>
      <c r="M328" s="671"/>
      <c r="N328" s="671"/>
      <c r="O328" s="671"/>
      <c r="P328" s="671"/>
      <c r="Q328" s="671"/>
      <c r="R328" s="671"/>
      <c r="S328" s="671"/>
      <c r="T328" s="671"/>
    </row>
    <row r="329" spans="1:20" s="22" customFormat="1" ht="18.75" customHeight="1" thickBot="1">
      <c r="A329" s="255" t="s">
        <v>516</v>
      </c>
      <c r="B329" s="256" t="s">
        <v>533</v>
      </c>
      <c r="C329" s="264" t="s">
        <v>534</v>
      </c>
      <c r="D329" s="968"/>
      <c r="E329" s="257" t="s">
        <v>1783</v>
      </c>
      <c r="F329" s="368">
        <f>J306</f>
        <v>2.6551829999999996</v>
      </c>
      <c r="G329" s="368"/>
      <c r="H329" s="368">
        <f>F329*G329</f>
        <v>0</v>
      </c>
      <c r="I329" s="369">
        <v>0</v>
      </c>
      <c r="J329" s="370">
        <f>F329*I329</f>
        <v>0</v>
      </c>
      <c r="K329" s="509"/>
      <c r="L329" s="509"/>
      <c r="M329" s="509"/>
      <c r="N329" s="509"/>
      <c r="O329" s="509"/>
      <c r="P329" s="509"/>
      <c r="Q329" s="509"/>
      <c r="R329" s="509"/>
      <c r="S329" s="509"/>
      <c r="T329" s="509"/>
    </row>
    <row r="330" spans="1:20" ht="16.5" customHeight="1" thickBot="1">
      <c r="A330" s="266" t="s">
        <v>535</v>
      </c>
      <c r="B330" s="175" t="s">
        <v>536</v>
      </c>
      <c r="C330" s="176" t="s">
        <v>537</v>
      </c>
      <c r="D330" s="1008"/>
      <c r="E330" s="175"/>
      <c r="F330" s="341"/>
      <c r="G330" s="341"/>
      <c r="H330" s="342">
        <f>SUM(H331:H345)</f>
        <v>0</v>
      </c>
      <c r="I330" s="343"/>
      <c r="J330" s="344">
        <f>SUM(J332:J344)</f>
        <v>1.0687891999999999</v>
      </c>
      <c r="K330" s="670"/>
      <c r="L330" s="670"/>
      <c r="M330" s="670"/>
      <c r="N330" s="670"/>
      <c r="O330" s="670"/>
      <c r="P330" s="670"/>
      <c r="Q330" s="670"/>
      <c r="R330" s="670"/>
      <c r="S330" s="670"/>
      <c r="T330" s="670"/>
    </row>
    <row r="331" spans="1:20" s="22" customFormat="1" ht="18.75" customHeight="1">
      <c r="A331" s="190"/>
      <c r="B331" s="191"/>
      <c r="C331" s="265"/>
      <c r="D331" s="964"/>
      <c r="E331" s="192"/>
      <c r="F331" s="345"/>
      <c r="G331" s="345"/>
      <c r="H331" s="345"/>
      <c r="I331" s="346"/>
      <c r="J331" s="347"/>
      <c r="K331" s="509"/>
      <c r="L331" s="509"/>
      <c r="M331" s="509"/>
      <c r="N331" s="509"/>
      <c r="O331" s="509"/>
      <c r="P331" s="509"/>
      <c r="Q331" s="509"/>
      <c r="R331" s="509"/>
      <c r="S331" s="509"/>
      <c r="T331" s="509"/>
    </row>
    <row r="332" spans="1:20" s="22" customFormat="1" ht="18.75" customHeight="1">
      <c r="A332" s="196" t="s">
        <v>538</v>
      </c>
      <c r="B332" s="197" t="s">
        <v>1030</v>
      </c>
      <c r="C332" s="199" t="s">
        <v>1031</v>
      </c>
      <c r="D332" s="917"/>
      <c r="E332" s="198" t="s">
        <v>1826</v>
      </c>
      <c r="F332" s="332">
        <f>SUM(F333:F336)</f>
        <v>16.82</v>
      </c>
      <c r="G332" s="332"/>
      <c r="H332" s="332">
        <f aca="true" t="shared" si="21" ref="H332:H344">F332*G332</f>
        <v>0</v>
      </c>
      <c r="I332" s="333">
        <v>6E-05</v>
      </c>
      <c r="J332" s="334">
        <f aca="true" t="shared" si="22" ref="J332:J343">F332*I332</f>
        <v>0.0010092</v>
      </c>
      <c r="K332" s="509"/>
      <c r="L332" s="509"/>
      <c r="M332" s="509"/>
      <c r="N332" s="509"/>
      <c r="O332" s="509"/>
      <c r="P332" s="509"/>
      <c r="Q332" s="509"/>
      <c r="R332" s="509"/>
      <c r="S332" s="509"/>
      <c r="T332" s="509"/>
    </row>
    <row r="333" spans="1:20" s="22" customFormat="1" ht="26.25" customHeight="1">
      <c r="A333" s="196" t="s">
        <v>542</v>
      </c>
      <c r="B333" s="197" t="s">
        <v>1032</v>
      </c>
      <c r="C333" s="199" t="s">
        <v>1181</v>
      </c>
      <c r="D333" s="917" t="s">
        <v>1034</v>
      </c>
      <c r="E333" s="198" t="s">
        <v>1826</v>
      </c>
      <c r="F333" s="332">
        <v>3</v>
      </c>
      <c r="G333" s="332"/>
      <c r="H333" s="332">
        <f t="shared" si="21"/>
        <v>0</v>
      </c>
      <c r="I333" s="333">
        <v>0.03</v>
      </c>
      <c r="J333" s="334">
        <f t="shared" si="22"/>
        <v>0.09</v>
      </c>
      <c r="K333" s="509"/>
      <c r="L333" s="509"/>
      <c r="M333" s="509"/>
      <c r="N333" s="509"/>
      <c r="O333" s="509"/>
      <c r="P333" s="509"/>
      <c r="Q333" s="509"/>
      <c r="R333" s="509"/>
      <c r="S333" s="509"/>
      <c r="T333" s="509"/>
    </row>
    <row r="334" spans="1:20" s="22" customFormat="1" ht="26.25" customHeight="1">
      <c r="A334" s="196" t="s">
        <v>545</v>
      </c>
      <c r="B334" s="197" t="s">
        <v>1035</v>
      </c>
      <c r="C334" s="199" t="s">
        <v>1181</v>
      </c>
      <c r="D334" s="917" t="s">
        <v>1036</v>
      </c>
      <c r="E334" s="198" t="s">
        <v>1826</v>
      </c>
      <c r="F334" s="332">
        <v>4.35</v>
      </c>
      <c r="G334" s="332"/>
      <c r="H334" s="332">
        <f t="shared" si="21"/>
        <v>0</v>
      </c>
      <c r="I334" s="333">
        <v>0.03</v>
      </c>
      <c r="J334" s="334">
        <f t="shared" si="22"/>
        <v>0.13049999999999998</v>
      </c>
      <c r="K334" s="693"/>
      <c r="L334" s="693"/>
      <c r="M334" s="693"/>
      <c r="N334" s="693"/>
      <c r="O334" s="693"/>
      <c r="P334" s="693"/>
      <c r="Q334" s="694"/>
      <c r="R334" s="509"/>
      <c r="S334" s="509"/>
      <c r="T334" s="509"/>
    </row>
    <row r="335" spans="1:20" s="22" customFormat="1" ht="26.25" customHeight="1">
      <c r="A335" s="196" t="s">
        <v>547</v>
      </c>
      <c r="B335" s="197" t="s">
        <v>1037</v>
      </c>
      <c r="C335" s="199" t="s">
        <v>1033</v>
      </c>
      <c r="D335" s="917" t="s">
        <v>1038</v>
      </c>
      <c r="E335" s="198" t="s">
        <v>1826</v>
      </c>
      <c r="F335" s="332">
        <v>5.52</v>
      </c>
      <c r="G335" s="332"/>
      <c r="H335" s="332">
        <f t="shared" si="21"/>
        <v>0</v>
      </c>
      <c r="I335" s="333">
        <v>0.03</v>
      </c>
      <c r="J335" s="334">
        <f t="shared" si="22"/>
        <v>0.16559999999999997</v>
      </c>
      <c r="K335" s="693"/>
      <c r="L335" s="693"/>
      <c r="M335" s="693"/>
      <c r="N335" s="693"/>
      <c r="O335" s="693"/>
      <c r="P335" s="693"/>
      <c r="Q335" s="694"/>
      <c r="R335" s="509"/>
      <c r="S335" s="509"/>
      <c r="T335" s="509"/>
    </row>
    <row r="336" spans="1:20" s="22" customFormat="1" ht="26.25" customHeight="1">
      <c r="A336" s="196" t="s">
        <v>550</v>
      </c>
      <c r="B336" s="197" t="s">
        <v>1039</v>
      </c>
      <c r="C336" s="199" t="s">
        <v>1033</v>
      </c>
      <c r="D336" s="917" t="s">
        <v>1040</v>
      </c>
      <c r="E336" s="198" t="s">
        <v>1826</v>
      </c>
      <c r="F336" s="332">
        <v>3.95</v>
      </c>
      <c r="G336" s="332"/>
      <c r="H336" s="332">
        <f t="shared" si="21"/>
        <v>0</v>
      </c>
      <c r="I336" s="333">
        <v>0.03</v>
      </c>
      <c r="J336" s="334">
        <f t="shared" si="22"/>
        <v>0.1185</v>
      </c>
      <c r="K336" s="509"/>
      <c r="L336" s="509"/>
      <c r="M336" s="509"/>
      <c r="N336" s="509"/>
      <c r="O336" s="509"/>
      <c r="P336" s="509"/>
      <c r="Q336" s="509"/>
      <c r="R336" s="509"/>
      <c r="S336" s="509"/>
      <c r="T336" s="509"/>
    </row>
    <row r="337" spans="1:20" s="22" customFormat="1" ht="26.25" customHeight="1">
      <c r="A337" s="196" t="s">
        <v>553</v>
      </c>
      <c r="B337" s="197" t="s">
        <v>1043</v>
      </c>
      <c r="C337" s="199" t="s">
        <v>1044</v>
      </c>
      <c r="D337" s="917" t="s">
        <v>1045</v>
      </c>
      <c r="E337" s="198" t="s">
        <v>1826</v>
      </c>
      <c r="F337" s="594">
        <f>2*2.58</f>
        <v>5.16</v>
      </c>
      <c r="G337" s="332"/>
      <c r="H337" s="332">
        <f t="shared" si="21"/>
        <v>0</v>
      </c>
      <c r="I337" s="333">
        <v>0.01</v>
      </c>
      <c r="J337" s="334">
        <f t="shared" si="22"/>
        <v>0.0516</v>
      </c>
      <c r="K337" s="509"/>
      <c r="L337" s="509"/>
      <c r="M337" s="509"/>
      <c r="N337" s="509"/>
      <c r="O337" s="509"/>
      <c r="P337" s="509"/>
      <c r="Q337" s="509"/>
      <c r="R337" s="509"/>
      <c r="S337" s="509"/>
      <c r="T337" s="509"/>
    </row>
    <row r="338" spans="1:20" s="22" customFormat="1" ht="18.75" customHeight="1">
      <c r="A338" s="196" t="s">
        <v>557</v>
      </c>
      <c r="B338" s="197" t="s">
        <v>548</v>
      </c>
      <c r="C338" s="199" t="s">
        <v>551</v>
      </c>
      <c r="D338" s="917" t="s">
        <v>552</v>
      </c>
      <c r="E338" s="198" t="s">
        <v>1718</v>
      </c>
      <c r="F338" s="332">
        <v>14</v>
      </c>
      <c r="G338" s="332"/>
      <c r="H338" s="332">
        <f t="shared" si="21"/>
        <v>0</v>
      </c>
      <c r="I338" s="333">
        <v>0</v>
      </c>
      <c r="J338" s="334">
        <f t="shared" si="22"/>
        <v>0</v>
      </c>
      <c r="K338" s="730"/>
      <c r="L338" s="509"/>
      <c r="M338" s="509"/>
      <c r="N338" s="509"/>
      <c r="O338" s="509"/>
      <c r="P338" s="509"/>
      <c r="Q338" s="509"/>
      <c r="R338" s="509"/>
      <c r="S338" s="509"/>
      <c r="T338" s="509"/>
    </row>
    <row r="339" spans="1:20" s="22" customFormat="1" ht="18.75" customHeight="1">
      <c r="A339" s="196" t="s">
        <v>560</v>
      </c>
      <c r="B339" s="197" t="s">
        <v>561</v>
      </c>
      <c r="C339" s="199" t="s">
        <v>562</v>
      </c>
      <c r="D339" s="917" t="s">
        <v>552</v>
      </c>
      <c r="E339" s="198" t="s">
        <v>1718</v>
      </c>
      <c r="F339" s="332">
        <v>8</v>
      </c>
      <c r="G339" s="332"/>
      <c r="H339" s="332">
        <f t="shared" si="21"/>
        <v>0</v>
      </c>
      <c r="I339" s="333">
        <v>0.00095</v>
      </c>
      <c r="J339" s="334">
        <f t="shared" si="22"/>
        <v>0.0076</v>
      </c>
      <c r="K339" s="730"/>
      <c r="L339" s="509"/>
      <c r="M339" s="509"/>
      <c r="N339" s="509"/>
      <c r="O339" s="509"/>
      <c r="P339" s="509"/>
      <c r="Q339" s="509"/>
      <c r="R339" s="509"/>
      <c r="S339" s="509"/>
      <c r="T339" s="509"/>
    </row>
    <row r="340" spans="1:20" s="22" customFormat="1" ht="18.75" customHeight="1">
      <c r="A340" s="196" t="s">
        <v>563</v>
      </c>
      <c r="B340" s="197" t="s">
        <v>554</v>
      </c>
      <c r="C340" s="199" t="s">
        <v>555</v>
      </c>
      <c r="D340" s="917" t="s">
        <v>556</v>
      </c>
      <c r="E340" s="198" t="s">
        <v>1718</v>
      </c>
      <c r="F340" s="332">
        <v>6</v>
      </c>
      <c r="G340" s="332"/>
      <c r="H340" s="332">
        <f t="shared" si="21"/>
        <v>0</v>
      </c>
      <c r="I340" s="333">
        <v>0.0004</v>
      </c>
      <c r="J340" s="334">
        <f t="shared" si="22"/>
        <v>0.0024000000000000002</v>
      </c>
      <c r="K340" s="730"/>
      <c r="L340" s="509"/>
      <c r="M340" s="509"/>
      <c r="N340" s="509"/>
      <c r="O340" s="509"/>
      <c r="P340" s="509"/>
      <c r="Q340" s="509"/>
      <c r="R340" s="509"/>
      <c r="S340" s="509"/>
      <c r="T340" s="509"/>
    </row>
    <row r="341" spans="1:20" s="22" customFormat="1" ht="18.75" customHeight="1">
      <c r="A341" s="196" t="s">
        <v>567</v>
      </c>
      <c r="B341" s="197" t="s">
        <v>558</v>
      </c>
      <c r="C341" s="199" t="s">
        <v>559</v>
      </c>
      <c r="D341" s="917" t="s">
        <v>556</v>
      </c>
      <c r="E341" s="198" t="s">
        <v>1718</v>
      </c>
      <c r="F341" s="332">
        <v>6</v>
      </c>
      <c r="G341" s="332"/>
      <c r="H341" s="332">
        <f t="shared" si="21"/>
        <v>0</v>
      </c>
      <c r="I341" s="333">
        <v>0.01</v>
      </c>
      <c r="J341" s="334">
        <f t="shared" si="22"/>
        <v>0.06</v>
      </c>
      <c r="K341" s="730"/>
      <c r="L341" s="509"/>
      <c r="M341" s="509"/>
      <c r="N341" s="509"/>
      <c r="O341" s="509"/>
      <c r="P341" s="509"/>
      <c r="Q341" s="509"/>
      <c r="R341" s="509"/>
      <c r="S341" s="509"/>
      <c r="T341" s="509"/>
    </row>
    <row r="342" spans="1:20" s="22" customFormat="1" ht="18.75" customHeight="1">
      <c r="A342" s="196" t="s">
        <v>570</v>
      </c>
      <c r="B342" s="197" t="s">
        <v>564</v>
      </c>
      <c r="C342" s="199" t="s">
        <v>565</v>
      </c>
      <c r="D342" s="917" t="s">
        <v>566</v>
      </c>
      <c r="E342" s="198" t="s">
        <v>1718</v>
      </c>
      <c r="F342" s="332">
        <v>1</v>
      </c>
      <c r="G342" s="332"/>
      <c r="H342" s="332">
        <f t="shared" si="21"/>
        <v>0</v>
      </c>
      <c r="I342" s="333">
        <v>0.07301</v>
      </c>
      <c r="J342" s="334">
        <f t="shared" si="22"/>
        <v>0.07301</v>
      </c>
      <c r="K342" s="730"/>
      <c r="L342" s="509"/>
      <c r="M342" s="509"/>
      <c r="N342" s="509"/>
      <c r="O342" s="509"/>
      <c r="P342" s="509"/>
      <c r="Q342" s="509"/>
      <c r="R342" s="509"/>
      <c r="S342" s="509"/>
      <c r="T342" s="509"/>
    </row>
    <row r="343" spans="1:20" s="22" customFormat="1" ht="18.75" customHeight="1">
      <c r="A343" s="196" t="s">
        <v>574</v>
      </c>
      <c r="B343" s="197" t="s">
        <v>568</v>
      </c>
      <c r="C343" s="199" t="s">
        <v>569</v>
      </c>
      <c r="D343" s="917" t="s">
        <v>566</v>
      </c>
      <c r="E343" s="198" t="s">
        <v>1718</v>
      </c>
      <c r="F343" s="332">
        <v>1</v>
      </c>
      <c r="G343" s="332"/>
      <c r="H343" s="332">
        <f t="shared" si="21"/>
        <v>0</v>
      </c>
      <c r="I343" s="333">
        <v>0.07301</v>
      </c>
      <c r="J343" s="334">
        <f t="shared" si="22"/>
        <v>0.07301</v>
      </c>
      <c r="K343" s="730"/>
      <c r="L343" s="509"/>
      <c r="M343" s="509"/>
      <c r="N343" s="509"/>
      <c r="O343" s="509"/>
      <c r="P343" s="509"/>
      <c r="Q343" s="509"/>
      <c r="R343" s="509"/>
      <c r="S343" s="509"/>
      <c r="T343" s="509"/>
    </row>
    <row r="344" spans="1:20" s="1240" customFormat="1" ht="18.75" customHeight="1">
      <c r="A344" s="1232" t="s">
        <v>2965</v>
      </c>
      <c r="B344" s="1233"/>
      <c r="C344" s="1234" t="s">
        <v>2966</v>
      </c>
      <c r="D344" s="1177" t="s">
        <v>1042</v>
      </c>
      <c r="E344" s="1235" t="s">
        <v>1826</v>
      </c>
      <c r="F344" s="1236">
        <v>3.6</v>
      </c>
      <c r="G344" s="1236"/>
      <c r="H344" s="1236">
        <f t="shared" si="21"/>
        <v>0</v>
      </c>
      <c r="I344" s="1241">
        <v>0.0821</v>
      </c>
      <c r="J344" s="1238">
        <f>F344*I344</f>
        <v>0.29556000000000004</v>
      </c>
      <c r="K344" s="1239"/>
      <c r="L344" s="1239"/>
      <c r="M344" s="1239"/>
      <c r="N344" s="1239"/>
      <c r="O344" s="1239"/>
      <c r="P344" s="1239"/>
      <c r="Q344" s="1239"/>
      <c r="R344" s="1239"/>
      <c r="S344" s="1239"/>
      <c r="T344" s="1239"/>
    </row>
    <row r="345" spans="1:20" s="22" customFormat="1" ht="18.75" customHeight="1" thickBot="1">
      <c r="A345" s="255" t="s">
        <v>577</v>
      </c>
      <c r="B345" s="256" t="s">
        <v>592</v>
      </c>
      <c r="C345" s="264" t="s">
        <v>593</v>
      </c>
      <c r="D345" s="968"/>
      <c r="E345" s="257" t="s">
        <v>1783</v>
      </c>
      <c r="F345" s="1242">
        <f>J330</f>
        <v>1.0687891999999999</v>
      </c>
      <c r="G345" s="368"/>
      <c r="H345" s="368">
        <f>F345*G345</f>
        <v>0</v>
      </c>
      <c r="I345" s="369">
        <v>0</v>
      </c>
      <c r="J345" s="370">
        <f>F345*I345</f>
        <v>0</v>
      </c>
      <c r="K345" s="509"/>
      <c r="L345" s="509"/>
      <c r="M345" s="509"/>
      <c r="N345" s="509"/>
      <c r="O345" s="509"/>
      <c r="P345" s="509"/>
      <c r="Q345" s="509"/>
      <c r="R345" s="509"/>
      <c r="S345" s="509"/>
      <c r="T345" s="509"/>
    </row>
    <row r="346" spans="1:20" ht="16.5" customHeight="1" thickBot="1">
      <c r="A346" s="266" t="s">
        <v>848</v>
      </c>
      <c r="B346" s="175" t="s">
        <v>594</v>
      </c>
      <c r="C346" s="176" t="s">
        <v>595</v>
      </c>
      <c r="D346" s="1008"/>
      <c r="E346" s="175"/>
      <c r="F346" s="341"/>
      <c r="G346" s="341"/>
      <c r="H346" s="342">
        <f>SUM(H348:H367)</f>
        <v>0</v>
      </c>
      <c r="I346" s="343"/>
      <c r="J346" s="344">
        <f>SUM(J348:J361)</f>
        <v>0.17049899999999998</v>
      </c>
      <c r="K346" s="670"/>
      <c r="L346" s="670"/>
      <c r="M346" s="670"/>
      <c r="N346" s="670"/>
      <c r="O346" s="670"/>
      <c r="P346" s="670"/>
      <c r="Q346" s="670"/>
      <c r="R346" s="670"/>
      <c r="S346" s="670"/>
      <c r="T346" s="670"/>
    </row>
    <row r="347" spans="1:22" s="152" customFormat="1" ht="12.75">
      <c r="A347" s="146"/>
      <c r="B347" s="732"/>
      <c r="C347" s="147"/>
      <c r="D347" s="981"/>
      <c r="E347" s="148"/>
      <c r="F347" s="282"/>
      <c r="G347" s="282"/>
      <c r="H347" s="385"/>
      <c r="I347" s="304"/>
      <c r="J347" s="386"/>
      <c r="K347" s="149"/>
      <c r="L347" s="149"/>
      <c r="M347" s="150"/>
      <c r="N347" s="733"/>
      <c r="O347" s="151"/>
      <c r="P347" s="151"/>
      <c r="Q347" s="151"/>
      <c r="R347" s="151"/>
      <c r="S347" s="151"/>
      <c r="T347" s="151"/>
      <c r="U347" s="151"/>
      <c r="V347" s="151"/>
    </row>
    <row r="348" spans="1:20" s="288" customFormat="1" ht="24">
      <c r="A348" s="196" t="s">
        <v>596</v>
      </c>
      <c r="B348" s="285" t="s">
        <v>597</v>
      </c>
      <c r="C348" s="286" t="s">
        <v>598</v>
      </c>
      <c r="D348" s="982" t="s">
        <v>2822</v>
      </c>
      <c r="E348" s="287" t="s">
        <v>1748</v>
      </c>
      <c r="F348" s="734">
        <f>SUM(E349:E350)</f>
        <v>10.59</v>
      </c>
      <c r="G348" s="387"/>
      <c r="H348" s="332">
        <f>F348*G348</f>
        <v>0</v>
      </c>
      <c r="I348" s="388">
        <v>0.0161</v>
      </c>
      <c r="J348" s="334">
        <f>F348*I348</f>
        <v>0.17049899999999998</v>
      </c>
      <c r="K348" s="143"/>
      <c r="L348" s="143"/>
      <c r="M348" s="143"/>
      <c r="N348" s="735"/>
      <c r="O348" s="693"/>
      <c r="P348" s="144"/>
      <c r="Q348" s="144"/>
      <c r="R348" s="144"/>
      <c r="S348" s="144"/>
      <c r="T348" s="144"/>
    </row>
    <row r="349" spans="1:20" s="130" customFormat="1" ht="18.75" customHeight="1">
      <c r="A349" s="204"/>
      <c r="B349" s="205"/>
      <c r="C349" s="206" t="s">
        <v>957</v>
      </c>
      <c r="D349" s="916"/>
      <c r="E349" s="260">
        <f>2.1*0.3*2+3.5*0.7*2</f>
        <v>6.159999999999999</v>
      </c>
      <c r="F349" s="335"/>
      <c r="G349" s="335"/>
      <c r="H349" s="335"/>
      <c r="I349" s="336"/>
      <c r="J349" s="337"/>
      <c r="K349" s="508"/>
      <c r="L349" s="508"/>
      <c r="M349" s="508"/>
      <c r="N349" s="508"/>
      <c r="O349" s="508"/>
      <c r="P349" s="508"/>
      <c r="Q349" s="508"/>
      <c r="R349" s="508"/>
      <c r="S349" s="508"/>
      <c r="T349" s="508"/>
    </row>
    <row r="350" spans="1:20" s="299" customFormat="1" ht="27.75" customHeight="1">
      <c r="A350" s="295"/>
      <c r="B350" s="296"/>
      <c r="C350" s="297" t="s">
        <v>1182</v>
      </c>
      <c r="D350" s="984"/>
      <c r="E350" s="298">
        <f>3.4+2.1*0.15*2+1.6*0.25</f>
        <v>4.430000000000001</v>
      </c>
      <c r="F350" s="141"/>
      <c r="G350" s="141"/>
      <c r="H350" s="141"/>
      <c r="I350" s="390"/>
      <c r="J350" s="391"/>
      <c r="K350" s="736"/>
      <c r="L350" s="736"/>
      <c r="M350" s="736"/>
      <c r="N350" s="737"/>
      <c r="O350" s="580"/>
      <c r="P350" s="580"/>
      <c r="Q350" s="580"/>
      <c r="R350" s="580"/>
      <c r="S350" s="580"/>
      <c r="T350" s="580"/>
    </row>
    <row r="351" spans="1:22" s="294" customFormat="1" ht="11.25" customHeight="1">
      <c r="A351" s="289"/>
      <c r="B351" s="285"/>
      <c r="C351" s="290"/>
      <c r="D351" s="983"/>
      <c r="E351" s="283"/>
      <c r="F351" s="291"/>
      <c r="G351" s="291"/>
      <c r="H351" s="292"/>
      <c r="I351" s="292"/>
      <c r="J351" s="389"/>
      <c r="K351" s="143"/>
      <c r="L351" s="143"/>
      <c r="M351" s="735"/>
      <c r="N351" s="693"/>
      <c r="O351" s="293"/>
      <c r="P351" s="293"/>
      <c r="Q351" s="293"/>
      <c r="R351" s="293"/>
      <c r="S351" s="293"/>
      <c r="T351" s="293"/>
      <c r="U351" s="293"/>
      <c r="V351" s="293"/>
    </row>
    <row r="352" spans="1:60" s="288" customFormat="1" ht="24">
      <c r="A352" s="196" t="s">
        <v>599</v>
      </c>
      <c r="B352" s="285" t="s">
        <v>603</v>
      </c>
      <c r="C352" s="286" t="s">
        <v>604</v>
      </c>
      <c r="D352" s="982" t="s">
        <v>2822</v>
      </c>
      <c r="E352" s="287" t="s">
        <v>1748</v>
      </c>
      <c r="F352" s="1243">
        <f>SUM(E353:E355)</f>
        <v>16.381999999999998</v>
      </c>
      <c r="G352" s="387"/>
      <c r="H352" s="332">
        <f>F352*G352</f>
        <v>0</v>
      </c>
      <c r="I352" s="388">
        <v>0</v>
      </c>
      <c r="J352" s="334">
        <f>F352*I352</f>
        <v>0</v>
      </c>
      <c r="K352" s="143"/>
      <c r="L352" s="143"/>
      <c r="M352" s="143"/>
      <c r="N352" s="735"/>
      <c r="O352" s="693"/>
      <c r="P352" s="144"/>
      <c r="Q352" s="144"/>
      <c r="R352" s="144">
        <v>2</v>
      </c>
      <c r="S352" s="144"/>
      <c r="T352" s="144"/>
      <c r="AB352" s="288">
        <v>12</v>
      </c>
      <c r="AC352" s="288">
        <v>0</v>
      </c>
      <c r="AD352" s="288">
        <v>71</v>
      </c>
      <c r="BC352" s="288">
        <v>2</v>
      </c>
      <c r="BD352" s="288">
        <f>IF(BC352=1,H352,0)</f>
        <v>0</v>
      </c>
      <c r="BE352" s="288">
        <f>IF(BC352=2,H352,0)</f>
        <v>0</v>
      </c>
      <c r="BF352" s="288">
        <f>IF(BC352=3,H352,0)</f>
        <v>0</v>
      </c>
      <c r="BG352" s="288">
        <f>IF(BC352=4,H352,0)</f>
        <v>0</v>
      </c>
      <c r="BH352" s="288">
        <f>IF(BC352=5,H352,0)</f>
        <v>0</v>
      </c>
    </row>
    <row r="353" spans="1:20" s="130" customFormat="1" ht="18.75" customHeight="1">
      <c r="A353" s="204"/>
      <c r="B353" s="205"/>
      <c r="C353" s="206" t="s">
        <v>957</v>
      </c>
      <c r="D353" s="916"/>
      <c r="E353" s="260">
        <f>2.1*0.3*2+3.5*0.7*2</f>
        <v>6.159999999999999</v>
      </c>
      <c r="F353" s="335"/>
      <c r="G353" s="335"/>
      <c r="H353" s="335"/>
      <c r="I353" s="336"/>
      <c r="J353" s="337"/>
      <c r="K353" s="508"/>
      <c r="L353" s="508"/>
      <c r="M353" s="508"/>
      <c r="N353" s="508"/>
      <c r="O353" s="508"/>
      <c r="P353" s="508"/>
      <c r="Q353" s="508"/>
      <c r="R353" s="508"/>
      <c r="S353" s="508"/>
      <c r="T353" s="508"/>
    </row>
    <row r="354" spans="1:20" s="299" customFormat="1" ht="18" customHeight="1">
      <c r="A354" s="295"/>
      <c r="B354" s="296"/>
      <c r="C354" s="297" t="s">
        <v>1182</v>
      </c>
      <c r="D354" s="984"/>
      <c r="E354" s="298">
        <f>3.4+2.1*0.15*2+1.6*0.25</f>
        <v>4.430000000000001</v>
      </c>
      <c r="F354" s="141"/>
      <c r="G354" s="141"/>
      <c r="H354" s="141"/>
      <c r="I354" s="390"/>
      <c r="J354" s="391"/>
      <c r="K354" s="736"/>
      <c r="L354" s="736"/>
      <c r="M354" s="736"/>
      <c r="N354" s="737"/>
      <c r="O354" s="580"/>
      <c r="P354" s="580"/>
      <c r="Q354" s="580"/>
      <c r="R354" s="580"/>
      <c r="S354" s="580"/>
      <c r="T354" s="580"/>
    </row>
    <row r="355" spans="1:20" s="299" customFormat="1" ht="18" customHeight="1">
      <c r="A355" s="295"/>
      <c r="B355" s="296" t="s">
        <v>1767</v>
      </c>
      <c r="C355" s="297" t="s">
        <v>2967</v>
      </c>
      <c r="D355" s="984"/>
      <c r="E355" s="1244">
        <f>3.8+2.2*0.36+0.6*2</f>
        <v>5.792</v>
      </c>
      <c r="F355" s="141"/>
      <c r="G355" s="141"/>
      <c r="H355" s="141"/>
      <c r="I355" s="390"/>
      <c r="J355" s="391"/>
      <c r="K355" s="736"/>
      <c r="L355" s="736"/>
      <c r="M355" s="736"/>
      <c r="N355" s="737"/>
      <c r="O355" s="580"/>
      <c r="P355" s="580"/>
      <c r="Q355" s="580"/>
      <c r="R355" s="580"/>
      <c r="S355" s="580"/>
      <c r="T355" s="580"/>
    </row>
    <row r="356" spans="1:60" s="300" customFormat="1" ht="20.25" customHeight="1">
      <c r="A356" s="738" t="s">
        <v>602</v>
      </c>
      <c r="B356" s="739" t="s">
        <v>606</v>
      </c>
      <c r="C356" s="740" t="s">
        <v>607</v>
      </c>
      <c r="D356" s="982" t="s">
        <v>2822</v>
      </c>
      <c r="E356" s="741" t="s">
        <v>1748</v>
      </c>
      <c r="F356" s="1243">
        <f>SUM(E357:E359)</f>
        <v>16.381999999999998</v>
      </c>
      <c r="G356" s="742"/>
      <c r="H356" s="742">
        <f>F356*G356</f>
        <v>0</v>
      </c>
      <c r="I356" s="392"/>
      <c r="J356" s="393"/>
      <c r="K356" s="743"/>
      <c r="L356" s="743"/>
      <c r="M356" s="744"/>
      <c r="N356" s="744">
        <v>2</v>
      </c>
      <c r="O356" s="744"/>
      <c r="P356" s="744"/>
      <c r="Q356" s="744"/>
      <c r="R356" s="744"/>
      <c r="S356" s="745"/>
      <c r="T356" s="745"/>
      <c r="U356" s="746"/>
      <c r="V356" s="746"/>
      <c r="W356" s="746"/>
      <c r="X356" s="746"/>
      <c r="Y356" s="746">
        <v>0</v>
      </c>
      <c r="Z356" s="746">
        <v>200</v>
      </c>
      <c r="AA356" s="746"/>
      <c r="AB356" s="746"/>
      <c r="AC356" s="746"/>
      <c r="AD356" s="746"/>
      <c r="AE356" s="746"/>
      <c r="AF356" s="746"/>
      <c r="AG356" s="746"/>
      <c r="AH356" s="746"/>
      <c r="AI356" s="746"/>
      <c r="AJ356" s="746"/>
      <c r="AK356" s="746"/>
      <c r="AL356" s="746"/>
      <c r="AM356" s="746"/>
      <c r="AN356" s="746"/>
      <c r="AO356" s="746"/>
      <c r="AP356" s="746"/>
      <c r="AQ356" s="746"/>
      <c r="AR356" s="746"/>
      <c r="AS356" s="746"/>
      <c r="AT356" s="746"/>
      <c r="AU356" s="746"/>
      <c r="AV356" s="746"/>
      <c r="AW356" s="746"/>
      <c r="AX356" s="746"/>
      <c r="AY356" s="746">
        <v>2</v>
      </c>
      <c r="AZ356" s="746">
        <f>IF(AY356=1,H356,0)</f>
        <v>0</v>
      </c>
      <c r="BA356" s="746">
        <f>IF(AY356=2,H356,0)</f>
        <v>0</v>
      </c>
      <c r="BB356" s="746">
        <f>IF(AY356=3,H356,0)</f>
        <v>0</v>
      </c>
      <c r="BC356" s="746">
        <f>IF(AY356=4,H356,0)</f>
        <v>0</v>
      </c>
      <c r="BD356" s="746">
        <f>IF(AY356=5,H356,0)</f>
        <v>0</v>
      </c>
      <c r="BE356" s="746"/>
      <c r="BF356" s="746"/>
      <c r="BG356" s="746"/>
      <c r="BH356" s="746"/>
    </row>
    <row r="357" spans="1:20" s="130" customFormat="1" ht="18.75" customHeight="1">
      <c r="A357" s="204"/>
      <c r="B357" s="205"/>
      <c r="C357" s="206" t="s">
        <v>957</v>
      </c>
      <c r="D357" s="916"/>
      <c r="E357" s="260">
        <f>2.1*0.3*2+3.5*0.7*2</f>
        <v>6.159999999999999</v>
      </c>
      <c r="F357" s="335"/>
      <c r="G357" s="335"/>
      <c r="H357" s="335"/>
      <c r="I357" s="336"/>
      <c r="J357" s="337"/>
      <c r="K357" s="508"/>
      <c r="L357" s="508"/>
      <c r="M357" s="508"/>
      <c r="N357" s="508"/>
      <c r="O357" s="508"/>
      <c r="P357" s="508"/>
      <c r="Q357" s="508"/>
      <c r="R357" s="508"/>
      <c r="S357" s="508"/>
      <c r="T357" s="508"/>
    </row>
    <row r="358" spans="1:20" s="299" customFormat="1" ht="20.25" customHeight="1">
      <c r="A358" s="295"/>
      <c r="B358" s="296"/>
      <c r="C358" s="297" t="s">
        <v>1182</v>
      </c>
      <c r="D358" s="984"/>
      <c r="E358" s="298">
        <f>3.4+2.1*0.15*2+1.6*0.25</f>
        <v>4.430000000000001</v>
      </c>
      <c r="F358" s="141"/>
      <c r="G358" s="141"/>
      <c r="H358" s="141"/>
      <c r="I358" s="390"/>
      <c r="J358" s="391"/>
      <c r="K358" s="736"/>
      <c r="L358" s="736"/>
      <c r="M358" s="736"/>
      <c r="N358" s="737"/>
      <c r="O358" s="580"/>
      <c r="P358" s="580"/>
      <c r="Q358" s="580"/>
      <c r="R358" s="580"/>
      <c r="S358" s="580"/>
      <c r="T358" s="580"/>
    </row>
    <row r="359" spans="1:20" s="299" customFormat="1" ht="18" customHeight="1">
      <c r="A359" s="295"/>
      <c r="B359" s="296" t="s">
        <v>1767</v>
      </c>
      <c r="C359" s="297" t="s">
        <v>2967</v>
      </c>
      <c r="D359" s="984"/>
      <c r="E359" s="1244">
        <f>3.8+2.2*0.36+0.6*2</f>
        <v>5.792</v>
      </c>
      <c r="F359" s="141"/>
      <c r="G359" s="141"/>
      <c r="H359" s="141"/>
      <c r="I359" s="390"/>
      <c r="J359" s="391"/>
      <c r="K359" s="736"/>
      <c r="L359" s="736"/>
      <c r="M359" s="736"/>
      <c r="N359" s="737"/>
      <c r="O359" s="580"/>
      <c r="P359" s="580"/>
      <c r="Q359" s="580"/>
      <c r="R359" s="580"/>
      <c r="S359" s="580"/>
      <c r="T359" s="580"/>
    </row>
    <row r="360" spans="1:20" s="299" customFormat="1" ht="11.25" customHeight="1">
      <c r="A360" s="295"/>
      <c r="B360" s="296"/>
      <c r="C360" s="297"/>
      <c r="D360" s="984"/>
      <c r="E360" s="298"/>
      <c r="F360" s="141"/>
      <c r="G360" s="141"/>
      <c r="H360" s="141"/>
      <c r="I360" s="390"/>
      <c r="J360" s="391"/>
      <c r="K360" s="736"/>
      <c r="L360" s="736"/>
      <c r="M360" s="736"/>
      <c r="N360" s="737"/>
      <c r="O360" s="580"/>
      <c r="P360" s="580"/>
      <c r="Q360" s="580"/>
      <c r="R360" s="580"/>
      <c r="S360" s="580"/>
      <c r="T360" s="580"/>
    </row>
    <row r="361" spans="1:60" s="300" customFormat="1" ht="26.25" customHeight="1">
      <c r="A361" s="738" t="s">
        <v>605</v>
      </c>
      <c r="B361" s="739" t="s">
        <v>609</v>
      </c>
      <c r="C361" s="740" t="s">
        <v>610</v>
      </c>
      <c r="D361" s="982" t="s">
        <v>2822</v>
      </c>
      <c r="E361" s="741" t="s">
        <v>1748</v>
      </c>
      <c r="F361" s="1243">
        <f>SUM(E362:E364)</f>
        <v>17.7522</v>
      </c>
      <c r="G361" s="742"/>
      <c r="H361" s="742">
        <f>F361*G361</f>
        <v>0</v>
      </c>
      <c r="I361" s="392"/>
      <c r="J361" s="393"/>
      <c r="K361" s="743"/>
      <c r="L361" s="743"/>
      <c r="M361" s="744"/>
      <c r="N361" s="744">
        <v>2</v>
      </c>
      <c r="O361" s="744"/>
      <c r="P361" s="744"/>
      <c r="Q361" s="744"/>
      <c r="R361" s="744"/>
      <c r="S361" s="745"/>
      <c r="T361" s="745"/>
      <c r="U361" s="746"/>
      <c r="V361" s="746"/>
      <c r="W361" s="746"/>
      <c r="X361" s="746"/>
      <c r="Y361" s="746">
        <v>1</v>
      </c>
      <c r="Z361" s="746">
        <v>201</v>
      </c>
      <c r="AA361" s="746"/>
      <c r="AB361" s="746"/>
      <c r="AC361" s="746"/>
      <c r="AD361" s="746"/>
      <c r="AE361" s="746"/>
      <c r="AF361" s="746"/>
      <c r="AG361" s="746"/>
      <c r="AH361" s="746"/>
      <c r="AI361" s="746"/>
      <c r="AJ361" s="746"/>
      <c r="AK361" s="746"/>
      <c r="AL361" s="746"/>
      <c r="AM361" s="746"/>
      <c r="AN361" s="746"/>
      <c r="AO361" s="746"/>
      <c r="AP361" s="746"/>
      <c r="AQ361" s="746"/>
      <c r="AR361" s="746"/>
      <c r="AS361" s="746"/>
      <c r="AT361" s="746"/>
      <c r="AU361" s="746"/>
      <c r="AV361" s="746"/>
      <c r="AW361" s="746"/>
      <c r="AX361" s="746"/>
      <c r="AY361" s="746">
        <v>2</v>
      </c>
      <c r="AZ361" s="746">
        <f>IF(AY361=1,H361,0)</f>
        <v>0</v>
      </c>
      <c r="BA361" s="746">
        <f>IF(AY361=2,H361,0)</f>
        <v>0</v>
      </c>
      <c r="BB361" s="746">
        <f>IF(AY361=3,H361,0)</f>
        <v>0</v>
      </c>
      <c r="BC361" s="746">
        <f>IF(AY361=4,H361,0)</f>
        <v>0</v>
      </c>
      <c r="BD361" s="746">
        <f>IF(AY361=5,H361,0)</f>
        <v>0</v>
      </c>
      <c r="BE361" s="746"/>
      <c r="BF361" s="746"/>
      <c r="BG361" s="746"/>
      <c r="BH361" s="746"/>
    </row>
    <row r="362" spans="1:20" s="130" customFormat="1" ht="18.75" customHeight="1">
      <c r="A362" s="204"/>
      <c r="B362" s="205"/>
      <c r="C362" s="206" t="s">
        <v>1049</v>
      </c>
      <c r="D362" s="916"/>
      <c r="E362" s="260">
        <f>(2.1*0.3*2+3.5*0.7*2)*1.02</f>
        <v>6.283199999999999</v>
      </c>
      <c r="F362" s="335"/>
      <c r="G362" s="335"/>
      <c r="H362" s="335"/>
      <c r="I362" s="336"/>
      <c r="J362" s="337"/>
      <c r="K362" s="508"/>
      <c r="L362" s="508"/>
      <c r="M362" s="508"/>
      <c r="N362" s="508"/>
      <c r="O362" s="508"/>
      <c r="P362" s="508"/>
      <c r="Q362" s="508"/>
      <c r="R362" s="508"/>
      <c r="S362" s="508"/>
      <c r="T362" s="508"/>
    </row>
    <row r="363" spans="1:20" s="299" customFormat="1" ht="20.25" customHeight="1">
      <c r="A363" s="295"/>
      <c r="B363" s="296"/>
      <c r="C363" s="297" t="s">
        <v>1183</v>
      </c>
      <c r="D363" s="984"/>
      <c r="E363" s="298">
        <f>(3.4+2.1*0.15*2+1.6*0.25)*1.02</f>
        <v>4.518600000000001</v>
      </c>
      <c r="F363" s="141"/>
      <c r="G363" s="141"/>
      <c r="H363" s="141"/>
      <c r="I363" s="390"/>
      <c r="J363" s="391"/>
      <c r="K363" s="736"/>
      <c r="L363" s="736"/>
      <c r="M363" s="736"/>
      <c r="N363" s="737"/>
      <c r="O363" s="580"/>
      <c r="P363" s="580"/>
      <c r="Q363" s="580"/>
      <c r="R363" s="580"/>
      <c r="S363" s="580"/>
      <c r="T363" s="580"/>
    </row>
    <row r="364" spans="1:20" s="299" customFormat="1" ht="18" customHeight="1">
      <c r="A364" s="295"/>
      <c r="B364" s="296" t="s">
        <v>1767</v>
      </c>
      <c r="C364" s="297" t="s">
        <v>2968</v>
      </c>
      <c r="D364" s="984"/>
      <c r="E364" s="1244">
        <f>(3.8+2.2*0.36+0.6*2)*1.2</f>
        <v>6.950399999999999</v>
      </c>
      <c r="F364" s="141"/>
      <c r="G364" s="141"/>
      <c r="H364" s="141"/>
      <c r="I364" s="390"/>
      <c r="J364" s="391"/>
      <c r="K364" s="736"/>
      <c r="L364" s="736"/>
      <c r="M364" s="736"/>
      <c r="N364" s="737"/>
      <c r="O364" s="580"/>
      <c r="P364" s="580"/>
      <c r="Q364" s="580"/>
      <c r="R364" s="580"/>
      <c r="S364" s="580"/>
      <c r="T364" s="580"/>
    </row>
    <row r="365" spans="1:20" s="142" customFormat="1" ht="12" customHeight="1">
      <c r="A365" s="153"/>
      <c r="B365" s="154"/>
      <c r="C365" s="155"/>
      <c r="D365" s="988"/>
      <c r="E365" s="155"/>
      <c r="F365" s="141"/>
      <c r="G365" s="141"/>
      <c r="H365" s="141"/>
      <c r="I365" s="394"/>
      <c r="J365" s="395"/>
      <c r="K365" s="749"/>
      <c r="L365" s="749"/>
      <c r="M365" s="749"/>
      <c r="N365" s="749"/>
      <c r="O365" s="750"/>
      <c r="P365" s="750"/>
      <c r="Q365" s="750"/>
      <c r="R365" s="750"/>
      <c r="S365" s="215"/>
      <c r="T365" s="215"/>
    </row>
    <row r="366" spans="1:60" s="145" customFormat="1" ht="17.25" customHeight="1">
      <c r="A366" s="196" t="s">
        <v>608</v>
      </c>
      <c r="B366" s="285" t="s">
        <v>626</v>
      </c>
      <c r="C366" s="286" t="s">
        <v>627</v>
      </c>
      <c r="D366" s="982"/>
      <c r="E366" s="287" t="s">
        <v>1665</v>
      </c>
      <c r="F366" s="387">
        <f>SUM(H348:H365)*0.01</f>
        <v>0</v>
      </c>
      <c r="G366" s="387"/>
      <c r="H366" s="387">
        <f>F366*G366</f>
        <v>0</v>
      </c>
      <c r="I366" s="292">
        <v>0</v>
      </c>
      <c r="J366" s="389">
        <f>F366*I366</f>
        <v>0</v>
      </c>
      <c r="K366" s="143">
        <v>0</v>
      </c>
      <c r="L366" s="143">
        <f>F366*K366</f>
        <v>0</v>
      </c>
      <c r="M366" s="143"/>
      <c r="N366" s="144"/>
      <c r="O366" s="144"/>
      <c r="P366" s="144"/>
      <c r="Q366" s="144"/>
      <c r="R366" s="144">
        <v>2</v>
      </c>
      <c r="S366" s="144"/>
      <c r="T366" s="144"/>
      <c r="U366" s="288"/>
      <c r="V366" s="288"/>
      <c r="W366" s="288"/>
      <c r="X366" s="288"/>
      <c r="Y366" s="288"/>
      <c r="Z366" s="288"/>
      <c r="AA366" s="288"/>
      <c r="AB366" s="288">
        <v>12</v>
      </c>
      <c r="AC366" s="288">
        <v>0</v>
      </c>
      <c r="AD366" s="288">
        <v>70</v>
      </c>
      <c r="AE366" s="288"/>
      <c r="AF366" s="288"/>
      <c r="AG366" s="288"/>
      <c r="AH366" s="288"/>
      <c r="AI366" s="288"/>
      <c r="AJ366" s="288"/>
      <c r="AK366" s="288"/>
      <c r="AL366" s="288"/>
      <c r="AM366" s="288"/>
      <c r="AN366" s="288"/>
      <c r="AO366" s="288"/>
      <c r="AP366" s="288"/>
      <c r="AQ366" s="288"/>
      <c r="AR366" s="288"/>
      <c r="AS366" s="288"/>
      <c r="AT366" s="288"/>
      <c r="AU366" s="288"/>
      <c r="AV366" s="288"/>
      <c r="AW366" s="288"/>
      <c r="AX366" s="288"/>
      <c r="AY366" s="288"/>
      <c r="AZ366" s="288"/>
      <c r="BA366" s="288"/>
      <c r="BB366" s="288"/>
      <c r="BC366" s="288">
        <v>2</v>
      </c>
      <c r="BD366" s="288">
        <f>IF(BC366=1,H366,0)</f>
        <v>0</v>
      </c>
      <c r="BE366" s="288">
        <f>IF(BC366=2,H366,0)</f>
        <v>0</v>
      </c>
      <c r="BF366" s="288">
        <f>IF(BC366=3,H366,0)</f>
        <v>0</v>
      </c>
      <c r="BG366" s="288">
        <f>IF(BC366=4,H366,0)</f>
        <v>0</v>
      </c>
      <c r="BH366" s="288">
        <f>IF(BC366=5,H366,0)</f>
        <v>0</v>
      </c>
    </row>
    <row r="367" spans="1:23" s="152" customFormat="1" ht="13.5" thickBot="1">
      <c r="A367" s="156"/>
      <c r="B367" s="751"/>
      <c r="C367" s="157"/>
      <c r="D367" s="986"/>
      <c r="E367" s="158"/>
      <c r="F367" s="396"/>
      <c r="G367" s="284"/>
      <c r="H367" s="284"/>
      <c r="I367" s="397"/>
      <c r="J367" s="398"/>
      <c r="K367" s="149"/>
      <c r="L367" s="149"/>
      <c r="M367" s="149"/>
      <c r="N367" s="150"/>
      <c r="O367" s="733"/>
      <c r="P367" s="151"/>
      <c r="Q367" s="151"/>
      <c r="R367" s="151"/>
      <c r="S367" s="151"/>
      <c r="T367" s="151"/>
      <c r="U367" s="151"/>
      <c r="V367" s="151"/>
      <c r="W367" s="151"/>
    </row>
    <row r="368" spans="1:20" ht="16.5" customHeight="1" thickBot="1">
      <c r="A368" s="266" t="s">
        <v>628</v>
      </c>
      <c r="B368" s="175" t="s">
        <v>629</v>
      </c>
      <c r="C368" s="176" t="s">
        <v>630</v>
      </c>
      <c r="D368" s="1008"/>
      <c r="E368" s="175"/>
      <c r="F368" s="341"/>
      <c r="G368" s="341"/>
      <c r="H368" s="342">
        <f>SUM(H369:H369)</f>
        <v>0</v>
      </c>
      <c r="I368" s="343"/>
      <c r="J368" s="344">
        <f>SUM(J369:J369)</f>
        <v>0</v>
      </c>
      <c r="K368" s="670"/>
      <c r="L368" s="670"/>
      <c r="M368" s="670"/>
      <c r="N368" s="670"/>
      <c r="O368" s="670"/>
      <c r="P368" s="670"/>
      <c r="Q368" s="670"/>
      <c r="R368" s="670"/>
      <c r="S368" s="670"/>
      <c r="T368" s="670"/>
    </row>
    <row r="369" spans="1:20" s="300" customFormat="1" ht="15.75" customHeight="1" thickBot="1">
      <c r="A369" s="738"/>
      <c r="B369" s="739"/>
      <c r="C369" s="740"/>
      <c r="D369" s="985"/>
      <c r="E369" s="741"/>
      <c r="F369" s="734"/>
      <c r="G369" s="742"/>
      <c r="H369" s="742"/>
      <c r="I369" s="392"/>
      <c r="J369" s="393"/>
      <c r="K369" s="743"/>
      <c r="L369" s="743"/>
      <c r="M369" s="744"/>
      <c r="N369" s="744"/>
      <c r="O369" s="744"/>
      <c r="P369" s="744"/>
      <c r="Q369" s="744"/>
      <c r="R369" s="744"/>
      <c r="S369" s="745"/>
      <c r="T369" s="745"/>
    </row>
    <row r="370" spans="1:20" ht="16.5" customHeight="1" thickBot="1">
      <c r="A370" s="266" t="s">
        <v>679</v>
      </c>
      <c r="B370" s="175" t="s">
        <v>680</v>
      </c>
      <c r="C370" s="176" t="s">
        <v>681</v>
      </c>
      <c r="D370" s="1008"/>
      <c r="E370" s="175"/>
      <c r="F370" s="341"/>
      <c r="G370" s="341"/>
      <c r="H370" s="342">
        <f>SUM(H371:H379)</f>
        <v>0</v>
      </c>
      <c r="I370" s="343"/>
      <c r="J370" s="344">
        <f>SUM(J371:J379)</f>
        <v>0.006573796</v>
      </c>
      <c r="K370" s="670"/>
      <c r="L370" s="670"/>
      <c r="M370" s="670"/>
      <c r="N370" s="670"/>
      <c r="O370" s="670"/>
      <c r="P370" s="670"/>
      <c r="Q370" s="670"/>
      <c r="R370" s="670"/>
      <c r="S370" s="670"/>
      <c r="T370" s="670"/>
    </row>
    <row r="371" spans="1:20" s="22" customFormat="1" ht="18.75" customHeight="1">
      <c r="A371" s="190"/>
      <c r="B371" s="191"/>
      <c r="C371" s="265"/>
      <c r="D371" s="964"/>
      <c r="E371" s="192"/>
      <c r="F371" s="345"/>
      <c r="G371" s="345"/>
      <c r="H371" s="345"/>
      <c r="I371" s="346"/>
      <c r="J371" s="347"/>
      <c r="K371" s="509"/>
      <c r="L371" s="509"/>
      <c r="M371" s="509"/>
      <c r="N371" s="509"/>
      <c r="O371" s="509"/>
      <c r="P371" s="509"/>
      <c r="Q371" s="509"/>
      <c r="R371" s="509"/>
      <c r="S371" s="509"/>
      <c r="T371" s="509"/>
    </row>
    <row r="372" spans="1:20" s="22" customFormat="1" ht="18.75" customHeight="1">
      <c r="A372" s="196" t="s">
        <v>682</v>
      </c>
      <c r="B372" s="197" t="s">
        <v>683</v>
      </c>
      <c r="C372" s="199" t="s">
        <v>684</v>
      </c>
      <c r="D372" s="917" t="s">
        <v>2761</v>
      </c>
      <c r="E372" s="198" t="s">
        <v>1748</v>
      </c>
      <c r="F372" s="332">
        <v>3.2</v>
      </c>
      <c r="G372" s="332"/>
      <c r="H372" s="332">
        <f>F372*G372</f>
        <v>0</v>
      </c>
      <c r="I372" s="333">
        <v>0.00031</v>
      </c>
      <c r="J372" s="334">
        <f>F372*I372</f>
        <v>0.000992</v>
      </c>
      <c r="K372" s="693"/>
      <c r="L372" s="693"/>
      <c r="M372" s="693"/>
      <c r="N372" s="693"/>
      <c r="O372" s="693"/>
      <c r="P372" s="693"/>
      <c r="Q372" s="694"/>
      <c r="R372" s="509"/>
      <c r="S372" s="509"/>
      <c r="T372" s="509"/>
    </row>
    <row r="373" spans="1:20" s="22" customFormat="1" ht="18.75" customHeight="1">
      <c r="A373" s="196" t="s">
        <v>686</v>
      </c>
      <c r="B373" s="197" t="s">
        <v>687</v>
      </c>
      <c r="C373" s="199" t="s">
        <v>688</v>
      </c>
      <c r="D373" s="917" t="s">
        <v>2761</v>
      </c>
      <c r="E373" s="198" t="s">
        <v>1748</v>
      </c>
      <c r="F373" s="332">
        <v>3.2</v>
      </c>
      <c r="G373" s="332"/>
      <c r="H373" s="332">
        <f>F373*G373</f>
        <v>0</v>
      </c>
      <c r="I373" s="333">
        <v>1E-05</v>
      </c>
      <c r="J373" s="334">
        <f>F373*I373</f>
        <v>3.2000000000000005E-05</v>
      </c>
      <c r="K373" s="693"/>
      <c r="L373" s="693"/>
      <c r="M373" s="693"/>
      <c r="N373" s="693"/>
      <c r="O373" s="693"/>
      <c r="P373" s="693"/>
      <c r="Q373" s="694"/>
      <c r="R373" s="509"/>
      <c r="S373" s="509"/>
      <c r="T373" s="509"/>
    </row>
    <row r="374" spans="1:20" s="22" customFormat="1" ht="18.75" customHeight="1">
      <c r="A374" s="196" t="s">
        <v>689</v>
      </c>
      <c r="B374" s="197" t="s">
        <v>690</v>
      </c>
      <c r="C374" s="199" t="s">
        <v>691</v>
      </c>
      <c r="D374" s="917" t="s">
        <v>2761</v>
      </c>
      <c r="E374" s="198" t="s">
        <v>1748</v>
      </c>
      <c r="F374" s="594">
        <f>3.2+(2.58*0.28)*2+0.18*0.28*2*2</f>
        <v>4.8464</v>
      </c>
      <c r="G374" s="332"/>
      <c r="H374" s="332">
        <f>F374*G374</f>
        <v>0</v>
      </c>
      <c r="I374" s="333">
        <v>0.00039</v>
      </c>
      <c r="J374" s="334">
        <f>F374*I374</f>
        <v>0.001890096</v>
      </c>
      <c r="K374" s="693"/>
      <c r="L374" s="693"/>
      <c r="M374" s="693"/>
      <c r="N374" s="693"/>
      <c r="O374" s="693"/>
      <c r="P374" s="693"/>
      <c r="Q374" s="694"/>
      <c r="R374" s="509"/>
      <c r="S374" s="509"/>
      <c r="T374" s="509"/>
    </row>
    <row r="375" spans="1:20" s="22" customFormat="1" ht="12.75" customHeight="1">
      <c r="A375" s="196"/>
      <c r="B375" s="197"/>
      <c r="C375" s="199"/>
      <c r="D375" s="917"/>
      <c r="E375" s="198"/>
      <c r="F375" s="332"/>
      <c r="G375" s="332"/>
      <c r="H375" s="332"/>
      <c r="I375" s="333"/>
      <c r="J375" s="334"/>
      <c r="K375" s="693"/>
      <c r="L375" s="693"/>
      <c r="M375" s="693"/>
      <c r="N375" s="693"/>
      <c r="O375" s="693"/>
      <c r="P375" s="693"/>
      <c r="Q375" s="694"/>
      <c r="R375" s="509"/>
      <c r="S375" s="509"/>
      <c r="T375" s="509"/>
    </row>
    <row r="376" spans="1:20" s="22" customFormat="1" ht="18.75" customHeight="1">
      <c r="A376" s="196" t="s">
        <v>692</v>
      </c>
      <c r="B376" s="197" t="s">
        <v>1720</v>
      </c>
      <c r="C376" s="199" t="s">
        <v>693</v>
      </c>
      <c r="D376" s="917" t="s">
        <v>2761</v>
      </c>
      <c r="E376" s="198" t="s">
        <v>1748</v>
      </c>
      <c r="F376" s="332">
        <f>SUM(E377:E378)</f>
        <v>12.199000000000002</v>
      </c>
      <c r="G376" s="332"/>
      <c r="H376" s="332">
        <f>F376*G376</f>
        <v>0</v>
      </c>
      <c r="I376" s="333">
        <v>0.0003</v>
      </c>
      <c r="J376" s="334">
        <f>F376*I376</f>
        <v>0.0036597</v>
      </c>
      <c r="K376" s="693"/>
      <c r="L376" s="693"/>
      <c r="M376" s="693"/>
      <c r="N376" s="693"/>
      <c r="O376" s="693"/>
      <c r="P376" s="693"/>
      <c r="Q376" s="694"/>
      <c r="R376" s="509"/>
      <c r="S376" s="509"/>
      <c r="T376" s="509"/>
    </row>
    <row r="377" spans="1:20" s="130" customFormat="1" ht="18" customHeight="1">
      <c r="A377" s="204"/>
      <c r="B377" s="205" t="s">
        <v>878</v>
      </c>
      <c r="C377" s="206" t="s">
        <v>980</v>
      </c>
      <c r="D377" s="916"/>
      <c r="E377" s="207">
        <f>(2.36+3.33)*1.1</f>
        <v>6.259</v>
      </c>
      <c r="F377" s="335"/>
      <c r="G377" s="335"/>
      <c r="H377" s="335"/>
      <c r="I377" s="336"/>
      <c r="J377" s="337"/>
      <c r="K377" s="672"/>
      <c r="L377" s="672"/>
      <c r="M377" s="672"/>
      <c r="N377" s="672"/>
      <c r="O377" s="672"/>
      <c r="P377" s="672"/>
      <c r="Q377" s="673"/>
      <c r="R377" s="508"/>
      <c r="S377" s="508"/>
      <c r="T377" s="508"/>
    </row>
    <row r="378" spans="1:20" s="130" customFormat="1" ht="18" customHeight="1">
      <c r="A378" s="204"/>
      <c r="B378" s="205" t="s">
        <v>884</v>
      </c>
      <c r="C378" s="206" t="s">
        <v>981</v>
      </c>
      <c r="D378" s="916"/>
      <c r="E378" s="207">
        <f>(3.56+1.84)*1.1</f>
        <v>5.940000000000001</v>
      </c>
      <c r="F378" s="335"/>
      <c r="G378" s="335"/>
      <c r="H378" s="335"/>
      <c r="I378" s="336"/>
      <c r="J378" s="337"/>
      <c r="K378" s="672"/>
      <c r="L378" s="672"/>
      <c r="M378" s="672"/>
      <c r="N378" s="672"/>
      <c r="O378" s="672"/>
      <c r="P378" s="672"/>
      <c r="Q378" s="673"/>
      <c r="R378" s="508"/>
      <c r="S378" s="508"/>
      <c r="T378" s="508"/>
    </row>
    <row r="379" spans="1:20" s="22" customFormat="1" ht="12" customHeight="1" thickBot="1">
      <c r="A379" s="255"/>
      <c r="B379" s="256"/>
      <c r="C379" s="264"/>
      <c r="D379" s="968"/>
      <c r="E379" s="257"/>
      <c r="F379" s="368"/>
      <c r="G379" s="368"/>
      <c r="H379" s="368"/>
      <c r="I379" s="369"/>
      <c r="J379" s="370"/>
      <c r="K379" s="509"/>
      <c r="L379" s="509"/>
      <c r="M379" s="509"/>
      <c r="N379" s="509"/>
      <c r="O379" s="509"/>
      <c r="P379" s="509"/>
      <c r="Q379" s="509"/>
      <c r="R379" s="509"/>
      <c r="S379" s="509"/>
      <c r="T379" s="509"/>
    </row>
    <row r="380" spans="1:20" ht="16.5" customHeight="1" thickBot="1">
      <c r="A380" s="266" t="s">
        <v>695</v>
      </c>
      <c r="B380" s="175" t="s">
        <v>696</v>
      </c>
      <c r="C380" s="176" t="s">
        <v>697</v>
      </c>
      <c r="D380" s="1008"/>
      <c r="E380" s="175"/>
      <c r="F380" s="341"/>
      <c r="G380" s="341"/>
      <c r="H380" s="342">
        <f>SUM(H381:H383)</f>
        <v>0</v>
      </c>
      <c r="I380" s="343"/>
      <c r="J380" s="344">
        <f>SUM(J381:J383)</f>
        <v>0.203654</v>
      </c>
      <c r="K380" s="670"/>
      <c r="L380" s="670"/>
      <c r="M380" s="670"/>
      <c r="N380" s="670"/>
      <c r="O380" s="670"/>
      <c r="P380" s="670"/>
      <c r="Q380" s="670"/>
      <c r="R380" s="670"/>
      <c r="S380" s="670"/>
      <c r="T380" s="670"/>
    </row>
    <row r="381" spans="1:20" s="22" customFormat="1" ht="18.75" customHeight="1">
      <c r="A381" s="196" t="s">
        <v>698</v>
      </c>
      <c r="B381" s="197" t="s">
        <v>699</v>
      </c>
      <c r="C381" s="199" t="s">
        <v>700</v>
      </c>
      <c r="D381" s="917" t="s">
        <v>2823</v>
      </c>
      <c r="E381" s="198" t="s">
        <v>1748</v>
      </c>
      <c r="F381" s="332">
        <f>925.7*0.85</f>
        <v>786.845</v>
      </c>
      <c r="G381" s="332"/>
      <c r="H381" s="332">
        <f>F381*G381</f>
        <v>0</v>
      </c>
      <c r="I381" s="333">
        <v>0</v>
      </c>
      <c r="J381" s="334">
        <f>F381*I381</f>
        <v>0</v>
      </c>
      <c r="K381" s="693"/>
      <c r="L381" s="693"/>
      <c r="M381" s="693"/>
      <c r="N381" s="693"/>
      <c r="O381" s="693"/>
      <c r="P381" s="693"/>
      <c r="Q381" s="694"/>
      <c r="R381" s="509"/>
      <c r="S381" s="509"/>
      <c r="T381" s="509"/>
    </row>
    <row r="382" spans="1:20" s="22" customFormat="1" ht="18.75" customHeight="1">
      <c r="A382" s="196" t="s">
        <v>701</v>
      </c>
      <c r="B382" s="197" t="s">
        <v>702</v>
      </c>
      <c r="C382" s="199" t="s">
        <v>703</v>
      </c>
      <c r="D382" s="917" t="s">
        <v>2823</v>
      </c>
      <c r="E382" s="198" t="s">
        <v>1748</v>
      </c>
      <c r="F382" s="332">
        <v>925.7</v>
      </c>
      <c r="G382" s="332"/>
      <c r="H382" s="332">
        <f>F382*G382</f>
        <v>0</v>
      </c>
      <c r="I382" s="333">
        <v>7E-05</v>
      </c>
      <c r="J382" s="334">
        <f>F382*I382</f>
        <v>0.064799</v>
      </c>
      <c r="K382" s="693"/>
      <c r="L382" s="693"/>
      <c r="M382" s="693"/>
      <c r="N382" s="693"/>
      <c r="O382" s="693"/>
      <c r="P382" s="693"/>
      <c r="Q382" s="694"/>
      <c r="R382" s="509"/>
      <c r="S382" s="509"/>
      <c r="T382" s="509"/>
    </row>
    <row r="383" spans="1:20" s="22" customFormat="1" ht="18.75" customHeight="1" thickBot="1">
      <c r="A383" s="196" t="s">
        <v>704</v>
      </c>
      <c r="B383" s="197" t="s">
        <v>705</v>
      </c>
      <c r="C383" s="199" t="s">
        <v>706</v>
      </c>
      <c r="D383" s="917" t="s">
        <v>2823</v>
      </c>
      <c r="E383" s="198" t="s">
        <v>1748</v>
      </c>
      <c r="F383" s="332">
        <f>F382</f>
        <v>925.7</v>
      </c>
      <c r="G383" s="332"/>
      <c r="H383" s="332">
        <f>F383*G383</f>
        <v>0</v>
      </c>
      <c r="I383" s="333">
        <v>0.00015</v>
      </c>
      <c r="J383" s="334">
        <f>F383*I383</f>
        <v>0.138855</v>
      </c>
      <c r="K383" s="693"/>
      <c r="L383" s="693"/>
      <c r="M383" s="693"/>
      <c r="N383" s="693"/>
      <c r="O383" s="693"/>
      <c r="P383" s="693"/>
      <c r="Q383" s="694"/>
      <c r="R383" s="509"/>
      <c r="S383" s="509"/>
      <c r="T383" s="509"/>
    </row>
    <row r="384" spans="1:20" ht="16.5" customHeight="1" thickBot="1">
      <c r="A384" s="266" t="s">
        <v>805</v>
      </c>
      <c r="B384" s="175" t="s">
        <v>708</v>
      </c>
      <c r="C384" s="176" t="s">
        <v>709</v>
      </c>
      <c r="D384" s="1008"/>
      <c r="E384" s="175"/>
      <c r="F384" s="341"/>
      <c r="G384" s="341"/>
      <c r="H384" s="342">
        <f>SUM(H385:H388)</f>
        <v>0</v>
      </c>
      <c r="I384" s="343"/>
      <c r="J384" s="344">
        <f>SUM(J385:J388)</f>
        <v>0</v>
      </c>
      <c r="K384" s="670"/>
      <c r="L384" s="670"/>
      <c r="M384" s="670"/>
      <c r="N384" s="670"/>
      <c r="O384" s="670"/>
      <c r="P384" s="670"/>
      <c r="Q384" s="670"/>
      <c r="R384" s="670"/>
      <c r="S384" s="670"/>
      <c r="T384" s="670"/>
    </row>
    <row r="385" spans="1:20" s="22" customFormat="1" ht="18.75" customHeight="1">
      <c r="A385" s="196"/>
      <c r="B385" s="197"/>
      <c r="C385" s="199"/>
      <c r="D385" s="917"/>
      <c r="E385" s="198"/>
      <c r="F385" s="332"/>
      <c r="G385" s="332"/>
      <c r="H385" s="332"/>
      <c r="I385" s="333"/>
      <c r="J385" s="334"/>
      <c r="K385" s="693"/>
      <c r="L385" s="693"/>
      <c r="M385" s="693"/>
      <c r="N385" s="693"/>
      <c r="O385" s="693"/>
      <c r="P385" s="693"/>
      <c r="Q385" s="694"/>
      <c r="R385" s="509"/>
      <c r="S385" s="509"/>
      <c r="T385" s="509"/>
    </row>
    <row r="386" spans="1:20" s="22" customFormat="1" ht="25.5" customHeight="1">
      <c r="A386" s="196" t="s">
        <v>710</v>
      </c>
      <c r="B386" s="197" t="s">
        <v>711</v>
      </c>
      <c r="C386" s="199" t="s">
        <v>712</v>
      </c>
      <c r="D386" s="917" t="s">
        <v>2761</v>
      </c>
      <c r="E386" s="198" t="s">
        <v>2695</v>
      </c>
      <c r="F386" s="332">
        <v>1</v>
      </c>
      <c r="G386" s="332"/>
      <c r="H386" s="332">
        <f>F386*G386</f>
        <v>0</v>
      </c>
      <c r="I386" s="333">
        <v>0</v>
      </c>
      <c r="J386" s="334">
        <f>F386*I386</f>
        <v>0</v>
      </c>
      <c r="K386" s="693"/>
      <c r="L386" s="693"/>
      <c r="M386" s="693"/>
      <c r="N386" s="693"/>
      <c r="O386" s="693"/>
      <c r="P386" s="693"/>
      <c r="Q386" s="694"/>
      <c r="R386" s="509"/>
      <c r="S386" s="509"/>
      <c r="T386" s="509"/>
    </row>
    <row r="387" spans="1:20" s="22" customFormat="1" ht="18.75" customHeight="1">
      <c r="A387" s="196" t="s">
        <v>713</v>
      </c>
      <c r="B387" s="197" t="s">
        <v>714</v>
      </c>
      <c r="C387" s="199" t="s">
        <v>715</v>
      </c>
      <c r="D387" s="917" t="s">
        <v>2761</v>
      </c>
      <c r="E387" s="198" t="s">
        <v>2695</v>
      </c>
      <c r="F387" s="332">
        <v>1</v>
      </c>
      <c r="G387" s="332"/>
      <c r="H387" s="332">
        <f>F387*G387</f>
        <v>0</v>
      </c>
      <c r="I387" s="333">
        <v>0</v>
      </c>
      <c r="J387" s="334">
        <f>F387*I387</f>
        <v>0</v>
      </c>
      <c r="K387" s="693"/>
      <c r="L387" s="693"/>
      <c r="M387" s="693"/>
      <c r="N387" s="693"/>
      <c r="O387" s="693"/>
      <c r="P387" s="693"/>
      <c r="Q387" s="694"/>
      <c r="R387" s="509"/>
      <c r="S387" s="509"/>
      <c r="T387" s="509"/>
    </row>
    <row r="388" spans="1:20" s="22" customFormat="1" ht="18.75" customHeight="1" thickBot="1">
      <c r="A388" s="196"/>
      <c r="B388" s="197"/>
      <c r="C388" s="199"/>
      <c r="D388" s="917"/>
      <c r="E388" s="198"/>
      <c r="F388" s="332"/>
      <c r="G388" s="332"/>
      <c r="H388" s="332"/>
      <c r="I388" s="333"/>
      <c r="J388" s="334"/>
      <c r="K388" s="693"/>
      <c r="L388" s="693"/>
      <c r="M388" s="693"/>
      <c r="N388" s="693"/>
      <c r="O388" s="693"/>
      <c r="P388" s="693"/>
      <c r="Q388" s="694"/>
      <c r="R388" s="509"/>
      <c r="S388" s="509"/>
      <c r="T388" s="509"/>
    </row>
    <row r="389" spans="1:20" ht="16.5" customHeight="1" thickBot="1">
      <c r="A389" s="266"/>
      <c r="B389" s="175"/>
      <c r="C389" s="176"/>
      <c r="D389" s="1008"/>
      <c r="E389" s="175"/>
      <c r="F389" s="341"/>
      <c r="G389" s="341"/>
      <c r="H389" s="342"/>
      <c r="I389" s="343"/>
      <c r="J389" s="344"/>
      <c r="K389" s="670"/>
      <c r="L389" s="670"/>
      <c r="M389" s="670"/>
      <c r="N389" s="670"/>
      <c r="O389" s="670"/>
      <c r="P389" s="670"/>
      <c r="Q389" s="670"/>
      <c r="R389" s="670"/>
      <c r="S389" s="670"/>
      <c r="T389" s="670"/>
    </row>
    <row r="390" spans="1:20" ht="15">
      <c r="A390" s="24"/>
      <c r="B390" s="186"/>
      <c r="C390" s="186"/>
      <c r="D390" s="1200"/>
      <c r="E390" s="187"/>
      <c r="F390" s="409"/>
      <c r="G390" s="409"/>
      <c r="H390" s="409"/>
      <c r="I390" s="410"/>
      <c r="J390" s="411"/>
      <c r="K390" s="670"/>
      <c r="L390" s="670"/>
      <c r="M390" s="670"/>
      <c r="N390" s="670"/>
      <c r="O390" s="670"/>
      <c r="P390" s="670"/>
      <c r="Q390" s="670"/>
      <c r="R390" s="670"/>
      <c r="S390" s="670"/>
      <c r="T390" s="670"/>
    </row>
    <row r="391" spans="1:20" s="577" customFormat="1" ht="24" customHeight="1" thickBot="1">
      <c r="A391" s="753"/>
      <c r="B391" s="754"/>
      <c r="C391" s="755" t="s">
        <v>716</v>
      </c>
      <c r="D391" s="756"/>
      <c r="E391" s="756"/>
      <c r="F391" s="754"/>
      <c r="G391" s="754"/>
      <c r="H391" s="757">
        <f>H384+H380+H370+H368+H346+H330+H306+H290+H285+H283+H265+H247+H212+H162+H151+H146+H110+H97+H64+H56+H44+H38+H36+H28+H18</f>
        <v>0</v>
      </c>
      <c r="I391" s="758"/>
      <c r="J391" s="759"/>
      <c r="K391" s="760"/>
      <c r="L391" s="760"/>
      <c r="M391" s="760"/>
      <c r="N391" s="760"/>
      <c r="O391" s="760"/>
      <c r="P391" s="760"/>
      <c r="Q391" s="760"/>
      <c r="R391" s="760"/>
      <c r="S391" s="760"/>
      <c r="T391" s="760"/>
    </row>
    <row r="392" spans="6:20" ht="12.75">
      <c r="F392" s="412"/>
      <c r="G392" s="412"/>
      <c r="H392" s="412"/>
      <c r="I392" s="413"/>
      <c r="J392" s="413"/>
      <c r="K392" s="670"/>
      <c r="L392" s="670"/>
      <c r="M392" s="670"/>
      <c r="N392" s="670"/>
      <c r="O392" s="670"/>
      <c r="P392" s="670"/>
      <c r="Q392" s="670"/>
      <c r="R392" s="670"/>
      <c r="S392" s="670"/>
      <c r="T392" s="670"/>
    </row>
  </sheetData>
  <mergeCells count="21">
    <mergeCell ref="F2:F3"/>
    <mergeCell ref="C2:C3"/>
    <mergeCell ref="C4:C5"/>
    <mergeCell ref="F4:F5"/>
    <mergeCell ref="D2:E3"/>
    <mergeCell ref="D4:E5"/>
    <mergeCell ref="G2:G3"/>
    <mergeCell ref="G4:G5"/>
    <mergeCell ref="H2:J3"/>
    <mergeCell ref="H4:J5"/>
    <mergeCell ref="H6:J7"/>
    <mergeCell ref="G14:H14"/>
    <mergeCell ref="G6:G7"/>
    <mergeCell ref="I14:J14"/>
    <mergeCell ref="C8:C9"/>
    <mergeCell ref="D8:F9"/>
    <mergeCell ref="G8:G9"/>
    <mergeCell ref="H8:J9"/>
    <mergeCell ref="C6:C7"/>
    <mergeCell ref="D6:E7"/>
    <mergeCell ref="F6:F7"/>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407"/>
  <sheetViews>
    <sheetView showGridLines="0" view="pageBreakPreview" zoomScaleSheetLayoutView="100" workbookViewId="0" topLeftCell="A1">
      <selection activeCell="I14" sqref="I14:J14"/>
    </sheetView>
  </sheetViews>
  <sheetFormatPr defaultColWidth="9.140625" defaultRowHeight="12.75"/>
  <cols>
    <col min="1" max="1" width="5.28125" style="28" customWidth="1"/>
    <col min="2" max="2" width="14.7109375" style="0" customWidth="1"/>
    <col min="3" max="3" width="45.140625" style="0" customWidth="1"/>
    <col min="4" max="4" width="11.00390625" style="918" customWidth="1"/>
    <col min="5" max="5" width="9.421875" style="33" bestFit="1" customWidth="1"/>
    <col min="6" max="6" width="9.8515625" style="0" customWidth="1"/>
    <col min="7" max="7" width="11.00390625" style="0" customWidth="1"/>
    <col min="8" max="8" width="13.140625" style="0" customWidth="1"/>
    <col min="9" max="9" width="8.00390625" style="12" customWidth="1"/>
    <col min="10" max="10" width="11.28125" style="12" customWidth="1"/>
    <col min="11" max="19" width="9.140625" style="579" customWidth="1"/>
  </cols>
  <sheetData>
    <row r="1" spans="1:19" ht="23.25">
      <c r="A1" s="23"/>
      <c r="B1" s="13"/>
      <c r="C1" s="14" t="s">
        <v>1683</v>
      </c>
      <c r="D1" s="13"/>
      <c r="E1" s="13"/>
      <c r="F1" s="13"/>
      <c r="G1" s="13"/>
      <c r="H1" s="13"/>
      <c r="I1" s="15"/>
      <c r="J1" s="16"/>
      <c r="K1" s="670"/>
      <c r="L1" s="670"/>
      <c r="M1" s="670"/>
      <c r="N1" s="670"/>
      <c r="O1" s="670"/>
      <c r="P1" s="670"/>
      <c r="Q1" s="670"/>
      <c r="R1" s="670"/>
      <c r="S1" s="670"/>
    </row>
    <row r="2" spans="1:19" ht="12.75">
      <c r="A2" s="24"/>
      <c r="B2" s="653"/>
      <c r="C2" s="1310" t="s">
        <v>1684</v>
      </c>
      <c r="D2" s="1308" t="s">
        <v>1685</v>
      </c>
      <c r="E2" s="1308"/>
      <c r="F2" s="1308"/>
      <c r="G2" s="1320" t="s">
        <v>1686</v>
      </c>
      <c r="H2" s="1324" t="s">
        <v>1687</v>
      </c>
      <c r="I2" s="1325"/>
      <c r="J2" s="1326"/>
      <c r="K2" s="670"/>
      <c r="L2" s="670"/>
      <c r="M2" s="670"/>
      <c r="N2" s="670"/>
      <c r="O2" s="670"/>
      <c r="P2" s="670"/>
      <c r="Q2" s="670"/>
      <c r="R2" s="670"/>
      <c r="S2" s="670"/>
    </row>
    <row r="3" spans="1:19" ht="12.75">
      <c r="A3" s="24"/>
      <c r="B3" s="652"/>
      <c r="C3" s="1311"/>
      <c r="D3" s="1309"/>
      <c r="E3" s="1309"/>
      <c r="F3" s="1309"/>
      <c r="G3" s="1321"/>
      <c r="H3" s="1316"/>
      <c r="I3" s="1316"/>
      <c r="J3" s="1317"/>
      <c r="K3" s="670"/>
      <c r="L3" s="670"/>
      <c r="M3" s="670"/>
      <c r="N3" s="670"/>
      <c r="O3" s="670"/>
      <c r="P3" s="670"/>
      <c r="Q3" s="670"/>
      <c r="R3" s="670"/>
      <c r="S3" s="670"/>
    </row>
    <row r="4" spans="1:19" ht="12.75">
      <c r="A4" s="24"/>
      <c r="B4" s="652"/>
      <c r="C4" s="1309" t="s">
        <v>1688</v>
      </c>
      <c r="D4" s="1309" t="s">
        <v>1689</v>
      </c>
      <c r="E4" s="1309"/>
      <c r="F4" s="1327"/>
      <c r="G4" s="1321" t="s">
        <v>1690</v>
      </c>
      <c r="H4" s="1315" t="s">
        <v>1586</v>
      </c>
      <c r="I4" s="1315"/>
      <c r="J4" s="1328"/>
      <c r="K4" s="670"/>
      <c r="L4" s="670"/>
      <c r="M4" s="670"/>
      <c r="N4" s="670"/>
      <c r="O4" s="670"/>
      <c r="P4" s="670"/>
      <c r="Q4" s="670"/>
      <c r="R4" s="670"/>
      <c r="S4" s="670"/>
    </row>
    <row r="5" spans="1:19" ht="12.75">
      <c r="A5" s="24"/>
      <c r="B5" s="652"/>
      <c r="C5" s="1312"/>
      <c r="D5" s="1309"/>
      <c r="E5" s="1309"/>
      <c r="F5" s="1327"/>
      <c r="G5" s="1321"/>
      <c r="H5" s="1315"/>
      <c r="I5" s="1315"/>
      <c r="J5" s="1328"/>
      <c r="K5" s="670"/>
      <c r="L5" s="670"/>
      <c r="M5" s="670"/>
      <c r="N5" s="670"/>
      <c r="O5" s="670"/>
      <c r="P5" s="670"/>
      <c r="Q5" s="670"/>
      <c r="R5" s="670"/>
      <c r="S5" s="670"/>
    </row>
    <row r="6" spans="1:19" ht="12.75">
      <c r="A6" s="24"/>
      <c r="B6" s="652"/>
      <c r="C6" s="1309" t="s">
        <v>1580</v>
      </c>
      <c r="D6" s="1309" t="s">
        <v>1691</v>
      </c>
      <c r="E6" s="1309"/>
      <c r="F6" s="1327"/>
      <c r="G6" s="1321" t="s">
        <v>1692</v>
      </c>
      <c r="H6" s="1315"/>
      <c r="I6" s="1316"/>
      <c r="J6" s="1317"/>
      <c r="K6" s="670"/>
      <c r="L6" s="670"/>
      <c r="M6" s="670"/>
      <c r="N6" s="670"/>
      <c r="O6" s="670"/>
      <c r="P6" s="670"/>
      <c r="Q6" s="670"/>
      <c r="R6" s="670"/>
      <c r="S6" s="670"/>
    </row>
    <row r="7" spans="1:19" ht="12.75">
      <c r="A7" s="24"/>
      <c r="B7" s="652"/>
      <c r="C7" s="1312"/>
      <c r="D7" s="1309"/>
      <c r="E7" s="1309"/>
      <c r="F7" s="1327"/>
      <c r="G7" s="1321"/>
      <c r="H7" s="1316"/>
      <c r="I7" s="1316"/>
      <c r="J7" s="1317"/>
      <c r="K7" s="670"/>
      <c r="L7" s="670"/>
      <c r="M7" s="670"/>
      <c r="N7" s="670"/>
      <c r="O7" s="670"/>
      <c r="P7" s="670"/>
      <c r="Q7" s="670"/>
      <c r="R7" s="670"/>
      <c r="S7" s="670"/>
    </row>
    <row r="8" spans="1:19" ht="12.75">
      <c r="A8" s="24"/>
      <c r="B8" s="652"/>
      <c r="C8" s="1330" t="s">
        <v>1184</v>
      </c>
      <c r="D8" s="1313" t="s">
        <v>2830</v>
      </c>
      <c r="E8" s="1314"/>
      <c r="F8" s="1314"/>
      <c r="G8" s="1321" t="s">
        <v>1693</v>
      </c>
      <c r="H8" s="1315" t="s">
        <v>1586</v>
      </c>
      <c r="I8" s="1316"/>
      <c r="J8" s="1317"/>
      <c r="K8" s="670"/>
      <c r="L8" s="670"/>
      <c r="M8" s="670"/>
      <c r="N8" s="670"/>
      <c r="O8" s="670"/>
      <c r="P8" s="670"/>
      <c r="Q8" s="670"/>
      <c r="R8" s="670"/>
      <c r="S8" s="670"/>
    </row>
    <row r="9" spans="1:19" ht="12.75">
      <c r="A9" s="24"/>
      <c r="B9" s="652"/>
      <c r="C9" s="1331"/>
      <c r="D9" s="1314"/>
      <c r="E9" s="1314"/>
      <c r="F9" s="1314"/>
      <c r="G9" s="1321"/>
      <c r="H9" s="1316"/>
      <c r="I9" s="1316"/>
      <c r="J9" s="1317"/>
      <c r="K9" s="670"/>
      <c r="L9" s="670"/>
      <c r="M9" s="670"/>
      <c r="N9" s="670"/>
      <c r="O9" s="670"/>
      <c r="P9" s="670"/>
      <c r="Q9" s="670"/>
      <c r="R9" s="670"/>
      <c r="S9" s="670"/>
    </row>
    <row r="10" spans="1:20" s="18" customFormat="1" ht="15" customHeight="1">
      <c r="A10" s="25"/>
      <c r="B10" s="652"/>
      <c r="C10" s="1015"/>
      <c r="D10" s="1021" t="s">
        <v>2748</v>
      </c>
      <c r="E10" s="1020"/>
      <c r="F10" s="1020"/>
      <c r="G10" s="1000"/>
      <c r="H10" s="1001"/>
      <c r="I10" s="1001"/>
      <c r="J10" s="1002"/>
      <c r="K10" s="671"/>
      <c r="L10" s="671"/>
      <c r="M10" s="671"/>
      <c r="N10" s="671"/>
      <c r="O10" s="671"/>
      <c r="P10" s="671"/>
      <c r="Q10" s="671"/>
      <c r="R10" s="671"/>
      <c r="S10" s="671"/>
      <c r="T10" s="671"/>
    </row>
    <row r="11" spans="1:20" s="18" customFormat="1" ht="16.5" customHeight="1">
      <c r="A11" s="25"/>
      <c r="B11" s="652"/>
      <c r="C11" s="1015"/>
      <c r="D11" s="1035" t="s">
        <v>2828</v>
      </c>
      <c r="E11" s="1035"/>
      <c r="F11" s="1035"/>
      <c r="G11" s="1000"/>
      <c r="H11" s="1001"/>
      <c r="I11" s="1001"/>
      <c r="J11" s="1002"/>
      <c r="O11" s="512"/>
      <c r="P11" s="512"/>
      <c r="T11" s="671"/>
    </row>
    <row r="12" spans="1:20" s="18" customFormat="1" ht="16.5" customHeight="1" thickBot="1">
      <c r="A12" s="889"/>
      <c r="B12" s="890"/>
      <c r="C12" s="891"/>
      <c r="D12" s="1036" t="s">
        <v>2834</v>
      </c>
      <c r="E12" s="1036"/>
      <c r="F12" s="1036"/>
      <c r="G12" s="892"/>
      <c r="H12" s="893"/>
      <c r="I12" s="893"/>
      <c r="J12" s="894"/>
      <c r="O12" s="512"/>
      <c r="P12" s="512"/>
      <c r="T12" s="671"/>
    </row>
    <row r="13" spans="1:19" ht="13.5" thickBot="1">
      <c r="A13" s="160"/>
      <c r="B13" s="161"/>
      <c r="C13" s="162"/>
      <c r="D13" s="161"/>
      <c r="E13" s="161"/>
      <c r="F13" s="161"/>
      <c r="G13" s="161"/>
      <c r="H13" s="161"/>
      <c r="I13" s="163"/>
      <c r="J13" s="164"/>
      <c r="K13" s="670"/>
      <c r="L13" s="670"/>
      <c r="M13" s="670"/>
      <c r="N13" s="670"/>
      <c r="O13" s="670"/>
      <c r="P13" s="670"/>
      <c r="Q13" s="670"/>
      <c r="R13" s="670"/>
      <c r="S13" s="670"/>
    </row>
    <row r="14" spans="1:19" s="18" customFormat="1" ht="12.75">
      <c r="A14" s="25"/>
      <c r="B14" s="17" t="s">
        <v>1694</v>
      </c>
      <c r="C14" s="2" t="s">
        <v>1694</v>
      </c>
      <c r="D14" s="3"/>
      <c r="E14" s="30" t="s">
        <v>1694</v>
      </c>
      <c r="F14" s="2" t="s">
        <v>1694</v>
      </c>
      <c r="G14" s="1322" t="s">
        <v>1695</v>
      </c>
      <c r="H14" s="1323"/>
      <c r="I14" s="1318" t="s">
        <v>1696</v>
      </c>
      <c r="J14" s="1319"/>
      <c r="K14" s="671"/>
      <c r="L14" s="671"/>
      <c r="M14" s="671"/>
      <c r="N14" s="671"/>
      <c r="O14" s="671"/>
      <c r="P14" s="671"/>
      <c r="Q14" s="671"/>
      <c r="R14" s="671"/>
      <c r="S14" s="671"/>
    </row>
    <row r="15" spans="1:19" s="18" customFormat="1" ht="13.5" thickBot="1">
      <c r="A15" s="26"/>
      <c r="B15" s="19" t="s">
        <v>1697</v>
      </c>
      <c r="C15" s="4" t="s">
        <v>1698</v>
      </c>
      <c r="D15" s="924" t="s">
        <v>2751</v>
      </c>
      <c r="E15" s="6" t="s">
        <v>1699</v>
      </c>
      <c r="F15" s="6" t="s">
        <v>1700</v>
      </c>
      <c r="G15" s="7" t="s">
        <v>1701</v>
      </c>
      <c r="H15" s="8" t="s">
        <v>1702</v>
      </c>
      <c r="I15" s="10" t="s">
        <v>1701</v>
      </c>
      <c r="J15" s="11" t="s">
        <v>1702</v>
      </c>
      <c r="K15" s="671"/>
      <c r="L15" s="671"/>
      <c r="M15" s="671"/>
      <c r="N15" s="671"/>
      <c r="O15" s="671"/>
      <c r="P15" s="671"/>
      <c r="Q15" s="671"/>
      <c r="R15" s="671"/>
      <c r="S15" s="671"/>
    </row>
    <row r="16" spans="1:19" ht="16.5" customHeight="1" thickBot="1">
      <c r="A16" s="266"/>
      <c r="B16" s="175"/>
      <c r="C16" s="176"/>
      <c r="D16" s="175"/>
      <c r="E16" s="175"/>
      <c r="F16" s="175"/>
      <c r="G16" s="175"/>
      <c r="H16" s="185"/>
      <c r="I16" s="177"/>
      <c r="J16" s="178"/>
      <c r="K16" s="670"/>
      <c r="L16" s="670"/>
      <c r="M16" s="670"/>
      <c r="N16" s="670"/>
      <c r="O16" s="670"/>
      <c r="P16" s="670"/>
      <c r="Q16" s="670"/>
      <c r="R16" s="670"/>
      <c r="S16" s="670"/>
    </row>
    <row r="17" spans="1:19" s="18" customFormat="1" ht="16.5" customHeight="1" thickBot="1">
      <c r="A17" s="27"/>
      <c r="B17" s="122"/>
      <c r="C17" s="122" t="s">
        <v>1703</v>
      </c>
      <c r="D17" s="122"/>
      <c r="E17" s="123"/>
      <c r="F17" s="123"/>
      <c r="G17" s="124"/>
      <c r="H17" s="125">
        <f>H18+H28+H35+H37+H71+H85+H91+H126+H137+H177+H181+H192+H252+H282+H299+H313+H315+H320+H337+H362+H372+H390+H392+H396+H400</f>
        <v>0</v>
      </c>
      <c r="I17" s="126"/>
      <c r="J17" s="127"/>
      <c r="K17" s="671"/>
      <c r="L17" s="671"/>
      <c r="M17" s="671"/>
      <c r="N17" s="671"/>
      <c r="O17" s="671"/>
      <c r="P17" s="671"/>
      <c r="Q17" s="671"/>
      <c r="R17" s="671"/>
      <c r="S17" s="671"/>
    </row>
    <row r="18" spans="1:19" ht="16.5" customHeight="1" thickBot="1">
      <c r="A18" s="266" t="s">
        <v>1704</v>
      </c>
      <c r="B18" s="175" t="s">
        <v>1616</v>
      </c>
      <c r="C18" s="176" t="s">
        <v>1705</v>
      </c>
      <c r="D18" s="175"/>
      <c r="E18" s="175"/>
      <c r="F18" s="175"/>
      <c r="G18" s="175"/>
      <c r="H18" s="185">
        <f>SUM(H19:H27)</f>
        <v>0</v>
      </c>
      <c r="I18" s="177"/>
      <c r="J18" s="178">
        <f>SUM(J19:J27)</f>
        <v>95.6409</v>
      </c>
      <c r="K18" s="670"/>
      <c r="L18" s="670"/>
      <c r="M18" s="670"/>
      <c r="N18" s="670"/>
      <c r="O18" s="670"/>
      <c r="P18" s="670"/>
      <c r="Q18" s="670"/>
      <c r="R18" s="670"/>
      <c r="S18" s="670"/>
    </row>
    <row r="19" spans="1:19" s="22" customFormat="1" ht="17.25" customHeight="1">
      <c r="A19" s="190" t="s">
        <v>1706</v>
      </c>
      <c r="B19" s="191" t="s">
        <v>1707</v>
      </c>
      <c r="C19" s="191" t="s">
        <v>1708</v>
      </c>
      <c r="D19" s="896" t="s">
        <v>2806</v>
      </c>
      <c r="E19" s="192" t="s">
        <v>1709</v>
      </c>
      <c r="F19" s="345">
        <f>E20</f>
        <v>50.999999999999986</v>
      </c>
      <c r="G19" s="345"/>
      <c r="H19" s="345">
        <f aca="true" t="shared" si="0" ref="H19:H27">F19*G19</f>
        <v>0</v>
      </c>
      <c r="I19" s="346">
        <v>0</v>
      </c>
      <c r="J19" s="347">
        <f aca="true" t="shared" si="1" ref="J19:J27">F19*I19</f>
        <v>0</v>
      </c>
      <c r="K19" s="693"/>
      <c r="L19" s="693"/>
      <c r="M19" s="693"/>
      <c r="N19" s="693"/>
      <c r="O19" s="693"/>
      <c r="P19" s="693"/>
      <c r="Q19" s="694"/>
      <c r="R19" s="509"/>
      <c r="S19" s="509"/>
    </row>
    <row r="20" spans="1:19" s="130" customFormat="1" ht="20.25" customHeight="1">
      <c r="A20" s="204"/>
      <c r="B20" s="205"/>
      <c r="C20" s="205" t="s">
        <v>1185</v>
      </c>
      <c r="D20" s="898"/>
      <c r="E20" s="207">
        <f>(35.4+43.8)*0.6*1+(1.3+4.5)*0.6*1</f>
        <v>50.999999999999986</v>
      </c>
      <c r="F20" s="335"/>
      <c r="G20" s="335"/>
      <c r="H20" s="335"/>
      <c r="I20" s="336"/>
      <c r="J20" s="337"/>
      <c r="K20" s="672"/>
      <c r="L20" s="672"/>
      <c r="M20" s="672"/>
      <c r="N20" s="672"/>
      <c r="O20" s="672"/>
      <c r="P20" s="672"/>
      <c r="Q20" s="673"/>
      <c r="R20" s="508"/>
      <c r="S20" s="508"/>
    </row>
    <row r="21" spans="1:19" s="22" customFormat="1" ht="17.25" customHeight="1">
      <c r="A21" s="196" t="s">
        <v>1711</v>
      </c>
      <c r="B21" s="197" t="s">
        <v>1712</v>
      </c>
      <c r="C21" s="197" t="s">
        <v>1713</v>
      </c>
      <c r="D21" s="897" t="s">
        <v>2806</v>
      </c>
      <c r="E21" s="198" t="s">
        <v>1709</v>
      </c>
      <c r="F21" s="332">
        <f>E22</f>
        <v>16.999999999999996</v>
      </c>
      <c r="G21" s="332"/>
      <c r="H21" s="332">
        <f t="shared" si="0"/>
        <v>0</v>
      </c>
      <c r="I21" s="333">
        <v>0</v>
      </c>
      <c r="J21" s="334">
        <f t="shared" si="1"/>
        <v>0</v>
      </c>
      <c r="K21" s="693"/>
      <c r="L21" s="693"/>
      <c r="M21" s="693"/>
      <c r="N21" s="693"/>
      <c r="O21" s="693"/>
      <c r="P21" s="693"/>
      <c r="Q21" s="694"/>
      <c r="R21" s="509"/>
      <c r="S21" s="509"/>
    </row>
    <row r="22" spans="1:19" s="130" customFormat="1" ht="20.25" customHeight="1">
      <c r="A22" s="204"/>
      <c r="B22" s="205"/>
      <c r="C22" s="205" t="s">
        <v>1186</v>
      </c>
      <c r="D22" s="898"/>
      <c r="E22" s="207">
        <f>(35.4+43.8)*0.2*1+(1.3+4.5)*0.2*1</f>
        <v>16.999999999999996</v>
      </c>
      <c r="F22" s="335"/>
      <c r="G22" s="335"/>
      <c r="H22" s="335"/>
      <c r="I22" s="336"/>
      <c r="J22" s="337"/>
      <c r="K22" s="672"/>
      <c r="L22" s="672"/>
      <c r="M22" s="672"/>
      <c r="N22" s="672"/>
      <c r="O22" s="672"/>
      <c r="P22" s="672"/>
      <c r="Q22" s="673"/>
      <c r="R22" s="508"/>
      <c r="S22" s="508"/>
    </row>
    <row r="23" spans="1:19" s="22" customFormat="1" ht="17.25" customHeight="1">
      <c r="A23" s="196" t="s">
        <v>1715</v>
      </c>
      <c r="B23" s="197" t="s">
        <v>1723</v>
      </c>
      <c r="C23" s="197" t="s">
        <v>1724</v>
      </c>
      <c r="D23" s="897" t="s">
        <v>2806</v>
      </c>
      <c r="E23" s="198" t="s">
        <v>1709</v>
      </c>
      <c r="F23" s="332">
        <f>E24</f>
        <v>11.060000000000002</v>
      </c>
      <c r="G23" s="332"/>
      <c r="H23" s="332">
        <f t="shared" si="0"/>
        <v>0</v>
      </c>
      <c r="I23" s="333">
        <v>0</v>
      </c>
      <c r="J23" s="334">
        <f t="shared" si="1"/>
        <v>0</v>
      </c>
      <c r="K23" s="693"/>
      <c r="L23" s="693"/>
      <c r="M23" s="693"/>
      <c r="N23" s="693"/>
      <c r="O23" s="693"/>
      <c r="P23" s="693"/>
      <c r="Q23" s="694"/>
      <c r="R23" s="509"/>
      <c r="S23" s="509"/>
    </row>
    <row r="24" spans="1:19" s="130" customFormat="1" ht="20.25" customHeight="1">
      <c r="A24" s="204"/>
      <c r="B24" s="205"/>
      <c r="C24" s="205" t="s">
        <v>1187</v>
      </c>
      <c r="D24" s="898"/>
      <c r="E24" s="207">
        <f>51+17-85*0.6*0.14-49.8</f>
        <v>11.060000000000002</v>
      </c>
      <c r="F24" s="335"/>
      <c r="G24" s="335"/>
      <c r="H24" s="335"/>
      <c r="I24" s="336"/>
      <c r="J24" s="337"/>
      <c r="K24" s="672"/>
      <c r="L24" s="672"/>
      <c r="M24" s="672"/>
      <c r="N24" s="672"/>
      <c r="O24" s="672"/>
      <c r="P24" s="672"/>
      <c r="Q24" s="673"/>
      <c r="R24" s="508"/>
      <c r="S24" s="508"/>
    </row>
    <row r="25" spans="1:19" s="22" customFormat="1" ht="17.25" customHeight="1">
      <c r="A25" s="196" t="s">
        <v>1719</v>
      </c>
      <c r="B25" s="197" t="s">
        <v>1726</v>
      </c>
      <c r="C25" s="199" t="s">
        <v>1727</v>
      </c>
      <c r="D25" s="899"/>
      <c r="E25" s="198" t="s">
        <v>1709</v>
      </c>
      <c r="F25" s="332">
        <f>E20+E22-E24</f>
        <v>56.93999999999998</v>
      </c>
      <c r="G25" s="332"/>
      <c r="H25" s="332">
        <f t="shared" si="0"/>
        <v>0</v>
      </c>
      <c r="I25" s="333">
        <v>0</v>
      </c>
      <c r="J25" s="334">
        <f t="shared" si="1"/>
        <v>0</v>
      </c>
      <c r="K25" s="693"/>
      <c r="L25" s="693"/>
      <c r="M25" s="693"/>
      <c r="N25" s="693"/>
      <c r="O25" s="693"/>
      <c r="P25" s="693"/>
      <c r="Q25" s="694"/>
      <c r="R25" s="509"/>
      <c r="S25" s="509"/>
    </row>
    <row r="26" spans="1:19" s="22" customFormat="1" ht="17.25" customHeight="1">
      <c r="A26" s="196" t="s">
        <v>1722</v>
      </c>
      <c r="B26" s="197" t="s">
        <v>1729</v>
      </c>
      <c r="C26" s="199" t="s">
        <v>1730</v>
      </c>
      <c r="D26" s="899"/>
      <c r="E26" s="198" t="s">
        <v>1709</v>
      </c>
      <c r="F26" s="332">
        <f>F25</f>
        <v>56.93999999999998</v>
      </c>
      <c r="G26" s="332"/>
      <c r="H26" s="332">
        <f t="shared" si="0"/>
        <v>0</v>
      </c>
      <c r="I26" s="333">
        <v>0</v>
      </c>
      <c r="J26" s="334">
        <f t="shared" si="1"/>
        <v>0</v>
      </c>
      <c r="K26" s="693"/>
      <c r="L26" s="693"/>
      <c r="M26" s="693"/>
      <c r="N26" s="693"/>
      <c r="O26" s="693"/>
      <c r="P26" s="693"/>
      <c r="Q26" s="694"/>
      <c r="R26" s="509"/>
      <c r="S26" s="509"/>
    </row>
    <row r="27" spans="1:19" s="22" customFormat="1" ht="17.25" customHeight="1" thickBot="1">
      <c r="A27" s="255" t="s">
        <v>1725</v>
      </c>
      <c r="B27" s="256" t="s">
        <v>1732</v>
      </c>
      <c r="C27" s="264" t="s">
        <v>1733</v>
      </c>
      <c r="D27" s="952"/>
      <c r="E27" s="257" t="s">
        <v>1709</v>
      </c>
      <c r="F27" s="368">
        <v>49.8</v>
      </c>
      <c r="G27" s="368"/>
      <c r="H27" s="368">
        <f t="shared" si="0"/>
        <v>0</v>
      </c>
      <c r="I27" s="369">
        <v>1.9205</v>
      </c>
      <c r="J27" s="370">
        <f t="shared" si="1"/>
        <v>95.6409</v>
      </c>
      <c r="K27" s="509"/>
      <c r="L27" s="509"/>
      <c r="M27" s="509"/>
      <c r="N27" s="509"/>
      <c r="O27" s="509"/>
      <c r="P27" s="509"/>
      <c r="Q27" s="509"/>
      <c r="R27" s="509"/>
      <c r="S27" s="509"/>
    </row>
    <row r="28" spans="1:19" ht="16.5" customHeight="1" thickBot="1">
      <c r="A28" s="266" t="s">
        <v>1743</v>
      </c>
      <c r="B28" s="175" t="s">
        <v>1744</v>
      </c>
      <c r="C28" s="176" t="s">
        <v>1745</v>
      </c>
      <c r="D28" s="175"/>
      <c r="E28" s="175"/>
      <c r="F28" s="341"/>
      <c r="G28" s="341"/>
      <c r="H28" s="342">
        <f>SUM(H29:H34)</f>
        <v>0</v>
      </c>
      <c r="I28" s="343"/>
      <c r="J28" s="344">
        <f>SUM(J29:J34)</f>
        <v>2.8114842999999996</v>
      </c>
      <c r="K28" s="670"/>
      <c r="L28" s="670"/>
      <c r="M28" s="670"/>
      <c r="N28" s="670"/>
      <c r="O28" s="670"/>
      <c r="P28" s="670"/>
      <c r="Q28" s="670"/>
      <c r="R28" s="670"/>
      <c r="S28" s="670"/>
    </row>
    <row r="29" spans="1:19" s="22" customFormat="1" ht="17.25" customHeight="1">
      <c r="A29" s="190"/>
      <c r="B29" s="191"/>
      <c r="C29" s="191"/>
      <c r="D29" s="896"/>
      <c r="E29" s="192"/>
      <c r="F29" s="345"/>
      <c r="G29" s="345"/>
      <c r="H29" s="345"/>
      <c r="I29" s="346"/>
      <c r="J29" s="347"/>
      <c r="K29" s="509"/>
      <c r="L29" s="509"/>
      <c r="M29" s="509"/>
      <c r="N29" s="509"/>
      <c r="O29" s="509"/>
      <c r="P29" s="509"/>
      <c r="Q29" s="509"/>
      <c r="R29" s="509"/>
      <c r="S29" s="509"/>
    </row>
    <row r="30" spans="1:19" s="22" customFormat="1" ht="17.25" customHeight="1">
      <c r="A30" s="196" t="s">
        <v>1734</v>
      </c>
      <c r="B30" s="197" t="s">
        <v>1762</v>
      </c>
      <c r="C30" s="197" t="s">
        <v>1763</v>
      </c>
      <c r="D30" s="897" t="s">
        <v>2806</v>
      </c>
      <c r="E30" s="198" t="s">
        <v>1748</v>
      </c>
      <c r="F30" s="332">
        <v>0.79</v>
      </c>
      <c r="G30" s="332"/>
      <c r="H30" s="332">
        <f>F30*G30</f>
        <v>0</v>
      </c>
      <c r="I30" s="333">
        <v>0.58567</v>
      </c>
      <c r="J30" s="334">
        <f>F30*I30</f>
        <v>0.4626793</v>
      </c>
      <c r="K30" s="509"/>
      <c r="L30" s="509"/>
      <c r="M30" s="509"/>
      <c r="N30" s="509"/>
      <c r="O30" s="509"/>
      <c r="P30" s="509"/>
      <c r="Q30" s="509"/>
      <c r="R30" s="509"/>
      <c r="S30" s="509"/>
    </row>
    <row r="31" spans="1:24" s="145" customFormat="1" ht="21.75" customHeight="1">
      <c r="A31" s="196" t="s">
        <v>1753</v>
      </c>
      <c r="B31" s="285" t="s">
        <v>1746</v>
      </c>
      <c r="C31" s="286" t="s">
        <v>1747</v>
      </c>
      <c r="D31" s="910" t="s">
        <v>2806</v>
      </c>
      <c r="E31" s="287" t="s">
        <v>1748</v>
      </c>
      <c r="F31" s="387">
        <f>SUM(E32:E32)</f>
        <v>50.999999999999986</v>
      </c>
      <c r="G31" s="332"/>
      <c r="H31" s="387">
        <f>F31*G31</f>
        <v>0</v>
      </c>
      <c r="I31" s="388">
        <v>0.03279</v>
      </c>
      <c r="J31" s="778">
        <f>F31*I31</f>
        <v>1.6722899999999996</v>
      </c>
      <c r="K31" s="143"/>
      <c r="L31" s="143"/>
      <c r="M31" s="143"/>
      <c r="N31" s="144"/>
      <c r="O31" s="144"/>
      <c r="P31" s="144"/>
      <c r="Q31" s="144"/>
      <c r="R31" s="144"/>
      <c r="S31" s="144"/>
      <c r="T31" s="288"/>
      <c r="U31" s="288"/>
      <c r="V31" s="288"/>
      <c r="W31" s="288"/>
      <c r="X31" s="288"/>
    </row>
    <row r="32" spans="1:19" s="130" customFormat="1" ht="20.25" customHeight="1">
      <c r="A32" s="204"/>
      <c r="B32" s="205"/>
      <c r="C32" s="205" t="s">
        <v>1188</v>
      </c>
      <c r="D32" s="898"/>
      <c r="E32" s="207">
        <f>(35.4+43.8)*0.6+(1.3+4.5)*0.6</f>
        <v>50.999999999999986</v>
      </c>
      <c r="F32" s="335"/>
      <c r="G32" s="335"/>
      <c r="H32" s="335"/>
      <c r="I32" s="336"/>
      <c r="J32" s="337"/>
      <c r="K32" s="672"/>
      <c r="L32" s="672"/>
      <c r="M32" s="672"/>
      <c r="N32" s="672"/>
      <c r="O32" s="672"/>
      <c r="P32" s="672"/>
      <c r="Q32" s="673"/>
      <c r="R32" s="508"/>
      <c r="S32" s="508"/>
    </row>
    <row r="33" spans="1:24" s="145" customFormat="1" ht="27.75" customHeight="1">
      <c r="A33" s="196" t="s">
        <v>1758</v>
      </c>
      <c r="B33" s="285" t="s">
        <v>1754</v>
      </c>
      <c r="C33" s="286" t="s">
        <v>1755</v>
      </c>
      <c r="D33" s="910" t="s">
        <v>2806</v>
      </c>
      <c r="E33" s="287" t="s">
        <v>1748</v>
      </c>
      <c r="F33" s="387">
        <f>SUM(E34)</f>
        <v>12.749999999999996</v>
      </c>
      <c r="G33" s="332"/>
      <c r="H33" s="387">
        <f>F33*G33</f>
        <v>0</v>
      </c>
      <c r="I33" s="388">
        <v>0.05306</v>
      </c>
      <c r="J33" s="778">
        <f>F33*I33</f>
        <v>0.6765149999999999</v>
      </c>
      <c r="K33" s="143"/>
      <c r="L33" s="143"/>
      <c r="M33" s="143"/>
      <c r="N33" s="144"/>
      <c r="O33" s="144"/>
      <c r="P33" s="144"/>
      <c r="Q33" s="144"/>
      <c r="R33" s="144"/>
      <c r="S33" s="144"/>
      <c r="T33" s="288"/>
      <c r="U33" s="288"/>
      <c r="V33" s="288"/>
      <c r="W33" s="288"/>
      <c r="X33" s="288"/>
    </row>
    <row r="34" spans="1:24" s="211" customFormat="1" ht="21.75" customHeight="1" thickBot="1">
      <c r="A34" s="312"/>
      <c r="B34" s="313" t="s">
        <v>1749</v>
      </c>
      <c r="C34" s="242" t="s">
        <v>1189</v>
      </c>
      <c r="D34" s="953"/>
      <c r="E34" s="314">
        <f>((35.4+43.8)*0.6+(1.3+4.5)*0.6)*0.25</f>
        <v>12.749999999999996</v>
      </c>
      <c r="F34" s="315"/>
      <c r="G34" s="779"/>
      <c r="H34" s="315"/>
      <c r="I34" s="414"/>
      <c r="J34" s="415"/>
      <c r="K34" s="675"/>
      <c r="L34" s="675"/>
      <c r="M34" s="675"/>
      <c r="N34" s="675"/>
      <c r="O34" s="676"/>
      <c r="P34" s="676"/>
      <c r="Q34" s="676"/>
      <c r="R34" s="676"/>
      <c r="S34" s="515"/>
      <c r="T34" s="210"/>
      <c r="U34" s="210"/>
      <c r="V34" s="210"/>
      <c r="W34" s="210"/>
      <c r="X34" s="210"/>
    </row>
    <row r="35" spans="1:19" ht="16.5" customHeight="1" thickBot="1">
      <c r="A35" s="266" t="s">
        <v>1801</v>
      </c>
      <c r="B35" s="175" t="s">
        <v>1802</v>
      </c>
      <c r="C35" s="176" t="s">
        <v>1803</v>
      </c>
      <c r="D35" s="175"/>
      <c r="E35" s="175"/>
      <c r="F35" s="341"/>
      <c r="G35" s="341"/>
      <c r="H35" s="342">
        <f>SUM(H36)</f>
        <v>0</v>
      </c>
      <c r="I35" s="343"/>
      <c r="J35" s="344">
        <f>SUM(J36)</f>
        <v>0</v>
      </c>
      <c r="K35" s="670"/>
      <c r="L35" s="670"/>
      <c r="M35" s="670"/>
      <c r="N35" s="670"/>
      <c r="O35" s="670"/>
      <c r="P35" s="670"/>
      <c r="Q35" s="670"/>
      <c r="R35" s="670"/>
      <c r="S35" s="670"/>
    </row>
    <row r="36" spans="1:19" s="145" customFormat="1" ht="18" customHeight="1" thickBot="1">
      <c r="A36" s="196"/>
      <c r="B36" s="285"/>
      <c r="C36" s="286"/>
      <c r="D36" s="286"/>
      <c r="E36" s="287"/>
      <c r="F36" s="387"/>
      <c r="G36" s="332"/>
      <c r="H36" s="387"/>
      <c r="I36" s="388"/>
      <c r="J36" s="778"/>
      <c r="K36" s="143"/>
      <c r="L36" s="143"/>
      <c r="M36" s="143"/>
      <c r="N36" s="144"/>
      <c r="O36" s="144"/>
      <c r="P36" s="144"/>
      <c r="Q36" s="144"/>
      <c r="R36" s="144"/>
      <c r="S36" s="144"/>
    </row>
    <row r="37" spans="1:19" ht="16.5" customHeight="1" thickBot="1">
      <c r="A37" s="266" t="s">
        <v>1809</v>
      </c>
      <c r="B37" s="175" t="s">
        <v>1810</v>
      </c>
      <c r="C37" s="176" t="s">
        <v>1811</v>
      </c>
      <c r="D37" s="175"/>
      <c r="E37" s="175"/>
      <c r="F37" s="341"/>
      <c r="G37" s="341"/>
      <c r="H37" s="342">
        <f>SUM(H38:H70)</f>
        <v>0</v>
      </c>
      <c r="I37" s="343"/>
      <c r="J37" s="344">
        <f>SUM(J38:J70)</f>
        <v>2.3716820374999994</v>
      </c>
      <c r="K37" s="670"/>
      <c r="L37" s="670"/>
      <c r="M37" s="670"/>
      <c r="N37" s="670"/>
      <c r="O37" s="670"/>
      <c r="P37" s="670"/>
      <c r="Q37" s="670"/>
      <c r="R37" s="670"/>
      <c r="S37" s="670"/>
    </row>
    <row r="38" spans="1:19" s="22" customFormat="1" ht="15" customHeight="1">
      <c r="A38" s="190"/>
      <c r="B38" s="191"/>
      <c r="C38" s="191"/>
      <c r="D38" s="191"/>
      <c r="E38" s="192"/>
      <c r="F38" s="345"/>
      <c r="G38" s="345"/>
      <c r="H38" s="345"/>
      <c r="I38" s="346"/>
      <c r="J38" s="347"/>
      <c r="K38" s="509"/>
      <c r="L38" s="509"/>
      <c r="M38" s="509"/>
      <c r="N38" s="509"/>
      <c r="O38" s="509"/>
      <c r="P38" s="509"/>
      <c r="Q38" s="509"/>
      <c r="R38" s="509"/>
      <c r="S38" s="509"/>
    </row>
    <row r="39" spans="1:10" s="1119" customFormat="1" ht="16.5" customHeight="1">
      <c r="A39" s="1110" t="s">
        <v>1812</v>
      </c>
      <c r="B39" s="1111" t="s">
        <v>1813</v>
      </c>
      <c r="C39" s="1111" t="s">
        <v>1814</v>
      </c>
      <c r="D39" s="1265" t="s">
        <v>2839</v>
      </c>
      <c r="E39" s="1113" t="s">
        <v>1748</v>
      </c>
      <c r="F39" s="1114">
        <v>0</v>
      </c>
      <c r="G39" s="1114"/>
      <c r="H39" s="1114">
        <f>F39*G39</f>
        <v>0</v>
      </c>
      <c r="I39" s="1115">
        <v>0.25094</v>
      </c>
      <c r="J39" s="1116">
        <f>F39*I39</f>
        <v>0</v>
      </c>
    </row>
    <row r="40" spans="1:19" s="1128" customFormat="1" ht="16.5" customHeight="1">
      <c r="A40" s="1122"/>
      <c r="B40" s="1123" t="s">
        <v>1767</v>
      </c>
      <c r="C40" s="1124" t="s">
        <v>1815</v>
      </c>
      <c r="D40" s="1123" t="s">
        <v>2807</v>
      </c>
      <c r="E40" s="1160">
        <f>2.35*1.7</f>
        <v>3.995</v>
      </c>
      <c r="F40" s="1125"/>
      <c r="G40" s="1125"/>
      <c r="H40" s="1125"/>
      <c r="I40" s="1126"/>
      <c r="J40" s="1127"/>
      <c r="K40" s="1260"/>
      <c r="L40" s="1260"/>
      <c r="M40" s="1260"/>
      <c r="N40" s="1260"/>
      <c r="O40" s="1260"/>
      <c r="P40" s="1260"/>
      <c r="Q40" s="1261"/>
      <c r="S40" s="1260"/>
    </row>
    <row r="41" spans="1:10" s="1119" customFormat="1" ht="15" customHeight="1">
      <c r="A41" s="1110" t="s">
        <v>1816</v>
      </c>
      <c r="B41" s="1111" t="s">
        <v>1817</v>
      </c>
      <c r="C41" s="1111" t="s">
        <v>1818</v>
      </c>
      <c r="D41" s="1265" t="s">
        <v>2839</v>
      </c>
      <c r="E41" s="1113" t="s">
        <v>1709</v>
      </c>
      <c r="F41" s="1114">
        <v>0</v>
      </c>
      <c r="G41" s="1114"/>
      <c r="H41" s="1114">
        <f>F41*G41</f>
        <v>0</v>
      </c>
      <c r="I41" s="1115">
        <v>2.52512</v>
      </c>
      <c r="J41" s="1116">
        <f>F41*I41</f>
        <v>0</v>
      </c>
    </row>
    <row r="42" spans="1:19" s="1128" customFormat="1" ht="16.5" customHeight="1">
      <c r="A42" s="1122"/>
      <c r="B42" s="1123" t="s">
        <v>1767</v>
      </c>
      <c r="C42" s="1124" t="s">
        <v>1819</v>
      </c>
      <c r="D42" s="1123" t="s">
        <v>2807</v>
      </c>
      <c r="E42" s="1160">
        <f>2.35*1.7*0.15</f>
        <v>0.59925</v>
      </c>
      <c r="F42" s="1125"/>
      <c r="G42" s="1125"/>
      <c r="H42" s="1125"/>
      <c r="I42" s="1126"/>
      <c r="J42" s="1127"/>
      <c r="K42" s="1260"/>
      <c r="L42" s="1260"/>
      <c r="M42" s="1260"/>
      <c r="N42" s="1260"/>
      <c r="O42" s="1260"/>
      <c r="P42" s="1260"/>
      <c r="Q42" s="1261"/>
      <c r="S42" s="1260"/>
    </row>
    <row r="43" spans="1:10" s="1119" customFormat="1" ht="15" customHeight="1">
      <c r="A43" s="1110" t="s">
        <v>1820</v>
      </c>
      <c r="B43" s="1111" t="s">
        <v>1821</v>
      </c>
      <c r="C43" s="1111" t="s">
        <v>1822</v>
      </c>
      <c r="D43" s="1265" t="s">
        <v>2839</v>
      </c>
      <c r="E43" s="1113" t="s">
        <v>1783</v>
      </c>
      <c r="F43" s="1114">
        <v>0</v>
      </c>
      <c r="G43" s="1114"/>
      <c r="H43" s="1114">
        <f>F43*G43</f>
        <v>0</v>
      </c>
      <c r="I43" s="1115">
        <v>1.02092</v>
      </c>
      <c r="J43" s="1116">
        <f>F43*I43</f>
        <v>0</v>
      </c>
    </row>
    <row r="44" spans="1:10" s="1119" customFormat="1" ht="15" customHeight="1">
      <c r="A44" s="1110" t="s">
        <v>1823</v>
      </c>
      <c r="B44" s="1111" t="s">
        <v>1824</v>
      </c>
      <c r="C44" s="1111" t="s">
        <v>1825</v>
      </c>
      <c r="D44" s="1265" t="s">
        <v>2839</v>
      </c>
      <c r="E44" s="1113" t="s">
        <v>1826</v>
      </c>
      <c r="F44" s="1114">
        <v>0</v>
      </c>
      <c r="G44" s="1114"/>
      <c r="H44" s="1114">
        <f>F44*G44</f>
        <v>0</v>
      </c>
      <c r="I44" s="1115">
        <v>0.03462</v>
      </c>
      <c r="J44" s="1116">
        <f>F44*I44</f>
        <v>0</v>
      </c>
    </row>
    <row r="45" spans="1:19" s="1128" customFormat="1" ht="16.5" customHeight="1">
      <c r="A45" s="1122"/>
      <c r="B45" s="1123" t="s">
        <v>1767</v>
      </c>
      <c r="C45" s="1124" t="s">
        <v>1827</v>
      </c>
      <c r="D45" s="1123" t="s">
        <v>2807</v>
      </c>
      <c r="E45" s="1160">
        <f>2.35*6</f>
        <v>14.100000000000001</v>
      </c>
      <c r="F45" s="1125"/>
      <c r="G45" s="1125"/>
      <c r="H45" s="1125"/>
      <c r="I45" s="1126"/>
      <c r="J45" s="1127"/>
      <c r="K45" s="1260"/>
      <c r="L45" s="1260"/>
      <c r="M45" s="1260"/>
      <c r="N45" s="1260"/>
      <c r="O45" s="1260"/>
      <c r="P45" s="1260"/>
      <c r="Q45" s="1261"/>
      <c r="S45" s="1260"/>
    </row>
    <row r="46" spans="1:10" s="1119" customFormat="1" ht="15" customHeight="1">
      <c r="A46" s="1110" t="s">
        <v>1828</v>
      </c>
      <c r="B46" s="1111" t="s">
        <v>1829</v>
      </c>
      <c r="C46" s="1111" t="s">
        <v>1830</v>
      </c>
      <c r="D46" s="1265" t="s">
        <v>2839</v>
      </c>
      <c r="E46" s="1113" t="s">
        <v>1831</v>
      </c>
      <c r="F46" s="1114">
        <v>0</v>
      </c>
      <c r="G46" s="1114"/>
      <c r="H46" s="1114">
        <f>F46*G46</f>
        <v>0</v>
      </c>
      <c r="I46" s="1115">
        <v>0.036</v>
      </c>
      <c r="J46" s="1116">
        <f>F46*I46</f>
        <v>0</v>
      </c>
    </row>
    <row r="47" spans="1:10" s="1119" customFormat="1" ht="16.5" customHeight="1">
      <c r="A47" s="1110" t="s">
        <v>1836</v>
      </c>
      <c r="B47" s="1111" t="s">
        <v>1837</v>
      </c>
      <c r="C47" s="1111" t="s">
        <v>1838</v>
      </c>
      <c r="D47" s="1265" t="s">
        <v>2839</v>
      </c>
      <c r="E47" s="1113" t="s">
        <v>1748</v>
      </c>
      <c r="F47" s="1114">
        <v>0</v>
      </c>
      <c r="G47" s="1114"/>
      <c r="H47" s="1114">
        <f aca="true" t="shared" si="2" ref="H47:H49">F47*G47</f>
        <v>0</v>
      </c>
      <c r="I47" s="1115">
        <v>0.0042</v>
      </c>
      <c r="J47" s="1116">
        <f aca="true" t="shared" si="3" ref="J47:J49">F47*I47</f>
        <v>0</v>
      </c>
    </row>
    <row r="48" spans="1:19" s="1128" customFormat="1" ht="16.5" customHeight="1">
      <c r="A48" s="1122"/>
      <c r="B48" s="1123" t="s">
        <v>1767</v>
      </c>
      <c r="C48" s="1124" t="s">
        <v>1839</v>
      </c>
      <c r="D48" s="1123"/>
      <c r="E48" s="1160">
        <f>5.75+2.4*0.14+0.01</f>
        <v>6.096</v>
      </c>
      <c r="F48" s="1125"/>
      <c r="G48" s="1125"/>
      <c r="H48" s="1125"/>
      <c r="I48" s="1126"/>
      <c r="J48" s="1127"/>
      <c r="K48" s="1260"/>
      <c r="L48" s="1260"/>
      <c r="M48" s="1260"/>
      <c r="N48" s="1260"/>
      <c r="O48" s="1260"/>
      <c r="P48" s="1260"/>
      <c r="Q48" s="1261"/>
      <c r="S48" s="1260"/>
    </row>
    <row r="49" spans="1:10" s="1119" customFormat="1" ht="16.5" customHeight="1">
      <c r="A49" s="1110" t="s">
        <v>1840</v>
      </c>
      <c r="B49" s="1111" t="s">
        <v>1841</v>
      </c>
      <c r="C49" s="1111" t="s">
        <v>1842</v>
      </c>
      <c r="D49" s="1265" t="s">
        <v>2839</v>
      </c>
      <c r="E49" s="1113" t="s">
        <v>1748</v>
      </c>
      <c r="F49" s="1114">
        <v>0</v>
      </c>
      <c r="G49" s="1114"/>
      <c r="H49" s="1114">
        <f t="shared" si="2"/>
        <v>0</v>
      </c>
      <c r="I49" s="1115">
        <v>0.05434</v>
      </c>
      <c r="J49" s="1116">
        <f t="shared" si="3"/>
        <v>0</v>
      </c>
    </row>
    <row r="50" spans="1:19" s="1128" customFormat="1" ht="16.5" customHeight="1">
      <c r="A50" s="1122"/>
      <c r="B50" s="1123" t="s">
        <v>1767</v>
      </c>
      <c r="C50" s="1124" t="s">
        <v>1839</v>
      </c>
      <c r="D50" s="1123"/>
      <c r="E50" s="1160">
        <f>5.75+2.4*0.14+0.01</f>
        <v>6.096</v>
      </c>
      <c r="F50" s="1125"/>
      <c r="G50" s="1125"/>
      <c r="H50" s="1125"/>
      <c r="I50" s="1126"/>
      <c r="J50" s="1127"/>
      <c r="K50" s="1260"/>
      <c r="L50" s="1260"/>
      <c r="M50" s="1260"/>
      <c r="N50" s="1260"/>
      <c r="O50" s="1260"/>
      <c r="P50" s="1260"/>
      <c r="Q50" s="1261"/>
      <c r="S50" s="1260"/>
    </row>
    <row r="51" spans="1:19" s="1240" customFormat="1" ht="31.5" customHeight="1">
      <c r="A51" s="1245" t="s">
        <v>1812</v>
      </c>
      <c r="B51" s="1246" t="s">
        <v>2970</v>
      </c>
      <c r="C51" s="1247" t="s">
        <v>2971</v>
      </c>
      <c r="D51" s="1246" t="s">
        <v>2758</v>
      </c>
      <c r="E51" s="1248" t="s">
        <v>1748</v>
      </c>
      <c r="F51" s="1249">
        <f>SUM(E52)</f>
        <v>0.9912</v>
      </c>
      <c r="G51" s="1249"/>
      <c r="H51" s="1250">
        <f>F51*G51</f>
        <v>0</v>
      </c>
      <c r="I51" s="1251">
        <v>1.59957</v>
      </c>
      <c r="J51" s="1238">
        <f>F51*I51</f>
        <v>1.5854937839999999</v>
      </c>
      <c r="K51" s="1239"/>
      <c r="L51" s="1239"/>
      <c r="M51" s="1239"/>
      <c r="N51" s="1239"/>
      <c r="O51" s="1239"/>
      <c r="P51" s="1239"/>
      <c r="Q51" s="1239"/>
      <c r="R51" s="1239"/>
      <c r="S51" s="1239"/>
    </row>
    <row r="52" spans="1:19" s="1240" customFormat="1" ht="15" customHeight="1">
      <c r="A52" s="1245"/>
      <c r="B52" s="1252" t="s">
        <v>639</v>
      </c>
      <c r="C52" s="1253" t="s">
        <v>2969</v>
      </c>
      <c r="D52" s="1246"/>
      <c r="E52" s="1254">
        <f>0.8*0.3*(2.9+1.23)</f>
        <v>0.9912</v>
      </c>
      <c r="F52" s="1249"/>
      <c r="G52" s="1249"/>
      <c r="H52" s="1249"/>
      <c r="I52" s="1251"/>
      <c r="J52" s="1255"/>
      <c r="K52" s="1239"/>
      <c r="L52" s="1239"/>
      <c r="M52" s="1239"/>
      <c r="N52" s="1239"/>
      <c r="O52" s="1239"/>
      <c r="P52" s="1239"/>
      <c r="Q52" s="1239"/>
      <c r="R52" s="1239"/>
      <c r="S52" s="1239"/>
    </row>
    <row r="53" spans="1:19" s="22" customFormat="1" ht="15" customHeight="1">
      <c r="A53" s="278"/>
      <c r="B53" s="279"/>
      <c r="C53" s="279"/>
      <c r="D53" s="279"/>
      <c r="E53" s="281"/>
      <c r="F53" s="382"/>
      <c r="G53" s="382"/>
      <c r="H53" s="382"/>
      <c r="I53" s="383"/>
      <c r="J53" s="384"/>
      <c r="K53" s="509"/>
      <c r="L53" s="509"/>
      <c r="M53" s="509"/>
      <c r="N53" s="509"/>
      <c r="O53" s="509"/>
      <c r="P53" s="509"/>
      <c r="Q53" s="509"/>
      <c r="R53" s="509"/>
      <c r="S53" s="509"/>
    </row>
    <row r="54" spans="1:19" s="1240" customFormat="1" ht="23.25" customHeight="1">
      <c r="A54" s="1245" t="s">
        <v>1816</v>
      </c>
      <c r="B54" s="1246" t="s">
        <v>2972</v>
      </c>
      <c r="C54" s="1247" t="s">
        <v>2973</v>
      </c>
      <c r="D54" s="1246" t="s">
        <v>2758</v>
      </c>
      <c r="E54" s="1248" t="s">
        <v>1709</v>
      </c>
      <c r="F54" s="1249">
        <f>SUM(E55)</f>
        <v>0.18585</v>
      </c>
      <c r="G54" s="1249"/>
      <c r="H54" s="1250">
        <f>F54*G54</f>
        <v>0</v>
      </c>
      <c r="I54" s="1251">
        <v>2.52511</v>
      </c>
      <c r="J54" s="1238">
        <f>F54*I54</f>
        <v>0.4692916935</v>
      </c>
      <c r="K54" s="1239"/>
      <c r="L54" s="1239"/>
      <c r="M54" s="1239"/>
      <c r="N54" s="1239"/>
      <c r="O54" s="1239"/>
      <c r="P54" s="1239"/>
      <c r="Q54" s="1239"/>
      <c r="R54" s="1239"/>
      <c r="S54" s="1239"/>
    </row>
    <row r="55" spans="1:19" s="1240" customFormat="1" ht="15" customHeight="1">
      <c r="A55" s="1245"/>
      <c r="B55" s="1252" t="s">
        <v>639</v>
      </c>
      <c r="C55" s="1253" t="s">
        <v>2974</v>
      </c>
      <c r="D55" s="1246"/>
      <c r="E55" s="1254">
        <f>0.3*0.15*(2.9+1.23)</f>
        <v>0.18585</v>
      </c>
      <c r="F55" s="1249"/>
      <c r="G55" s="1249"/>
      <c r="H55" s="1249"/>
      <c r="I55" s="1251"/>
      <c r="J55" s="1255"/>
      <c r="K55" s="1239"/>
      <c r="L55" s="1239"/>
      <c r="M55" s="1239"/>
      <c r="N55" s="1239"/>
      <c r="O55" s="1239"/>
      <c r="P55" s="1239"/>
      <c r="Q55" s="1239"/>
      <c r="R55" s="1239"/>
      <c r="S55" s="1239"/>
    </row>
    <row r="56" spans="1:19" s="1240" customFormat="1" ht="15" customHeight="1">
      <c r="A56" s="1245" t="s">
        <v>1820</v>
      </c>
      <c r="B56" s="1246" t="s">
        <v>1771</v>
      </c>
      <c r="C56" s="1246" t="s">
        <v>1772</v>
      </c>
      <c r="D56" s="1246" t="s">
        <v>2758</v>
      </c>
      <c r="E56" s="1248" t="s">
        <v>1748</v>
      </c>
      <c r="F56" s="1249">
        <f>SUM(E57)</f>
        <v>1.2389999999999999</v>
      </c>
      <c r="G56" s="1249"/>
      <c r="H56" s="1249"/>
      <c r="I56" s="1251">
        <v>0.00782</v>
      </c>
      <c r="J56" s="1238">
        <f>F56*I56</f>
        <v>0.00968898</v>
      </c>
      <c r="K56" s="1239"/>
      <c r="L56" s="1239"/>
      <c r="M56" s="1239"/>
      <c r="N56" s="1239"/>
      <c r="O56" s="1239"/>
      <c r="P56" s="1239"/>
      <c r="Q56" s="1239"/>
      <c r="R56" s="1239"/>
      <c r="S56" s="1239"/>
    </row>
    <row r="57" spans="1:19" s="1240" customFormat="1" ht="15" customHeight="1">
      <c r="A57" s="1245"/>
      <c r="B57" s="1252" t="s">
        <v>639</v>
      </c>
      <c r="C57" s="1253" t="s">
        <v>2975</v>
      </c>
      <c r="D57" s="1246"/>
      <c r="E57" s="1254">
        <f>2*0.15*(2.9+1.23)</f>
        <v>1.2389999999999999</v>
      </c>
      <c r="F57" s="1249"/>
      <c r="G57" s="1249"/>
      <c r="H57" s="1249"/>
      <c r="I57" s="1251"/>
      <c r="J57" s="1255"/>
      <c r="K57" s="1239"/>
      <c r="L57" s="1239"/>
      <c r="M57" s="1239"/>
      <c r="N57" s="1239"/>
      <c r="O57" s="1239"/>
      <c r="P57" s="1239"/>
      <c r="Q57" s="1239"/>
      <c r="R57" s="1239"/>
      <c r="S57" s="1239"/>
    </row>
    <row r="58" spans="1:19" s="1240" customFormat="1" ht="15" customHeight="1">
      <c r="A58" s="1245" t="s">
        <v>1823</v>
      </c>
      <c r="B58" s="1246" t="s">
        <v>1774</v>
      </c>
      <c r="C58" s="1246" t="s">
        <v>1775</v>
      </c>
      <c r="D58" s="1246" t="s">
        <v>2758</v>
      </c>
      <c r="E58" s="1248" t="s">
        <v>1748</v>
      </c>
      <c r="F58" s="1249">
        <f>SUM(E59)</f>
        <v>1.2389999999999999</v>
      </c>
      <c r="G58" s="1249"/>
      <c r="H58" s="1249"/>
      <c r="I58" s="1251">
        <v>0</v>
      </c>
      <c r="J58" s="1238">
        <f>F58*I58</f>
        <v>0</v>
      </c>
      <c r="K58" s="1239"/>
      <c r="L58" s="1239"/>
      <c r="M58" s="1239"/>
      <c r="N58" s="1239"/>
      <c r="O58" s="1239"/>
      <c r="P58" s="1239"/>
      <c r="Q58" s="1239"/>
      <c r="R58" s="1239"/>
      <c r="S58" s="1239"/>
    </row>
    <row r="59" spans="1:19" s="1240" customFormat="1" ht="15" customHeight="1">
      <c r="A59" s="1245"/>
      <c r="B59" s="1252" t="s">
        <v>639</v>
      </c>
      <c r="C59" s="1253" t="s">
        <v>2975</v>
      </c>
      <c r="D59" s="1246"/>
      <c r="E59" s="1254">
        <f>2*0.15*(2.9+1.23)</f>
        <v>1.2389999999999999</v>
      </c>
      <c r="F59" s="1249"/>
      <c r="G59" s="1249"/>
      <c r="H59" s="1249"/>
      <c r="I59" s="1251"/>
      <c r="J59" s="1255"/>
      <c r="K59" s="1239"/>
      <c r="L59" s="1239"/>
      <c r="M59" s="1239"/>
      <c r="N59" s="1239"/>
      <c r="O59" s="1239"/>
      <c r="P59" s="1239"/>
      <c r="Q59" s="1239"/>
      <c r="R59" s="1239"/>
      <c r="S59" s="1239"/>
    </row>
    <row r="60" spans="1:19" s="1240" customFormat="1" ht="15" customHeight="1">
      <c r="A60" s="1232" t="s">
        <v>1828</v>
      </c>
      <c r="B60" s="1233" t="s">
        <v>2977</v>
      </c>
      <c r="C60" s="1233" t="s">
        <v>2978</v>
      </c>
      <c r="D60" s="1246" t="s">
        <v>2758</v>
      </c>
      <c r="E60" s="1235" t="s">
        <v>1783</v>
      </c>
      <c r="F60" s="1236">
        <f>0.19*0.08</f>
        <v>0.0152</v>
      </c>
      <c r="G60" s="1236"/>
      <c r="H60" s="1236">
        <f aca="true" t="shared" si="4" ref="H60">F60*G60</f>
        <v>0</v>
      </c>
      <c r="I60" s="1237">
        <v>1.01665</v>
      </c>
      <c r="J60" s="1238">
        <f aca="true" t="shared" si="5" ref="J60">F60*I60</f>
        <v>0.015453080000000001</v>
      </c>
      <c r="K60" s="1239"/>
      <c r="L60" s="1239"/>
      <c r="M60" s="1239"/>
      <c r="N60" s="1239"/>
      <c r="O60" s="1239"/>
      <c r="P60" s="1239"/>
      <c r="Q60" s="1239"/>
      <c r="R60" s="1239"/>
      <c r="S60" s="1239"/>
    </row>
    <row r="61" spans="1:19" s="22" customFormat="1" ht="15" customHeight="1">
      <c r="A61" s="196" t="s">
        <v>1832</v>
      </c>
      <c r="B61" s="197" t="s">
        <v>1833</v>
      </c>
      <c r="C61" s="197" t="s">
        <v>1834</v>
      </c>
      <c r="D61" s="897" t="s">
        <v>2758</v>
      </c>
      <c r="E61" s="198" t="s">
        <v>1826</v>
      </c>
      <c r="F61" s="332">
        <f>E62</f>
        <v>4.33</v>
      </c>
      <c r="G61" s="332"/>
      <c r="H61" s="332">
        <f>F61*G61</f>
        <v>0</v>
      </c>
      <c r="I61" s="333">
        <v>0.06727</v>
      </c>
      <c r="J61" s="334">
        <f>F61*I61</f>
        <v>0.2912791</v>
      </c>
      <c r="K61" s="509"/>
      <c r="L61" s="509"/>
      <c r="M61" s="509"/>
      <c r="N61" s="509"/>
      <c r="O61" s="509"/>
      <c r="P61" s="509"/>
      <c r="Q61" s="509"/>
      <c r="R61" s="509"/>
      <c r="S61" s="509"/>
    </row>
    <row r="62" spans="1:19" s="130" customFormat="1" ht="16.5" customHeight="1">
      <c r="A62" s="204"/>
      <c r="B62" s="205" t="s">
        <v>639</v>
      </c>
      <c r="C62" s="206" t="s">
        <v>2976</v>
      </c>
      <c r="D62" s="898"/>
      <c r="E62" s="207">
        <f>2.9+1.23+0.2</f>
        <v>4.33</v>
      </c>
      <c r="F62" s="335"/>
      <c r="G62" s="335"/>
      <c r="H62" s="335"/>
      <c r="I62" s="336"/>
      <c r="J62" s="337"/>
      <c r="K62" s="672"/>
      <c r="L62" s="672"/>
      <c r="M62" s="672"/>
      <c r="N62" s="672"/>
      <c r="O62" s="672"/>
      <c r="P62" s="672"/>
      <c r="Q62" s="673"/>
      <c r="R62" s="508"/>
      <c r="S62" s="672"/>
    </row>
    <row r="63" spans="1:19" s="1240" customFormat="1" ht="20.25" customHeight="1">
      <c r="A63" s="1232" t="s">
        <v>1836</v>
      </c>
      <c r="B63" s="1233" t="s">
        <v>2985</v>
      </c>
      <c r="C63" s="1233" t="s">
        <v>2986</v>
      </c>
      <c r="D63" s="1233" t="s">
        <v>2758</v>
      </c>
      <c r="E63" s="1235" t="s">
        <v>1748</v>
      </c>
      <c r="F63" s="1236">
        <f>SUM(E64)</f>
        <v>2.46</v>
      </c>
      <c r="G63" s="1236"/>
      <c r="H63" s="1236">
        <f aca="true" t="shared" si="6" ref="H63">F63*G63</f>
        <v>0</v>
      </c>
      <c r="I63" s="1237">
        <v>2E-05</v>
      </c>
      <c r="J63" s="1238">
        <f aca="true" t="shared" si="7" ref="J63">F63*I63</f>
        <v>4.92E-05</v>
      </c>
      <c r="K63" s="1263"/>
      <c r="L63" s="1263"/>
      <c r="M63" s="1263"/>
      <c r="N63" s="1263"/>
      <c r="O63" s="1263"/>
      <c r="P63" s="1263"/>
      <c r="Q63" s="1264"/>
      <c r="R63" s="1239"/>
      <c r="S63" s="1239"/>
    </row>
    <row r="64" spans="1:19" s="1275" customFormat="1" ht="16.5" customHeight="1">
      <c r="A64" s="1268"/>
      <c r="B64" s="1252" t="s">
        <v>2987</v>
      </c>
      <c r="C64" s="1257" t="s">
        <v>2988</v>
      </c>
      <c r="D64" s="1256"/>
      <c r="E64" s="1258">
        <f>1.23*2</f>
        <v>2.46</v>
      </c>
      <c r="F64" s="1269"/>
      <c r="G64" s="1269"/>
      <c r="H64" s="1269"/>
      <c r="I64" s="1270"/>
      <c r="J64" s="1271"/>
      <c r="K64" s="1272"/>
      <c r="L64" s="1272"/>
      <c r="M64" s="1272"/>
      <c r="N64" s="1272"/>
      <c r="O64" s="1272"/>
      <c r="P64" s="1272"/>
      <c r="Q64" s="1273"/>
      <c r="R64" s="1274"/>
      <c r="S64" s="1272"/>
    </row>
    <row r="65" spans="1:19" s="1240" customFormat="1" ht="20.25" customHeight="1">
      <c r="A65" s="1232" t="s">
        <v>1840</v>
      </c>
      <c r="B65" s="1233" t="s">
        <v>2989</v>
      </c>
      <c r="C65" s="1233" t="s">
        <v>2990</v>
      </c>
      <c r="D65" s="1233" t="s">
        <v>2758</v>
      </c>
      <c r="E65" s="1235" t="s">
        <v>1826</v>
      </c>
      <c r="F65" s="1236">
        <v>2.9</v>
      </c>
      <c r="G65" s="1236"/>
      <c r="H65" s="1236">
        <f aca="true" t="shared" si="8" ref="H65">F65*G65</f>
        <v>0</v>
      </c>
      <c r="I65" s="1237">
        <v>0.00013</v>
      </c>
      <c r="J65" s="1238">
        <f aca="true" t="shared" si="9" ref="J65">F65*I65</f>
        <v>0.00037699999999999995</v>
      </c>
      <c r="K65" s="1263"/>
      <c r="L65" s="1263"/>
      <c r="M65" s="1263"/>
      <c r="N65" s="1263"/>
      <c r="O65" s="1263"/>
      <c r="P65" s="1263"/>
      <c r="Q65" s="1264"/>
      <c r="R65" s="1239"/>
      <c r="S65" s="1239"/>
    </row>
    <row r="66" spans="1:10" s="1119" customFormat="1" ht="16.5" customHeight="1">
      <c r="A66" s="1110" t="s">
        <v>1843</v>
      </c>
      <c r="B66" s="1111" t="s">
        <v>1844</v>
      </c>
      <c r="C66" s="1111" t="s">
        <v>1845</v>
      </c>
      <c r="D66" s="1265" t="s">
        <v>2839</v>
      </c>
      <c r="E66" s="1113" t="s">
        <v>1748</v>
      </c>
      <c r="F66" s="1114">
        <v>0</v>
      </c>
      <c r="G66" s="1114"/>
      <c r="H66" s="1114">
        <f>F66*G66</f>
        <v>0</v>
      </c>
      <c r="I66" s="1115">
        <v>0.05434</v>
      </c>
      <c r="J66" s="1116">
        <f>F66*I66</f>
        <v>0</v>
      </c>
    </row>
    <row r="67" spans="1:19" s="1128" customFormat="1" ht="16.5" customHeight="1">
      <c r="A67" s="1122"/>
      <c r="B67" s="1123" t="s">
        <v>1767</v>
      </c>
      <c r="C67" s="1124" t="s">
        <v>1839</v>
      </c>
      <c r="D67" s="1123" t="s">
        <v>2807</v>
      </c>
      <c r="E67" s="1160">
        <f>5.75+2.4*0.14+0.01</f>
        <v>6.096</v>
      </c>
      <c r="F67" s="1125"/>
      <c r="G67" s="1125"/>
      <c r="H67" s="1125"/>
      <c r="I67" s="1126"/>
      <c r="J67" s="1127"/>
      <c r="K67" s="1260"/>
      <c r="L67" s="1260"/>
      <c r="M67" s="1260"/>
      <c r="N67" s="1260"/>
      <c r="O67" s="1260"/>
      <c r="P67" s="1260"/>
      <c r="Q67" s="1261"/>
      <c r="S67" s="1260"/>
    </row>
    <row r="68" spans="1:19" s="1240" customFormat="1" ht="20.25" customHeight="1">
      <c r="A68" s="1232" t="s">
        <v>1843</v>
      </c>
      <c r="B68" s="1233" t="s">
        <v>2992</v>
      </c>
      <c r="C68" s="1233" t="s">
        <v>2991</v>
      </c>
      <c r="D68" s="1233" t="s">
        <v>2758</v>
      </c>
      <c r="E68" s="1235" t="s">
        <v>1748</v>
      </c>
      <c r="F68" s="1236">
        <f>SUM(E69)</f>
        <v>2.46</v>
      </c>
      <c r="G68" s="1236"/>
      <c r="H68" s="1236">
        <f aca="true" t="shared" si="10" ref="H68">F68*G68</f>
        <v>0</v>
      </c>
      <c r="I68" s="1237">
        <v>2E-05</v>
      </c>
      <c r="J68" s="1238">
        <f aca="true" t="shared" si="11" ref="J68">F68*I68</f>
        <v>4.92E-05</v>
      </c>
      <c r="K68" s="1263"/>
      <c r="L68" s="1263"/>
      <c r="M68" s="1263"/>
      <c r="N68" s="1263"/>
      <c r="O68" s="1263"/>
      <c r="P68" s="1263"/>
      <c r="Q68" s="1264"/>
      <c r="R68" s="1239"/>
      <c r="S68" s="1239"/>
    </row>
    <row r="69" spans="1:19" s="1275" customFormat="1" ht="16.5" customHeight="1">
      <c r="A69" s="1268"/>
      <c r="B69" s="1252" t="s">
        <v>2987</v>
      </c>
      <c r="C69" s="1257" t="s">
        <v>2988</v>
      </c>
      <c r="D69" s="1256"/>
      <c r="E69" s="1258">
        <f>1.23*2</f>
        <v>2.46</v>
      </c>
      <c r="F69" s="1269"/>
      <c r="G69" s="1269"/>
      <c r="H69" s="1269"/>
      <c r="I69" s="1270"/>
      <c r="J69" s="1271"/>
      <c r="K69" s="1272"/>
      <c r="L69" s="1272"/>
      <c r="M69" s="1272"/>
      <c r="N69" s="1272"/>
      <c r="O69" s="1272"/>
      <c r="P69" s="1272"/>
      <c r="Q69" s="1273"/>
      <c r="R69" s="1274"/>
      <c r="S69" s="1272"/>
    </row>
    <row r="70" spans="1:19" s="22" customFormat="1" ht="15" customHeight="1" thickBot="1">
      <c r="A70" s="278"/>
      <c r="B70" s="279"/>
      <c r="C70" s="279"/>
      <c r="D70" s="279"/>
      <c r="E70" s="281"/>
      <c r="F70" s="382"/>
      <c r="G70" s="382"/>
      <c r="H70" s="382"/>
      <c r="I70" s="383"/>
      <c r="J70" s="384"/>
      <c r="K70" s="509"/>
      <c r="L70" s="509"/>
      <c r="M70" s="509"/>
      <c r="N70" s="509"/>
      <c r="O70" s="509"/>
      <c r="P70" s="509"/>
      <c r="Q70" s="509"/>
      <c r="R70" s="509"/>
      <c r="S70" s="509"/>
    </row>
    <row r="71" spans="1:19" ht="16.5" customHeight="1" thickBot="1">
      <c r="A71" s="266" t="s">
        <v>1846</v>
      </c>
      <c r="B71" s="175" t="s">
        <v>1628</v>
      </c>
      <c r="C71" s="176" t="s">
        <v>1847</v>
      </c>
      <c r="D71" s="175"/>
      <c r="E71" s="175"/>
      <c r="F71" s="341"/>
      <c r="G71" s="341"/>
      <c r="H71" s="342">
        <f>SUM(H72:H84)</f>
        <v>0</v>
      </c>
      <c r="I71" s="343"/>
      <c r="J71" s="344">
        <f>SUM(J72:J84)</f>
        <v>43.71103899999999</v>
      </c>
      <c r="K71" s="670"/>
      <c r="L71" s="670"/>
      <c r="M71" s="670"/>
      <c r="N71" s="670"/>
      <c r="O71" s="670"/>
      <c r="P71" s="670"/>
      <c r="Q71" s="670"/>
      <c r="R71" s="670"/>
      <c r="S71" s="670"/>
    </row>
    <row r="72" spans="1:19" s="22" customFormat="1" ht="16.5" customHeight="1">
      <c r="A72" s="190" t="s">
        <v>1848</v>
      </c>
      <c r="B72" s="191" t="s">
        <v>1849</v>
      </c>
      <c r="C72" s="191" t="s">
        <v>1850</v>
      </c>
      <c r="D72" s="896" t="s">
        <v>2807</v>
      </c>
      <c r="E72" s="192" t="s">
        <v>1748</v>
      </c>
      <c r="F72" s="345">
        <f>F73*1.15+0.04</f>
        <v>49.949999999999996</v>
      </c>
      <c r="G72" s="345"/>
      <c r="H72" s="345">
        <f aca="true" t="shared" si="12" ref="H72:H83">F72*G72</f>
        <v>0</v>
      </c>
      <c r="I72" s="346">
        <v>0.0005</v>
      </c>
      <c r="J72" s="347">
        <f aca="true" t="shared" si="13" ref="J72:J83">F72*I72</f>
        <v>0.024974999999999997</v>
      </c>
      <c r="K72" s="693"/>
      <c r="L72" s="693"/>
      <c r="M72" s="693"/>
      <c r="N72" s="693"/>
      <c r="O72" s="693"/>
      <c r="P72" s="693"/>
      <c r="Q72" s="694"/>
      <c r="R72" s="509"/>
      <c r="S72" s="509"/>
    </row>
    <row r="73" spans="1:19" s="22" customFormat="1" ht="16.5" customHeight="1">
      <c r="A73" s="196" t="s">
        <v>1851</v>
      </c>
      <c r="B73" s="197" t="s">
        <v>1813</v>
      </c>
      <c r="C73" s="197" t="s">
        <v>867</v>
      </c>
      <c r="D73" s="897"/>
      <c r="E73" s="198" t="s">
        <v>1748</v>
      </c>
      <c r="F73" s="332">
        <f>E74</f>
        <v>43.4</v>
      </c>
      <c r="G73" s="332"/>
      <c r="H73" s="332">
        <f t="shared" si="12"/>
        <v>0</v>
      </c>
      <c r="I73" s="333">
        <v>0.25094</v>
      </c>
      <c r="J73" s="334">
        <f t="shared" si="13"/>
        <v>10.890796</v>
      </c>
      <c r="K73" s="693"/>
      <c r="L73" s="693"/>
      <c r="M73" s="693"/>
      <c r="N73" s="693"/>
      <c r="O73" s="693"/>
      <c r="P73" s="693"/>
      <c r="Q73" s="694"/>
      <c r="R73" s="509"/>
      <c r="S73" s="509"/>
    </row>
    <row r="74" spans="1:24" s="211" customFormat="1" ht="21.75" customHeight="1">
      <c r="A74" s="223"/>
      <c r="B74" s="224"/>
      <c r="C74" s="205" t="s">
        <v>1056</v>
      </c>
      <c r="D74" s="900"/>
      <c r="E74" s="220">
        <f>35.8*0.5+44.5*0.5+6.5*0.5</f>
        <v>43.4</v>
      </c>
      <c r="F74" s="225"/>
      <c r="G74" s="674"/>
      <c r="H74" s="225"/>
      <c r="I74" s="348"/>
      <c r="J74" s="349"/>
      <c r="K74" s="675"/>
      <c r="L74" s="675"/>
      <c r="M74" s="675"/>
      <c r="N74" s="675"/>
      <c r="O74" s="676"/>
      <c r="P74" s="676"/>
      <c r="Q74" s="676"/>
      <c r="R74" s="676"/>
      <c r="S74" s="515"/>
      <c r="T74" s="210"/>
      <c r="U74" s="210"/>
      <c r="V74" s="210"/>
      <c r="W74" s="210"/>
      <c r="X74" s="210"/>
    </row>
    <row r="75" spans="1:19" s="22" customFormat="1" ht="16.5" customHeight="1">
      <c r="A75" s="196" t="s">
        <v>1852</v>
      </c>
      <c r="B75" s="197" t="s">
        <v>869</v>
      </c>
      <c r="C75" s="197" t="s">
        <v>870</v>
      </c>
      <c r="D75" s="897" t="s">
        <v>2807</v>
      </c>
      <c r="E75" s="198" t="s">
        <v>1748</v>
      </c>
      <c r="F75" s="332">
        <f>E76</f>
        <v>43.4</v>
      </c>
      <c r="G75" s="332"/>
      <c r="H75" s="332">
        <f t="shared" si="12"/>
        <v>0</v>
      </c>
      <c r="I75" s="333">
        <v>0.4765</v>
      </c>
      <c r="J75" s="334">
        <f t="shared" si="13"/>
        <v>20.6801</v>
      </c>
      <c r="K75" s="693"/>
      <c r="L75" s="693"/>
      <c r="M75" s="693"/>
      <c r="N75" s="693"/>
      <c r="O75" s="693"/>
      <c r="P75" s="693"/>
      <c r="Q75" s="694"/>
      <c r="R75" s="509"/>
      <c r="S75" s="509"/>
    </row>
    <row r="76" spans="1:24" s="211" customFormat="1" ht="21.75" customHeight="1">
      <c r="A76" s="223"/>
      <c r="B76" s="224"/>
      <c r="C76" s="205" t="s">
        <v>1056</v>
      </c>
      <c r="D76" s="900"/>
      <c r="E76" s="220">
        <f>35.8*0.5+44.5*0.5+6.5*0.5</f>
        <v>43.4</v>
      </c>
      <c r="F76" s="225"/>
      <c r="G76" s="674"/>
      <c r="H76" s="225"/>
      <c r="I76" s="348"/>
      <c r="J76" s="349"/>
      <c r="K76" s="675"/>
      <c r="L76" s="675"/>
      <c r="M76" s="675"/>
      <c r="N76" s="675"/>
      <c r="O76" s="676"/>
      <c r="P76" s="676"/>
      <c r="Q76" s="676"/>
      <c r="R76" s="676"/>
      <c r="S76" s="515"/>
      <c r="T76" s="210"/>
      <c r="U76" s="210"/>
      <c r="V76" s="210"/>
      <c r="W76" s="210"/>
      <c r="X76" s="210"/>
    </row>
    <row r="77" spans="1:21" s="1034" customFormat="1" ht="18" customHeight="1">
      <c r="A77" s="1023" t="s">
        <v>2884</v>
      </c>
      <c r="B77" s="1024" t="s">
        <v>2879</v>
      </c>
      <c r="C77" s="1024" t="s">
        <v>2880</v>
      </c>
      <c r="D77" s="1049"/>
      <c r="E77" s="1027" t="s">
        <v>1748</v>
      </c>
      <c r="F77" s="1028">
        <f>F81</f>
        <v>20.5</v>
      </c>
      <c r="G77" s="1028"/>
      <c r="H77" s="1028">
        <f>F77*G77</f>
        <v>0</v>
      </c>
      <c r="I77" s="1029">
        <v>0</v>
      </c>
      <c r="J77" s="1030">
        <f>F77*I77</f>
        <v>0</v>
      </c>
      <c r="K77" s="1031"/>
      <c r="L77" s="1031"/>
      <c r="M77" s="1031"/>
      <c r="N77" s="1031"/>
      <c r="O77" s="1031"/>
      <c r="P77" s="1031"/>
      <c r="Q77" s="1032"/>
      <c r="R77" s="1033"/>
      <c r="S77" s="1033"/>
      <c r="T77" s="1033"/>
      <c r="U77" s="1033"/>
    </row>
    <row r="78" spans="1:19" s="22" customFormat="1" ht="16.5" customHeight="1">
      <c r="A78" s="196" t="s">
        <v>1857</v>
      </c>
      <c r="B78" s="197" t="s">
        <v>1860</v>
      </c>
      <c r="C78" s="197" t="s">
        <v>1861</v>
      </c>
      <c r="D78" s="897" t="s">
        <v>2807</v>
      </c>
      <c r="E78" s="198" t="s">
        <v>1748</v>
      </c>
      <c r="F78" s="332">
        <f>F81</f>
        <v>20.5</v>
      </c>
      <c r="G78" s="332"/>
      <c r="H78" s="332">
        <f t="shared" si="12"/>
        <v>0</v>
      </c>
      <c r="I78" s="333">
        <v>0.27994</v>
      </c>
      <c r="J78" s="334">
        <f t="shared" si="13"/>
        <v>5.738770000000001</v>
      </c>
      <c r="K78" s="693"/>
      <c r="L78" s="693"/>
      <c r="M78" s="693"/>
      <c r="N78" s="693"/>
      <c r="O78" s="693"/>
      <c r="P78" s="693"/>
      <c r="Q78" s="694"/>
      <c r="R78" s="509"/>
      <c r="S78" s="509"/>
    </row>
    <row r="79" spans="1:19" s="22" customFormat="1" ht="30" customHeight="1">
      <c r="A79" s="196" t="s">
        <v>1864</v>
      </c>
      <c r="B79" s="197" t="s">
        <v>1871</v>
      </c>
      <c r="C79" s="683" t="s">
        <v>1872</v>
      </c>
      <c r="D79" s="897" t="s">
        <v>2807</v>
      </c>
      <c r="E79" s="198" t="s">
        <v>1826</v>
      </c>
      <c r="F79" s="332">
        <f>E80</f>
        <v>18.4</v>
      </c>
      <c r="G79" s="332"/>
      <c r="H79" s="332">
        <f>F79*G79</f>
        <v>0</v>
      </c>
      <c r="I79" s="333">
        <v>0.11693</v>
      </c>
      <c r="J79" s="334">
        <f>F79*I79</f>
        <v>2.151512</v>
      </c>
      <c r="K79" s="509"/>
      <c r="L79" s="509"/>
      <c r="M79" s="509"/>
      <c r="N79" s="509"/>
      <c r="O79" s="509"/>
      <c r="P79" s="509"/>
      <c r="Q79" s="509"/>
      <c r="R79" s="509"/>
      <c r="S79" s="509"/>
    </row>
    <row r="80" spans="1:24" s="211" customFormat="1" ht="21.75" customHeight="1">
      <c r="A80" s="223"/>
      <c r="B80" s="224"/>
      <c r="C80" s="205" t="s">
        <v>1057</v>
      </c>
      <c r="D80" s="900"/>
      <c r="E80" s="220">
        <v>18.4</v>
      </c>
      <c r="F80" s="225"/>
      <c r="G80" s="674"/>
      <c r="H80" s="225"/>
      <c r="I80" s="348"/>
      <c r="J80" s="349"/>
      <c r="K80" s="675"/>
      <c r="L80" s="675"/>
      <c r="M80" s="675"/>
      <c r="N80" s="675"/>
      <c r="O80" s="676"/>
      <c r="P80" s="676"/>
      <c r="Q80" s="676"/>
      <c r="R80" s="676"/>
      <c r="S80" s="515"/>
      <c r="T80" s="210"/>
      <c r="U80" s="210"/>
      <c r="V80" s="210"/>
      <c r="W80" s="210"/>
      <c r="X80" s="210"/>
    </row>
    <row r="81" spans="1:19" s="22" customFormat="1" ht="16.5" customHeight="1">
      <c r="A81" s="196" t="s">
        <v>1865</v>
      </c>
      <c r="B81" s="1106" t="s">
        <v>2886</v>
      </c>
      <c r="C81" s="1106" t="s">
        <v>2887</v>
      </c>
      <c r="D81" s="897" t="s">
        <v>2807</v>
      </c>
      <c r="E81" s="198" t="s">
        <v>1748</v>
      </c>
      <c r="F81" s="332">
        <f>E82</f>
        <v>20.5</v>
      </c>
      <c r="G81" s="332"/>
      <c r="H81" s="332">
        <f t="shared" si="12"/>
        <v>0</v>
      </c>
      <c r="I81" s="333">
        <v>0.0739</v>
      </c>
      <c r="J81" s="334">
        <f t="shared" si="13"/>
        <v>1.5149499999999998</v>
      </c>
      <c r="K81" s="693"/>
      <c r="L81" s="693"/>
      <c r="M81" s="693"/>
      <c r="N81" s="693"/>
      <c r="O81" s="693"/>
      <c r="P81" s="693"/>
      <c r="Q81" s="694"/>
      <c r="R81" s="509"/>
      <c r="S81" s="509"/>
    </row>
    <row r="82" spans="1:24" s="211" customFormat="1" ht="15.75" customHeight="1">
      <c r="A82" s="223"/>
      <c r="B82" s="224"/>
      <c r="C82" s="205" t="s">
        <v>1058</v>
      </c>
      <c r="D82" s="900"/>
      <c r="E82" s="220">
        <v>20.5</v>
      </c>
      <c r="F82" s="225"/>
      <c r="G82" s="674"/>
      <c r="H82" s="225"/>
      <c r="I82" s="348"/>
      <c r="J82" s="349"/>
      <c r="K82" s="675"/>
      <c r="L82" s="675"/>
      <c r="M82" s="675"/>
      <c r="N82" s="675"/>
      <c r="O82" s="676"/>
      <c r="P82" s="676"/>
      <c r="Q82" s="676"/>
      <c r="R82" s="676"/>
      <c r="S82" s="515"/>
      <c r="T82" s="210"/>
      <c r="U82" s="210"/>
      <c r="V82" s="210"/>
      <c r="W82" s="210"/>
      <c r="X82" s="210"/>
    </row>
    <row r="83" spans="1:19" s="22" customFormat="1" ht="16.5" customHeight="1">
      <c r="A83" s="196" t="s">
        <v>1870</v>
      </c>
      <c r="B83" s="197" t="s">
        <v>1866</v>
      </c>
      <c r="C83" s="197" t="s">
        <v>1867</v>
      </c>
      <c r="D83" s="897" t="s">
        <v>2807</v>
      </c>
      <c r="E83" s="198" t="s">
        <v>1748</v>
      </c>
      <c r="F83" s="332">
        <f>E84</f>
        <v>20.91</v>
      </c>
      <c r="G83" s="332"/>
      <c r="H83" s="332">
        <f t="shared" si="12"/>
        <v>0</v>
      </c>
      <c r="I83" s="333">
        <v>0.1296</v>
      </c>
      <c r="J83" s="334">
        <f t="shared" si="13"/>
        <v>2.709936</v>
      </c>
      <c r="K83" s="693"/>
      <c r="L83" s="693"/>
      <c r="M83" s="693"/>
      <c r="N83" s="693"/>
      <c r="O83" s="693"/>
      <c r="P83" s="693"/>
      <c r="Q83" s="694"/>
      <c r="R83" s="509"/>
      <c r="S83" s="509"/>
    </row>
    <row r="84" spans="1:24" s="211" customFormat="1" ht="21.75" customHeight="1" thickBot="1">
      <c r="A84" s="312"/>
      <c r="B84" s="313"/>
      <c r="C84" s="242" t="s">
        <v>1059</v>
      </c>
      <c r="D84" s="953"/>
      <c r="E84" s="314">
        <f>20.5*1.02</f>
        <v>20.91</v>
      </c>
      <c r="F84" s="315"/>
      <c r="G84" s="779"/>
      <c r="H84" s="315"/>
      <c r="I84" s="414"/>
      <c r="J84" s="415"/>
      <c r="K84" s="675"/>
      <c r="L84" s="675"/>
      <c r="M84" s="675"/>
      <c r="N84" s="675"/>
      <c r="O84" s="676"/>
      <c r="P84" s="676"/>
      <c r="Q84" s="676"/>
      <c r="R84" s="676"/>
      <c r="S84" s="515"/>
      <c r="T84" s="210"/>
      <c r="U84" s="210"/>
      <c r="V84" s="210"/>
      <c r="W84" s="210"/>
      <c r="X84" s="210"/>
    </row>
    <row r="85" spans="1:19" ht="16.5" customHeight="1" thickBot="1">
      <c r="A85" s="266" t="s">
        <v>1874</v>
      </c>
      <c r="B85" s="175" t="s">
        <v>1875</v>
      </c>
      <c r="C85" s="176" t="s">
        <v>1876</v>
      </c>
      <c r="D85" s="175"/>
      <c r="E85" s="175"/>
      <c r="F85" s="341"/>
      <c r="G85" s="341"/>
      <c r="H85" s="342">
        <f>SUM(H86:H90)</f>
        <v>0</v>
      </c>
      <c r="I85" s="343"/>
      <c r="J85" s="344">
        <f>SUM(J86:J90)</f>
        <v>5.257210639999999</v>
      </c>
      <c r="K85" s="670"/>
      <c r="L85" s="670"/>
      <c r="M85" s="670"/>
      <c r="N85" s="670"/>
      <c r="O85" s="670"/>
      <c r="P85" s="670"/>
      <c r="Q85" s="670"/>
      <c r="R85" s="670"/>
      <c r="S85" s="670"/>
    </row>
    <row r="86" spans="1:19" s="22" customFormat="1" ht="20.25" customHeight="1">
      <c r="A86" s="190" t="s">
        <v>1877</v>
      </c>
      <c r="B86" s="191" t="s">
        <v>1890</v>
      </c>
      <c r="C86" s="191" t="s">
        <v>1891</v>
      </c>
      <c r="D86" s="896" t="s">
        <v>2761</v>
      </c>
      <c r="E86" s="192" t="s">
        <v>1826</v>
      </c>
      <c r="F86" s="345">
        <f>E87</f>
        <v>823.24</v>
      </c>
      <c r="G86" s="345"/>
      <c r="H86" s="345">
        <f>F86*G86</f>
        <v>0</v>
      </c>
      <c r="I86" s="346">
        <v>0.00431</v>
      </c>
      <c r="J86" s="347">
        <f>F86*I86</f>
        <v>3.5481643999999997</v>
      </c>
      <c r="K86" s="509"/>
      <c r="L86" s="509"/>
      <c r="M86" s="509"/>
      <c r="N86" s="509"/>
      <c r="O86" s="509"/>
      <c r="P86" s="509"/>
      <c r="Q86" s="509"/>
      <c r="R86" s="509"/>
      <c r="S86" s="509"/>
    </row>
    <row r="87" spans="1:19" s="251" customFormat="1" ht="17.25" customHeight="1">
      <c r="A87" s="248"/>
      <c r="B87" s="249"/>
      <c r="C87" s="250">
        <v>823.24</v>
      </c>
      <c r="D87" s="905"/>
      <c r="E87" s="213">
        <v>823.24</v>
      </c>
      <c r="F87" s="367"/>
      <c r="G87" s="387"/>
      <c r="H87" s="387"/>
      <c r="I87" s="356"/>
      <c r="J87" s="357"/>
      <c r="K87" s="681"/>
      <c r="L87" s="681"/>
      <c r="M87" s="681"/>
      <c r="N87" s="682"/>
      <c r="O87" s="682"/>
      <c r="P87" s="682"/>
      <c r="Q87" s="682"/>
      <c r="R87" s="682"/>
      <c r="S87" s="682"/>
    </row>
    <row r="88" spans="1:19" s="22" customFormat="1" ht="20.25" customHeight="1">
      <c r="A88" s="196" t="s">
        <v>1882</v>
      </c>
      <c r="B88" s="197" t="s">
        <v>1883</v>
      </c>
      <c r="C88" s="197" t="s">
        <v>1884</v>
      </c>
      <c r="D88" s="897" t="s">
        <v>2761</v>
      </c>
      <c r="E88" s="198" t="s">
        <v>1748</v>
      </c>
      <c r="F88" s="332">
        <f>E89</f>
        <v>246.97199999999998</v>
      </c>
      <c r="G88" s="332"/>
      <c r="H88" s="332">
        <f>F88*G88</f>
        <v>0</v>
      </c>
      <c r="I88" s="333">
        <v>0.00034</v>
      </c>
      <c r="J88" s="334">
        <f>F88*I88</f>
        <v>0.08397048</v>
      </c>
      <c r="K88" s="693"/>
      <c r="L88" s="693"/>
      <c r="M88" s="693"/>
      <c r="N88" s="693"/>
      <c r="O88" s="693"/>
      <c r="P88" s="693"/>
      <c r="Q88" s="694"/>
      <c r="R88" s="509"/>
      <c r="S88" s="509"/>
    </row>
    <row r="89" spans="1:19" s="251" customFormat="1" ht="17.25" customHeight="1">
      <c r="A89" s="248"/>
      <c r="B89" s="249"/>
      <c r="C89" s="250" t="s">
        <v>1190</v>
      </c>
      <c r="D89" s="905"/>
      <c r="E89" s="213">
        <f>(823.24)*0.3</f>
        <v>246.97199999999998</v>
      </c>
      <c r="F89" s="367"/>
      <c r="G89" s="387"/>
      <c r="H89" s="387"/>
      <c r="I89" s="356"/>
      <c r="J89" s="357"/>
      <c r="K89" s="681"/>
      <c r="L89" s="681"/>
      <c r="M89" s="681"/>
      <c r="N89" s="682"/>
      <c r="O89" s="682"/>
      <c r="P89" s="682"/>
      <c r="Q89" s="682"/>
      <c r="R89" s="682"/>
      <c r="S89" s="682"/>
    </row>
    <row r="90" spans="1:19" s="22" customFormat="1" ht="20.25" customHeight="1" thickBot="1">
      <c r="A90" s="255" t="s">
        <v>1886</v>
      </c>
      <c r="B90" s="256" t="s">
        <v>1887</v>
      </c>
      <c r="C90" s="256" t="s">
        <v>1888</v>
      </c>
      <c r="D90" s="906" t="s">
        <v>2761</v>
      </c>
      <c r="E90" s="257" t="s">
        <v>1748</v>
      </c>
      <c r="F90" s="368">
        <f>F88</f>
        <v>246.97199999999998</v>
      </c>
      <c r="G90" s="368"/>
      <c r="H90" s="368">
        <f>F90*G90</f>
        <v>0</v>
      </c>
      <c r="I90" s="369">
        <v>0.00658</v>
      </c>
      <c r="J90" s="370">
        <f>F90*I90</f>
        <v>1.6250757599999999</v>
      </c>
      <c r="K90" s="693"/>
      <c r="L90" s="693"/>
      <c r="M90" s="693"/>
      <c r="N90" s="693"/>
      <c r="O90" s="693"/>
      <c r="P90" s="693"/>
      <c r="Q90" s="694"/>
      <c r="R90" s="509"/>
      <c r="S90" s="509"/>
    </row>
    <row r="91" spans="1:19" ht="16.5" customHeight="1" thickBot="1">
      <c r="A91" s="266" t="s">
        <v>1893</v>
      </c>
      <c r="B91" s="175" t="s">
        <v>1894</v>
      </c>
      <c r="C91" s="176" t="s">
        <v>1895</v>
      </c>
      <c r="D91" s="175"/>
      <c r="E91" s="175"/>
      <c r="F91" s="341"/>
      <c r="G91" s="341"/>
      <c r="H91" s="342">
        <f>SUM(H92:H125)</f>
        <v>0</v>
      </c>
      <c r="I91" s="343"/>
      <c r="J91" s="344">
        <f>SUM(J92:J125)</f>
        <v>118.35417867499996</v>
      </c>
      <c r="K91" s="670"/>
      <c r="L91" s="670"/>
      <c r="M91" s="670"/>
      <c r="N91" s="670"/>
      <c r="O91" s="670"/>
      <c r="P91" s="670"/>
      <c r="Q91" s="670"/>
      <c r="R91" s="670"/>
      <c r="S91" s="670"/>
    </row>
    <row r="92" spans="1:19" s="22" customFormat="1" ht="15" customHeight="1">
      <c r="A92" s="190"/>
      <c r="B92" s="191"/>
      <c r="C92" s="191"/>
      <c r="D92" s="896"/>
      <c r="E92" s="192"/>
      <c r="F92" s="345"/>
      <c r="G92" s="345"/>
      <c r="H92" s="345"/>
      <c r="I92" s="346"/>
      <c r="J92" s="347"/>
      <c r="K92" s="509"/>
      <c r="L92" s="509"/>
      <c r="M92" s="509"/>
      <c r="N92" s="509"/>
      <c r="O92" s="509"/>
      <c r="P92" s="509"/>
      <c r="Q92" s="509"/>
      <c r="R92" s="509"/>
      <c r="S92" s="509"/>
    </row>
    <row r="93" spans="1:19" s="22" customFormat="1" ht="20.25" customHeight="1">
      <c r="A93" s="196" t="s">
        <v>1896</v>
      </c>
      <c r="B93" s="197" t="s">
        <v>1897</v>
      </c>
      <c r="C93" s="197" t="s">
        <v>1898</v>
      </c>
      <c r="D93" s="897" t="s">
        <v>2808</v>
      </c>
      <c r="E93" s="198" t="s">
        <v>1748</v>
      </c>
      <c r="F93" s="332">
        <v>326.2</v>
      </c>
      <c r="G93" s="332"/>
      <c r="H93" s="332">
        <f aca="true" t="shared" si="14" ref="H93:H124">F93*G93</f>
        <v>0</v>
      </c>
      <c r="I93" s="333">
        <v>4E-05</v>
      </c>
      <c r="J93" s="334">
        <f aca="true" t="shared" si="15" ref="J93:J124">F93*I93</f>
        <v>0.013048</v>
      </c>
      <c r="K93" s="693"/>
      <c r="L93" s="693"/>
      <c r="M93" s="693"/>
      <c r="N93" s="693"/>
      <c r="O93" s="693"/>
      <c r="P93" s="693"/>
      <c r="Q93" s="694"/>
      <c r="R93" s="509"/>
      <c r="S93" s="509"/>
    </row>
    <row r="94" spans="1:19" s="22" customFormat="1" ht="20.25" customHeight="1">
      <c r="A94" s="196" t="s">
        <v>1900</v>
      </c>
      <c r="B94" s="197" t="s">
        <v>1901</v>
      </c>
      <c r="C94" s="197" t="s">
        <v>1902</v>
      </c>
      <c r="D94" s="897" t="s">
        <v>2808</v>
      </c>
      <c r="E94" s="198" t="s">
        <v>1748</v>
      </c>
      <c r="F94" s="332">
        <f>1714.2+42.5+152.52</f>
        <v>1909.22</v>
      </c>
      <c r="G94" s="332"/>
      <c r="H94" s="332">
        <f t="shared" si="14"/>
        <v>0</v>
      </c>
      <c r="I94" s="333">
        <v>2E-05</v>
      </c>
      <c r="J94" s="334">
        <f t="shared" si="15"/>
        <v>0.0381844</v>
      </c>
      <c r="K94" s="693"/>
      <c r="L94" s="693"/>
      <c r="M94" s="693"/>
      <c r="N94" s="693"/>
      <c r="O94" s="693"/>
      <c r="P94" s="693"/>
      <c r="Q94" s="694"/>
      <c r="R94" s="509"/>
      <c r="S94" s="509"/>
    </row>
    <row r="95" spans="1:19" s="22" customFormat="1" ht="20.25" customHeight="1">
      <c r="A95" s="196" t="s">
        <v>1904</v>
      </c>
      <c r="B95" s="197" t="s">
        <v>1905</v>
      </c>
      <c r="C95" s="197" t="s">
        <v>1906</v>
      </c>
      <c r="D95" s="897" t="s">
        <v>2808</v>
      </c>
      <c r="E95" s="198" t="s">
        <v>1748</v>
      </c>
      <c r="F95" s="332">
        <f>1714.2+127.1</f>
        <v>1841.3</v>
      </c>
      <c r="G95" s="332"/>
      <c r="H95" s="332">
        <f t="shared" si="14"/>
        <v>0</v>
      </c>
      <c r="I95" s="333">
        <v>0.04634</v>
      </c>
      <c r="J95" s="334">
        <f t="shared" si="15"/>
        <v>85.325842</v>
      </c>
      <c r="K95" s="693"/>
      <c r="L95" s="693"/>
      <c r="M95" s="693"/>
      <c r="N95" s="693"/>
      <c r="O95" s="693"/>
      <c r="P95" s="693"/>
      <c r="Q95" s="694"/>
      <c r="R95" s="509"/>
      <c r="S95" s="509"/>
    </row>
    <row r="96" spans="1:20" s="1034" customFormat="1" ht="20.25" customHeight="1">
      <c r="A96" s="1023" t="s">
        <v>2844</v>
      </c>
      <c r="B96" s="1024" t="s">
        <v>2837</v>
      </c>
      <c r="C96" s="1024" t="s">
        <v>2838</v>
      </c>
      <c r="D96" s="1053"/>
      <c r="E96" s="1027" t="s">
        <v>1748</v>
      </c>
      <c r="F96" s="1028">
        <f>SUM(E97:E98)</f>
        <v>250.8</v>
      </c>
      <c r="G96" s="1028"/>
      <c r="H96" s="1028">
        <f>F96*G96</f>
        <v>0</v>
      </c>
      <c r="I96" s="1052">
        <v>0.0063</v>
      </c>
      <c r="J96" s="1060">
        <f>F96*I96</f>
        <v>1.5800400000000001</v>
      </c>
      <c r="K96" s="1033"/>
      <c r="L96" s="1033"/>
      <c r="M96" s="1033"/>
      <c r="N96" s="1033"/>
      <c r="O96" s="1033"/>
      <c r="P96" s="1033"/>
      <c r="Q96" s="1033"/>
      <c r="R96" s="1033"/>
      <c r="S96" s="1033"/>
      <c r="T96" s="1033"/>
    </row>
    <row r="97" spans="1:19" s="251" customFormat="1" ht="17.25" customHeight="1">
      <c r="A97" s="248"/>
      <c r="B97" s="249" t="s">
        <v>1920</v>
      </c>
      <c r="C97" s="205" t="s">
        <v>1191</v>
      </c>
      <c r="D97" s="250"/>
      <c r="E97" s="213">
        <f>(35.4+43.8)*0.5+(1.3+4.5)*0.5</f>
        <v>42.49999999999999</v>
      </c>
      <c r="F97" s="367"/>
      <c r="G97" s="387"/>
      <c r="H97" s="387"/>
      <c r="I97" s="356"/>
      <c r="J97" s="357"/>
      <c r="K97" s="681"/>
      <c r="L97" s="681"/>
      <c r="M97" s="681"/>
      <c r="N97" s="682"/>
      <c r="O97" s="682"/>
      <c r="P97" s="682"/>
      <c r="Q97" s="682"/>
      <c r="R97" s="682"/>
      <c r="S97" s="682"/>
    </row>
    <row r="98" spans="1:19" s="142" customFormat="1" ht="19.5" customHeight="1">
      <c r="A98" s="204"/>
      <c r="B98" s="212" t="s">
        <v>1921</v>
      </c>
      <c r="C98" s="212">
        <v>208.3</v>
      </c>
      <c r="D98" s="212"/>
      <c r="E98" s="141">
        <v>208.3</v>
      </c>
      <c r="F98" s="141"/>
      <c r="G98" s="141"/>
      <c r="H98" s="352"/>
      <c r="I98" s="352"/>
      <c r="J98" s="353"/>
      <c r="K98" s="677"/>
      <c r="L98" s="677"/>
      <c r="M98" s="215"/>
      <c r="N98" s="215"/>
      <c r="O98" s="215"/>
      <c r="P98" s="215"/>
      <c r="Q98" s="215"/>
      <c r="R98" s="215"/>
      <c r="S98" s="215"/>
    </row>
    <row r="99" spans="1:19" s="22" customFormat="1" ht="20.25" customHeight="1">
      <c r="A99" s="196" t="s">
        <v>1907</v>
      </c>
      <c r="B99" s="197" t="s">
        <v>1918</v>
      </c>
      <c r="C99" s="1024" t="s">
        <v>2841</v>
      </c>
      <c r="D99" s="897" t="s">
        <v>2808</v>
      </c>
      <c r="E99" s="198" t="s">
        <v>1748</v>
      </c>
      <c r="F99" s="332">
        <f>SUM(E100:E101)</f>
        <v>250.8</v>
      </c>
      <c r="G99" s="332"/>
      <c r="H99" s="332">
        <f t="shared" si="14"/>
        <v>0</v>
      </c>
      <c r="I99" s="333">
        <v>0.026</v>
      </c>
      <c r="J99" s="334">
        <f t="shared" si="15"/>
        <v>6.5208</v>
      </c>
      <c r="K99" s="693"/>
      <c r="L99" s="693"/>
      <c r="M99" s="693"/>
      <c r="N99" s="693"/>
      <c r="O99" s="693"/>
      <c r="P99" s="693"/>
      <c r="Q99" s="694"/>
      <c r="R99" s="509"/>
      <c r="S99" s="509"/>
    </row>
    <row r="100" spans="1:19" s="251" customFormat="1" ht="17.25" customHeight="1">
      <c r="A100" s="248"/>
      <c r="B100" s="249" t="s">
        <v>1920</v>
      </c>
      <c r="C100" s="205" t="s">
        <v>1191</v>
      </c>
      <c r="D100" s="905"/>
      <c r="E100" s="213">
        <f>(35.4+43.8)*0.5+(1.3+4.5)*0.5</f>
        <v>42.49999999999999</v>
      </c>
      <c r="F100" s="367"/>
      <c r="G100" s="387"/>
      <c r="H100" s="387"/>
      <c r="I100" s="356"/>
      <c r="J100" s="357"/>
      <c r="K100" s="681"/>
      <c r="L100" s="681"/>
      <c r="M100" s="681"/>
      <c r="N100" s="682"/>
      <c r="O100" s="682"/>
      <c r="P100" s="682"/>
      <c r="Q100" s="682"/>
      <c r="R100" s="682"/>
      <c r="S100" s="682"/>
    </row>
    <row r="101" spans="1:19" s="142" customFormat="1" ht="19.5" customHeight="1">
      <c r="A101" s="204"/>
      <c r="B101" s="212" t="s">
        <v>1921</v>
      </c>
      <c r="C101" s="212">
        <v>208.3</v>
      </c>
      <c r="D101" s="901"/>
      <c r="E101" s="141">
        <v>208.3</v>
      </c>
      <c r="F101" s="141"/>
      <c r="G101" s="141"/>
      <c r="H101" s="352"/>
      <c r="I101" s="352"/>
      <c r="J101" s="353"/>
      <c r="K101" s="677"/>
      <c r="L101" s="677"/>
      <c r="M101" s="215"/>
      <c r="N101" s="215"/>
      <c r="O101" s="215"/>
      <c r="P101" s="215"/>
      <c r="Q101" s="215"/>
      <c r="R101" s="215"/>
      <c r="S101" s="215"/>
    </row>
    <row r="102" spans="1:19" s="22" customFormat="1" ht="20.25" customHeight="1">
      <c r="A102" s="196" t="s">
        <v>1914</v>
      </c>
      <c r="B102" s="197" t="s">
        <v>1923</v>
      </c>
      <c r="C102" s="197" t="s">
        <v>1924</v>
      </c>
      <c r="D102" s="897" t="s">
        <v>1925</v>
      </c>
      <c r="E102" s="198" t="s">
        <v>1748</v>
      </c>
      <c r="F102" s="332">
        <f>E103</f>
        <v>50.999999999999986</v>
      </c>
      <c r="G102" s="332"/>
      <c r="H102" s="332">
        <f t="shared" si="14"/>
        <v>0</v>
      </c>
      <c r="I102" s="333">
        <v>0.01021</v>
      </c>
      <c r="J102" s="334">
        <f t="shared" si="15"/>
        <v>0.5207099999999999</v>
      </c>
      <c r="K102" s="509"/>
      <c r="L102" s="509"/>
      <c r="M102" s="509"/>
      <c r="N102" s="509"/>
      <c r="O102" s="509"/>
      <c r="P102" s="509"/>
      <c r="Q102" s="509"/>
      <c r="R102" s="509"/>
      <c r="S102" s="509"/>
    </row>
    <row r="103" spans="1:24" s="211" customFormat="1" ht="21.75" customHeight="1">
      <c r="A103" s="223"/>
      <c r="B103" s="224" t="s">
        <v>1749</v>
      </c>
      <c r="C103" s="205" t="s">
        <v>1188</v>
      </c>
      <c r="D103" s="900"/>
      <c r="E103" s="220">
        <f>(35.4+43.8)*0.6+(1.3+4.5)*0.6</f>
        <v>50.999999999999986</v>
      </c>
      <c r="F103" s="225"/>
      <c r="G103" s="674"/>
      <c r="H103" s="225"/>
      <c r="I103" s="348"/>
      <c r="J103" s="349"/>
      <c r="K103" s="675"/>
      <c r="L103" s="675"/>
      <c r="M103" s="675"/>
      <c r="N103" s="675"/>
      <c r="O103" s="676"/>
      <c r="P103" s="676"/>
      <c r="Q103" s="676"/>
      <c r="R103" s="676"/>
      <c r="S103" s="515"/>
      <c r="T103" s="210"/>
      <c r="U103" s="210"/>
      <c r="V103" s="210"/>
      <c r="W103" s="210"/>
      <c r="X103" s="210"/>
    </row>
    <row r="104" spans="1:19" s="22" customFormat="1" ht="30.75" customHeight="1">
      <c r="A104" s="196" t="s">
        <v>1917</v>
      </c>
      <c r="B104" s="197" t="s">
        <v>1927</v>
      </c>
      <c r="C104" s="199" t="s">
        <v>1928</v>
      </c>
      <c r="D104" s="897" t="s">
        <v>1929</v>
      </c>
      <c r="E104" s="198" t="s">
        <v>1748</v>
      </c>
      <c r="F104" s="332">
        <f>E105</f>
        <v>42.49999999999999</v>
      </c>
      <c r="G104" s="332"/>
      <c r="H104" s="332">
        <f>F104*G104</f>
        <v>0</v>
      </c>
      <c r="I104" s="333">
        <v>0.01396</v>
      </c>
      <c r="J104" s="334">
        <f>F104*I104</f>
        <v>0.5932999999999999</v>
      </c>
      <c r="K104" s="509"/>
      <c r="L104" s="509"/>
      <c r="M104" s="509"/>
      <c r="N104" s="509"/>
      <c r="O104" s="509"/>
      <c r="P104" s="509"/>
      <c r="Q104" s="509"/>
      <c r="R104" s="509"/>
      <c r="S104" s="509"/>
    </row>
    <row r="105" spans="1:19" s="251" customFormat="1" ht="17.25" customHeight="1">
      <c r="A105" s="248"/>
      <c r="B105" s="249" t="s">
        <v>1920</v>
      </c>
      <c r="C105" s="205" t="s">
        <v>1191</v>
      </c>
      <c r="D105" s="905"/>
      <c r="E105" s="213">
        <f>(35.4+43.8)*0.5+(1.3+4.5)*0.5</f>
        <v>42.49999999999999</v>
      </c>
      <c r="F105" s="367"/>
      <c r="G105" s="387"/>
      <c r="H105" s="387"/>
      <c r="I105" s="356"/>
      <c r="J105" s="357"/>
      <c r="K105" s="681"/>
      <c r="L105" s="681"/>
      <c r="M105" s="681"/>
      <c r="N105" s="682"/>
      <c r="O105" s="682"/>
      <c r="P105" s="682"/>
      <c r="Q105" s="682"/>
      <c r="R105" s="682"/>
      <c r="S105" s="682"/>
    </row>
    <row r="106" spans="1:19" s="22" customFormat="1" ht="20.25" customHeight="1">
      <c r="A106" s="196" t="s">
        <v>1922</v>
      </c>
      <c r="B106" s="197" t="s">
        <v>1939</v>
      </c>
      <c r="C106" s="197" t="s">
        <v>1940</v>
      </c>
      <c r="D106" s="897"/>
      <c r="E106" s="198" t="s">
        <v>1748</v>
      </c>
      <c r="F106" s="1236">
        <f>SUM(E107:E108)</f>
        <v>48.90149999999999</v>
      </c>
      <c r="G106" s="332"/>
      <c r="H106" s="332">
        <f t="shared" si="14"/>
        <v>0</v>
      </c>
      <c r="I106" s="333">
        <v>0.00618</v>
      </c>
      <c r="J106" s="334">
        <f t="shared" si="15"/>
        <v>0.3022112699999999</v>
      </c>
      <c r="K106" s="693"/>
      <c r="L106" s="693"/>
      <c r="M106" s="693"/>
      <c r="N106" s="693"/>
      <c r="O106" s="693"/>
      <c r="P106" s="693"/>
      <c r="Q106" s="694"/>
      <c r="R106" s="509"/>
      <c r="S106" s="509"/>
    </row>
    <row r="107" spans="1:19" s="251" customFormat="1" ht="17.25" customHeight="1">
      <c r="A107" s="248"/>
      <c r="B107" s="249" t="s">
        <v>1920</v>
      </c>
      <c r="C107" s="205" t="s">
        <v>1191</v>
      </c>
      <c r="D107" s="897" t="s">
        <v>1929</v>
      </c>
      <c r="E107" s="213">
        <f>(35.4+43.8)*0.5+(1.3+4.5)*0.5</f>
        <v>42.49999999999999</v>
      </c>
      <c r="F107" s="367"/>
      <c r="G107" s="387"/>
      <c r="H107" s="387"/>
      <c r="I107" s="356"/>
      <c r="J107" s="357"/>
      <c r="K107" s="681"/>
      <c r="L107" s="681"/>
      <c r="M107" s="681"/>
      <c r="N107" s="682"/>
      <c r="O107" s="682"/>
      <c r="P107" s="682"/>
      <c r="Q107" s="682"/>
      <c r="R107" s="682"/>
      <c r="S107" s="682"/>
    </row>
    <row r="108" spans="1:19" s="1240" customFormat="1" ht="15" customHeight="1">
      <c r="A108" s="1245"/>
      <c r="B108" s="1252" t="s">
        <v>639</v>
      </c>
      <c r="C108" s="1253" t="s">
        <v>2979</v>
      </c>
      <c r="D108" s="1246" t="s">
        <v>2758</v>
      </c>
      <c r="E108" s="1254">
        <f>(0.9+0.65)*(2.9+1.23)</f>
        <v>6.4015</v>
      </c>
      <c r="F108" s="1249"/>
      <c r="G108" s="1249"/>
      <c r="H108" s="1249"/>
      <c r="I108" s="1251"/>
      <c r="J108" s="1255"/>
      <c r="K108" s="1239"/>
      <c r="L108" s="1239"/>
      <c r="M108" s="1239"/>
      <c r="N108" s="1239"/>
      <c r="O108" s="1239"/>
      <c r="P108" s="1239"/>
      <c r="Q108" s="1239"/>
      <c r="R108" s="1239"/>
      <c r="S108" s="1239"/>
    </row>
    <row r="109" spans="1:19" s="22" customFormat="1" ht="20.25" customHeight="1">
      <c r="A109" s="196" t="s">
        <v>1926</v>
      </c>
      <c r="B109" s="197" t="s">
        <v>1961</v>
      </c>
      <c r="C109" s="197" t="s">
        <v>1962</v>
      </c>
      <c r="D109" s="897" t="s">
        <v>1963</v>
      </c>
      <c r="E109" s="198" t="s">
        <v>1748</v>
      </c>
      <c r="F109" s="332">
        <f>SUM(E110:E111)</f>
        <v>1678.39</v>
      </c>
      <c r="G109" s="332"/>
      <c r="H109" s="332">
        <f t="shared" si="14"/>
        <v>0</v>
      </c>
      <c r="I109" s="333">
        <v>0.01011</v>
      </c>
      <c r="J109" s="334">
        <f t="shared" si="15"/>
        <v>16.9685229</v>
      </c>
      <c r="K109" s="693"/>
      <c r="L109" s="693"/>
      <c r="M109" s="693"/>
      <c r="N109" s="693"/>
      <c r="O109" s="693"/>
      <c r="P109" s="693"/>
      <c r="Q109" s="694"/>
      <c r="R109" s="509"/>
      <c r="S109" s="509"/>
    </row>
    <row r="110" spans="1:19" s="130" customFormat="1" ht="22.5" customHeight="1">
      <c r="A110" s="204"/>
      <c r="B110" s="205"/>
      <c r="C110" s="206" t="s">
        <v>1192</v>
      </c>
      <c r="D110" s="898"/>
      <c r="E110" s="207">
        <f>1714.2-42.5</f>
        <v>1671.7</v>
      </c>
      <c r="F110" s="335"/>
      <c r="G110" s="335"/>
      <c r="H110" s="335"/>
      <c r="I110" s="336"/>
      <c r="J110" s="337"/>
      <c r="K110" s="672"/>
      <c r="L110" s="672"/>
      <c r="M110" s="672"/>
      <c r="N110" s="672"/>
      <c r="O110" s="672"/>
      <c r="P110" s="672"/>
      <c r="Q110" s="673"/>
      <c r="R110" s="508"/>
      <c r="S110" s="508"/>
    </row>
    <row r="111" spans="1:19" s="130" customFormat="1" ht="22.5" customHeight="1">
      <c r="A111" s="204"/>
      <c r="B111" s="205" t="s">
        <v>878</v>
      </c>
      <c r="C111" s="206" t="s">
        <v>879</v>
      </c>
      <c r="D111" s="898"/>
      <c r="E111" s="207">
        <f>(2.86+3.83)</f>
        <v>6.6899999999999995</v>
      </c>
      <c r="F111" s="335"/>
      <c r="G111" s="335"/>
      <c r="H111" s="335"/>
      <c r="I111" s="336"/>
      <c r="J111" s="337"/>
      <c r="K111" s="672"/>
      <c r="L111" s="672"/>
      <c r="M111" s="672"/>
      <c r="N111" s="672"/>
      <c r="O111" s="672"/>
      <c r="P111" s="672"/>
      <c r="Q111" s="673"/>
      <c r="R111" s="508"/>
      <c r="S111" s="508"/>
    </row>
    <row r="112" spans="1:19" s="22" customFormat="1" ht="20.25" customHeight="1">
      <c r="A112" s="196" t="s">
        <v>1931</v>
      </c>
      <c r="B112" s="197" t="s">
        <v>1966</v>
      </c>
      <c r="C112" s="197" t="s">
        <v>1967</v>
      </c>
      <c r="D112" s="897" t="s">
        <v>880</v>
      </c>
      <c r="E112" s="198" t="s">
        <v>1748</v>
      </c>
      <c r="F112" s="332">
        <f>608.84*0.15</f>
        <v>91.32600000000001</v>
      </c>
      <c r="G112" s="332"/>
      <c r="H112" s="332">
        <f t="shared" si="14"/>
        <v>0</v>
      </c>
      <c r="I112" s="333">
        <v>0</v>
      </c>
      <c r="J112" s="334">
        <f t="shared" si="15"/>
        <v>0</v>
      </c>
      <c r="K112" s="693"/>
      <c r="L112" s="693"/>
      <c r="M112" s="693"/>
      <c r="N112" s="693"/>
      <c r="O112" s="693"/>
      <c r="P112" s="693"/>
      <c r="Q112" s="694"/>
      <c r="R112" s="509"/>
      <c r="S112" s="509"/>
    </row>
    <row r="113" spans="1:19" s="22" customFormat="1" ht="31.5" customHeight="1">
      <c r="A113" s="196" t="s">
        <v>1935</v>
      </c>
      <c r="B113" s="197" t="s">
        <v>886</v>
      </c>
      <c r="C113" s="199" t="s">
        <v>2949</v>
      </c>
      <c r="D113" s="897" t="s">
        <v>888</v>
      </c>
      <c r="E113" s="198" t="s">
        <v>1748</v>
      </c>
      <c r="F113" s="332">
        <f>SUM(E114:E115)</f>
        <v>158.92149999999998</v>
      </c>
      <c r="G113" s="332"/>
      <c r="H113" s="332">
        <f t="shared" si="14"/>
        <v>0</v>
      </c>
      <c r="I113" s="333">
        <v>0.00367</v>
      </c>
      <c r="J113" s="334">
        <f t="shared" si="15"/>
        <v>0.583241905</v>
      </c>
      <c r="K113" s="693"/>
      <c r="L113" s="693"/>
      <c r="M113" s="693"/>
      <c r="N113" s="693"/>
      <c r="O113" s="693"/>
      <c r="P113" s="693"/>
      <c r="Q113" s="694"/>
      <c r="R113" s="509"/>
      <c r="S113" s="509"/>
    </row>
    <row r="114" spans="1:19" s="251" customFormat="1" ht="17.25" customHeight="1">
      <c r="A114" s="248"/>
      <c r="B114" s="249"/>
      <c r="C114" s="250" t="s">
        <v>1063</v>
      </c>
      <c r="D114" s="905"/>
      <c r="E114" s="213">
        <f>127.1*1.2</f>
        <v>152.51999999999998</v>
      </c>
      <c r="F114" s="367"/>
      <c r="G114" s="387"/>
      <c r="H114" s="387"/>
      <c r="I114" s="356"/>
      <c r="J114" s="357"/>
      <c r="K114" s="681"/>
      <c r="L114" s="681"/>
      <c r="M114" s="681"/>
      <c r="N114" s="682"/>
      <c r="O114" s="682"/>
      <c r="P114" s="682"/>
      <c r="Q114" s="682"/>
      <c r="R114" s="682"/>
      <c r="S114" s="682"/>
    </row>
    <row r="115" spans="1:19" s="1240" customFormat="1" ht="15" customHeight="1">
      <c r="A115" s="1245"/>
      <c r="B115" s="1252" t="s">
        <v>639</v>
      </c>
      <c r="C115" s="1253" t="s">
        <v>2979</v>
      </c>
      <c r="D115" s="1246"/>
      <c r="E115" s="1254">
        <f>(0.9+0.65)*(2.9+1.23)</f>
        <v>6.4015</v>
      </c>
      <c r="F115" s="1249"/>
      <c r="G115" s="1249"/>
      <c r="H115" s="1249"/>
      <c r="I115" s="1251"/>
      <c r="J115" s="1255"/>
      <c r="K115" s="1239"/>
      <c r="L115" s="1239"/>
      <c r="M115" s="1239"/>
      <c r="N115" s="1239"/>
      <c r="O115" s="1239"/>
      <c r="P115" s="1239"/>
      <c r="Q115" s="1239"/>
      <c r="R115" s="1239"/>
      <c r="S115" s="1239"/>
    </row>
    <row r="116" spans="1:19" s="22" customFormat="1" ht="20.25" customHeight="1">
      <c r="A116" s="196" t="s">
        <v>1938</v>
      </c>
      <c r="B116" s="197" t="s">
        <v>1987</v>
      </c>
      <c r="C116" s="197" t="s">
        <v>1988</v>
      </c>
      <c r="D116" s="897" t="s">
        <v>2808</v>
      </c>
      <c r="E116" s="198" t="s">
        <v>1826</v>
      </c>
      <c r="F116" s="332">
        <v>48.6</v>
      </c>
      <c r="G116" s="332"/>
      <c r="H116" s="332">
        <f>F116*G116</f>
        <v>0</v>
      </c>
      <c r="I116" s="333">
        <v>0.0005</v>
      </c>
      <c r="J116" s="334">
        <f>F116*I116</f>
        <v>0.024300000000000002</v>
      </c>
      <c r="K116" s="509"/>
      <c r="L116" s="509"/>
      <c r="M116" s="509"/>
      <c r="N116" s="509"/>
      <c r="O116" s="509"/>
      <c r="P116" s="509"/>
      <c r="Q116" s="509"/>
      <c r="R116" s="509"/>
      <c r="S116" s="509"/>
    </row>
    <row r="117" spans="1:19" s="22" customFormat="1" ht="20.25" customHeight="1">
      <c r="A117" s="196" t="s">
        <v>1942</v>
      </c>
      <c r="B117" s="197" t="s">
        <v>1990</v>
      </c>
      <c r="C117" s="197" t="s">
        <v>1991</v>
      </c>
      <c r="D117" s="897" t="s">
        <v>2808</v>
      </c>
      <c r="E117" s="198" t="s">
        <v>1826</v>
      </c>
      <c r="F117" s="332">
        <v>823.24</v>
      </c>
      <c r="G117" s="332"/>
      <c r="H117" s="332">
        <f t="shared" si="14"/>
        <v>0</v>
      </c>
      <c r="I117" s="333">
        <v>0</v>
      </c>
      <c r="J117" s="334">
        <f t="shared" si="15"/>
        <v>0</v>
      </c>
      <c r="K117" s="693"/>
      <c r="L117" s="693"/>
      <c r="M117" s="693"/>
      <c r="N117" s="693"/>
      <c r="O117" s="693"/>
      <c r="P117" s="693"/>
      <c r="Q117" s="694"/>
      <c r="R117" s="509"/>
      <c r="S117" s="509"/>
    </row>
    <row r="118" spans="1:19" s="22" customFormat="1" ht="20.25" customHeight="1">
      <c r="A118" s="196" t="s">
        <v>1955</v>
      </c>
      <c r="B118" s="197" t="s">
        <v>1993</v>
      </c>
      <c r="C118" s="197" t="s">
        <v>1994</v>
      </c>
      <c r="D118" s="897" t="s">
        <v>2808</v>
      </c>
      <c r="E118" s="198" t="s">
        <v>1826</v>
      </c>
      <c r="F118" s="332">
        <f>E119</f>
        <v>84.99999999999999</v>
      </c>
      <c r="G118" s="332"/>
      <c r="H118" s="332">
        <f t="shared" si="14"/>
        <v>0</v>
      </c>
      <c r="I118" s="333">
        <v>0.00011</v>
      </c>
      <c r="J118" s="334">
        <f t="shared" si="15"/>
        <v>0.009349999999999999</v>
      </c>
      <c r="K118" s="693"/>
      <c r="L118" s="693"/>
      <c r="M118" s="693"/>
      <c r="N118" s="693"/>
      <c r="O118" s="693"/>
      <c r="P118" s="693"/>
      <c r="Q118" s="694"/>
      <c r="R118" s="509"/>
      <c r="S118" s="509"/>
    </row>
    <row r="119" spans="1:19" s="251" customFormat="1" ht="17.25" customHeight="1">
      <c r="A119" s="248"/>
      <c r="B119" s="249"/>
      <c r="C119" s="205" t="s">
        <v>1193</v>
      </c>
      <c r="D119" s="905"/>
      <c r="E119" s="213">
        <f>(35.4+43.8)+(1.3+4.5)</f>
        <v>84.99999999999999</v>
      </c>
      <c r="F119" s="367"/>
      <c r="G119" s="387"/>
      <c r="H119" s="387"/>
      <c r="I119" s="356"/>
      <c r="J119" s="357"/>
      <c r="K119" s="681"/>
      <c r="L119" s="681"/>
      <c r="M119" s="681"/>
      <c r="N119" s="682"/>
      <c r="O119" s="682"/>
      <c r="P119" s="682"/>
      <c r="Q119" s="682"/>
      <c r="R119" s="682"/>
      <c r="S119" s="682"/>
    </row>
    <row r="120" spans="1:19" s="22" customFormat="1" ht="20.25" customHeight="1">
      <c r="A120" s="196" t="s">
        <v>1960</v>
      </c>
      <c r="B120" s="197" t="s">
        <v>1996</v>
      </c>
      <c r="C120" s="197" t="s">
        <v>1997</v>
      </c>
      <c r="D120" s="897" t="s">
        <v>2808</v>
      </c>
      <c r="E120" s="198" t="s">
        <v>1826</v>
      </c>
      <c r="F120" s="332">
        <v>697.5</v>
      </c>
      <c r="G120" s="332"/>
      <c r="H120" s="332">
        <f t="shared" si="14"/>
        <v>0</v>
      </c>
      <c r="I120" s="333">
        <v>0.00011</v>
      </c>
      <c r="J120" s="334">
        <f t="shared" si="15"/>
        <v>0.076725</v>
      </c>
      <c r="K120" s="693"/>
      <c r="L120" s="693"/>
      <c r="M120" s="693"/>
      <c r="N120" s="693"/>
      <c r="O120" s="693"/>
      <c r="P120" s="693"/>
      <c r="Q120" s="694"/>
      <c r="R120" s="509"/>
      <c r="S120" s="509"/>
    </row>
    <row r="121" spans="1:19" s="22" customFormat="1" ht="20.25" customHeight="1">
      <c r="A121" s="196" t="s">
        <v>1965</v>
      </c>
      <c r="B121" s="197" t="s">
        <v>1999</v>
      </c>
      <c r="C121" s="197" t="s">
        <v>2000</v>
      </c>
      <c r="D121" s="897" t="s">
        <v>2808</v>
      </c>
      <c r="E121" s="198" t="s">
        <v>1826</v>
      </c>
      <c r="F121" s="332">
        <v>2777.2</v>
      </c>
      <c r="G121" s="332"/>
      <c r="H121" s="332">
        <f t="shared" si="14"/>
        <v>0</v>
      </c>
      <c r="I121" s="333">
        <v>0</v>
      </c>
      <c r="J121" s="334">
        <f t="shared" si="15"/>
        <v>0</v>
      </c>
      <c r="K121" s="693"/>
      <c r="L121" s="509"/>
      <c r="M121" s="693"/>
      <c r="N121" s="693"/>
      <c r="O121" s="693"/>
      <c r="P121" s="693"/>
      <c r="Q121" s="694"/>
      <c r="R121" s="509"/>
      <c r="S121" s="509"/>
    </row>
    <row r="122" spans="1:19" s="22" customFormat="1" ht="20.25" customHeight="1">
      <c r="A122" s="196" t="s">
        <v>1972</v>
      </c>
      <c r="B122" s="197" t="s">
        <v>2002</v>
      </c>
      <c r="C122" s="197" t="s">
        <v>2003</v>
      </c>
      <c r="D122" s="897" t="s">
        <v>2808</v>
      </c>
      <c r="E122" s="198" t="s">
        <v>1748</v>
      </c>
      <c r="F122" s="332">
        <f>1714+152.52</f>
        <v>1866.52</v>
      </c>
      <c r="G122" s="332"/>
      <c r="H122" s="332">
        <f t="shared" si="14"/>
        <v>0</v>
      </c>
      <c r="I122" s="333">
        <v>0.00032</v>
      </c>
      <c r="J122" s="334">
        <f t="shared" si="15"/>
        <v>0.5972864</v>
      </c>
      <c r="K122" s="693"/>
      <c r="L122" s="509"/>
      <c r="M122" s="693"/>
      <c r="N122" s="693"/>
      <c r="O122" s="693"/>
      <c r="P122" s="693"/>
      <c r="Q122" s="694"/>
      <c r="R122" s="509"/>
      <c r="S122" s="509"/>
    </row>
    <row r="123" spans="1:19" s="22" customFormat="1" ht="20.25" customHeight="1">
      <c r="A123" s="196" t="s">
        <v>1977</v>
      </c>
      <c r="B123" s="197" t="s">
        <v>2005</v>
      </c>
      <c r="C123" s="197" t="s">
        <v>2006</v>
      </c>
      <c r="D123" s="897" t="s">
        <v>2808</v>
      </c>
      <c r="E123" s="198" t="s">
        <v>1748</v>
      </c>
      <c r="F123" s="332">
        <f>1866.52-42.5</f>
        <v>1824.02</v>
      </c>
      <c r="G123" s="332"/>
      <c r="H123" s="332">
        <f t="shared" si="14"/>
        <v>0</v>
      </c>
      <c r="I123" s="333">
        <v>0.00284</v>
      </c>
      <c r="J123" s="334">
        <f t="shared" si="15"/>
        <v>5.1802168</v>
      </c>
      <c r="K123" s="693"/>
      <c r="L123" s="693"/>
      <c r="M123" s="693"/>
      <c r="N123" s="693"/>
      <c r="O123" s="693"/>
      <c r="P123" s="693"/>
      <c r="Q123" s="694"/>
      <c r="R123" s="509"/>
      <c r="S123" s="509"/>
    </row>
    <row r="124" spans="1:19" s="22" customFormat="1" ht="20.25" customHeight="1">
      <c r="A124" s="196" t="s">
        <v>1982</v>
      </c>
      <c r="B124" s="197" t="s">
        <v>2008</v>
      </c>
      <c r="C124" s="197" t="s">
        <v>2009</v>
      </c>
      <c r="D124" s="897" t="s">
        <v>2808</v>
      </c>
      <c r="E124" s="198" t="s">
        <v>1826</v>
      </c>
      <c r="F124" s="332">
        <f>F118*3</f>
        <v>254.99999999999994</v>
      </c>
      <c r="G124" s="332"/>
      <c r="H124" s="332">
        <f t="shared" si="14"/>
        <v>0</v>
      </c>
      <c r="I124" s="333">
        <v>8E-05</v>
      </c>
      <c r="J124" s="334">
        <f t="shared" si="15"/>
        <v>0.020399999999999998</v>
      </c>
      <c r="K124" s="693"/>
      <c r="L124" s="693"/>
      <c r="M124" s="693"/>
      <c r="N124" s="693"/>
      <c r="O124" s="693"/>
      <c r="P124" s="693"/>
      <c r="Q124" s="694"/>
      <c r="R124" s="509"/>
      <c r="S124" s="509"/>
    </row>
    <row r="125" spans="1:19" s="22" customFormat="1" ht="14.25" customHeight="1" thickBot="1">
      <c r="A125" s="255"/>
      <c r="B125" s="256"/>
      <c r="C125" s="256"/>
      <c r="D125" s="906"/>
      <c r="E125" s="257"/>
      <c r="F125" s="368"/>
      <c r="G125" s="368"/>
      <c r="H125" s="368"/>
      <c r="I125" s="369"/>
      <c r="J125" s="370"/>
      <c r="K125" s="509"/>
      <c r="L125" s="509"/>
      <c r="M125" s="509"/>
      <c r="N125" s="509"/>
      <c r="O125" s="509"/>
      <c r="P125" s="509"/>
      <c r="Q125" s="509"/>
      <c r="R125" s="509"/>
      <c r="S125" s="509"/>
    </row>
    <row r="126" spans="1:19" ht="16.5" customHeight="1" thickBot="1">
      <c r="A126" s="266" t="s">
        <v>2011</v>
      </c>
      <c r="B126" s="175" t="s">
        <v>2012</v>
      </c>
      <c r="C126" s="176" t="s">
        <v>2013</v>
      </c>
      <c r="D126" s="175"/>
      <c r="E126" s="175"/>
      <c r="F126" s="341"/>
      <c r="G126" s="341"/>
      <c r="H126" s="342">
        <f>SUM(H127:H136)</f>
        <v>0</v>
      </c>
      <c r="I126" s="343"/>
      <c r="J126" s="344">
        <f>SUM(J127:J136)</f>
        <v>21.073459138125003</v>
      </c>
      <c r="K126" s="670"/>
      <c r="L126" s="670"/>
      <c r="M126" s="670"/>
      <c r="N126" s="670"/>
      <c r="O126" s="670"/>
      <c r="P126" s="670"/>
      <c r="Q126" s="670"/>
      <c r="R126" s="670"/>
      <c r="S126" s="670"/>
    </row>
    <row r="127" spans="1:19" s="22" customFormat="1" ht="20.25" customHeight="1">
      <c r="A127" s="190" t="s">
        <v>2014</v>
      </c>
      <c r="B127" s="191" t="s">
        <v>2015</v>
      </c>
      <c r="C127" s="1097" t="s">
        <v>2856</v>
      </c>
      <c r="D127" s="896" t="s">
        <v>2809</v>
      </c>
      <c r="E127" s="192" t="s">
        <v>1748</v>
      </c>
      <c r="F127" s="345">
        <f>SUM(E128:E129)</f>
        <v>635.2900000000001</v>
      </c>
      <c r="G127" s="345"/>
      <c r="H127" s="345">
        <f>F127*G127</f>
        <v>0</v>
      </c>
      <c r="I127" s="346">
        <v>0.02193</v>
      </c>
      <c r="J127" s="347">
        <f>F127*I127</f>
        <v>13.931909700000002</v>
      </c>
      <c r="K127" s="509"/>
      <c r="L127" s="509"/>
      <c r="M127" s="509"/>
      <c r="N127" s="509"/>
      <c r="O127" s="509"/>
      <c r="P127" s="509"/>
      <c r="Q127" s="509"/>
      <c r="R127" s="509"/>
      <c r="S127" s="509"/>
    </row>
    <row r="128" spans="1:19" s="130" customFormat="1" ht="18.75" customHeight="1">
      <c r="A128" s="204"/>
      <c r="B128" s="205" t="s">
        <v>891</v>
      </c>
      <c r="C128" s="206" t="s">
        <v>1065</v>
      </c>
      <c r="D128" s="898"/>
      <c r="E128" s="207">
        <v>628.6</v>
      </c>
      <c r="F128" s="335"/>
      <c r="G128" s="335"/>
      <c r="H128" s="335"/>
      <c r="I128" s="336"/>
      <c r="J128" s="337"/>
      <c r="K128" s="508"/>
      <c r="L128" s="508"/>
      <c r="M128" s="508"/>
      <c r="N128" s="508"/>
      <c r="O128" s="508"/>
      <c r="P128" s="508"/>
      <c r="Q128" s="508"/>
      <c r="R128" s="508"/>
      <c r="S128" s="508"/>
    </row>
    <row r="129" spans="1:19" s="130" customFormat="1" ht="18" customHeight="1">
      <c r="A129" s="204"/>
      <c r="B129" s="205" t="s">
        <v>878</v>
      </c>
      <c r="C129" s="206" t="s">
        <v>879</v>
      </c>
      <c r="D129" s="898"/>
      <c r="E129" s="207">
        <f>(2.86+3.83)</f>
        <v>6.6899999999999995</v>
      </c>
      <c r="F129" s="335"/>
      <c r="G129" s="335"/>
      <c r="H129" s="335"/>
      <c r="I129" s="336"/>
      <c r="J129" s="337"/>
      <c r="K129" s="672"/>
      <c r="L129" s="672"/>
      <c r="M129" s="672"/>
      <c r="N129" s="672"/>
      <c r="O129" s="672"/>
      <c r="P129" s="672"/>
      <c r="Q129" s="673"/>
      <c r="R129" s="508"/>
      <c r="S129" s="508"/>
    </row>
    <row r="130" spans="1:19" s="22" customFormat="1" ht="20.25" customHeight="1">
      <c r="A130" s="196" t="s">
        <v>2026</v>
      </c>
      <c r="B130" s="197" t="s">
        <v>1066</v>
      </c>
      <c r="C130" s="197" t="s">
        <v>1067</v>
      </c>
      <c r="D130" s="897" t="s">
        <v>2807</v>
      </c>
      <c r="E130" s="198" t="s">
        <v>1709</v>
      </c>
      <c r="F130" s="332">
        <f>SUM(E131:E131)</f>
        <v>2.28</v>
      </c>
      <c r="G130" s="332"/>
      <c r="H130" s="332">
        <f>F130*G130</f>
        <v>0</v>
      </c>
      <c r="I130" s="333">
        <v>2.525</v>
      </c>
      <c r="J130" s="334">
        <f>F130*I130</f>
        <v>5.757</v>
      </c>
      <c r="K130" s="509"/>
      <c r="L130" s="509"/>
      <c r="M130" s="509"/>
      <c r="N130" s="509"/>
      <c r="O130" s="509"/>
      <c r="P130" s="509"/>
      <c r="Q130" s="509"/>
      <c r="R130" s="509"/>
      <c r="S130" s="509"/>
    </row>
    <row r="131" spans="1:19" s="130" customFormat="1" ht="22.5" customHeight="1">
      <c r="A131" s="204"/>
      <c r="B131" s="205"/>
      <c r="C131" s="206" t="s">
        <v>1068</v>
      </c>
      <c r="D131" s="898"/>
      <c r="E131" s="207">
        <f>15.2*0.15</f>
        <v>2.28</v>
      </c>
      <c r="F131" s="335"/>
      <c r="G131" s="335"/>
      <c r="H131" s="335"/>
      <c r="I131" s="336"/>
      <c r="J131" s="337"/>
      <c r="K131" s="672"/>
      <c r="L131" s="672"/>
      <c r="M131" s="672"/>
      <c r="N131" s="672"/>
      <c r="O131" s="672"/>
      <c r="P131" s="672"/>
      <c r="Q131" s="673"/>
      <c r="R131" s="508"/>
      <c r="S131" s="508"/>
    </row>
    <row r="132" spans="1:19" s="22" customFormat="1" ht="20.25" customHeight="1">
      <c r="A132" s="196" t="s">
        <v>2031</v>
      </c>
      <c r="B132" s="197" t="s">
        <v>2027</v>
      </c>
      <c r="C132" s="197" t="s">
        <v>2028</v>
      </c>
      <c r="D132" s="897" t="s">
        <v>2807</v>
      </c>
      <c r="E132" s="198" t="s">
        <v>1709</v>
      </c>
      <c r="F132" s="332">
        <f>SUM(E133:E133)</f>
        <v>0.5352</v>
      </c>
      <c r="G132" s="332"/>
      <c r="H132" s="332">
        <f>F132*G132</f>
        <v>0</v>
      </c>
      <c r="I132" s="333">
        <v>2.525</v>
      </c>
      <c r="J132" s="334">
        <f>F132*I132</f>
        <v>1.35138</v>
      </c>
      <c r="K132" s="509"/>
      <c r="L132" s="509"/>
      <c r="M132" s="509"/>
      <c r="N132" s="509"/>
      <c r="O132" s="509"/>
      <c r="P132" s="509"/>
      <c r="Q132" s="509"/>
      <c r="R132" s="509"/>
      <c r="S132" s="509"/>
    </row>
    <row r="133" spans="1:19" s="130" customFormat="1" ht="22.5" customHeight="1">
      <c r="A133" s="204"/>
      <c r="B133" s="205" t="s">
        <v>878</v>
      </c>
      <c r="C133" s="206" t="s">
        <v>893</v>
      </c>
      <c r="D133" s="898"/>
      <c r="E133" s="207">
        <f>(2.86+3.83)*0.08</f>
        <v>0.5352</v>
      </c>
      <c r="F133" s="335"/>
      <c r="G133" s="335"/>
      <c r="H133" s="335"/>
      <c r="I133" s="336"/>
      <c r="J133" s="337"/>
      <c r="K133" s="672"/>
      <c r="L133" s="672"/>
      <c r="M133" s="672"/>
      <c r="N133" s="672"/>
      <c r="O133" s="672"/>
      <c r="P133" s="672"/>
      <c r="Q133" s="673"/>
      <c r="R133" s="508"/>
      <c r="S133" s="508"/>
    </row>
    <row r="134" spans="1:19" s="130" customFormat="1" ht="12" customHeight="1">
      <c r="A134" s="204"/>
      <c r="B134" s="205"/>
      <c r="C134" s="206"/>
      <c r="D134" s="898"/>
      <c r="E134" s="207"/>
      <c r="F134" s="335"/>
      <c r="G134" s="335"/>
      <c r="H134" s="335"/>
      <c r="I134" s="336"/>
      <c r="J134" s="337"/>
      <c r="K134" s="672"/>
      <c r="L134" s="672"/>
      <c r="M134" s="672"/>
      <c r="N134" s="672"/>
      <c r="O134" s="672"/>
      <c r="P134" s="672"/>
      <c r="Q134" s="673"/>
      <c r="R134" s="508"/>
      <c r="S134" s="508"/>
    </row>
    <row r="135" spans="1:19" s="22" customFormat="1" ht="31.5" customHeight="1">
      <c r="A135" s="196" t="s">
        <v>1069</v>
      </c>
      <c r="B135" s="197" t="s">
        <v>2032</v>
      </c>
      <c r="C135" s="199" t="s">
        <v>2033</v>
      </c>
      <c r="D135" s="897" t="s">
        <v>2807</v>
      </c>
      <c r="E135" s="198" t="s">
        <v>1783</v>
      </c>
      <c r="F135" s="332">
        <f>SUM(E136:E136)</f>
        <v>0.031108499999999994</v>
      </c>
      <c r="G135" s="332"/>
      <c r="H135" s="332">
        <f>F135*G135</f>
        <v>0</v>
      </c>
      <c r="I135" s="333">
        <v>1.06625</v>
      </c>
      <c r="J135" s="334">
        <f>F135*I135</f>
        <v>0.03316943812499999</v>
      </c>
      <c r="K135" s="509"/>
      <c r="L135" s="509"/>
      <c r="M135" s="509"/>
      <c r="N135" s="509"/>
      <c r="O135" s="509"/>
      <c r="P135" s="509"/>
      <c r="Q135" s="509"/>
      <c r="R135" s="509"/>
      <c r="S135" s="509"/>
    </row>
    <row r="136" spans="1:19" s="130" customFormat="1" ht="22.5" customHeight="1" thickBot="1">
      <c r="A136" s="241"/>
      <c r="B136" s="242" t="s">
        <v>878</v>
      </c>
      <c r="C136" s="243" t="s">
        <v>895</v>
      </c>
      <c r="D136" s="903"/>
      <c r="E136" s="244">
        <f>(2.86+3.83)*0.00465</f>
        <v>0.031108499999999994</v>
      </c>
      <c r="F136" s="360"/>
      <c r="G136" s="360"/>
      <c r="H136" s="360"/>
      <c r="I136" s="361"/>
      <c r="J136" s="362"/>
      <c r="K136" s="672"/>
      <c r="L136" s="672"/>
      <c r="M136" s="672"/>
      <c r="N136" s="672"/>
      <c r="O136" s="672"/>
      <c r="P136" s="672"/>
      <c r="Q136" s="673"/>
      <c r="R136" s="508"/>
      <c r="S136" s="508"/>
    </row>
    <row r="137" spans="1:19" ht="16.5" customHeight="1" thickBot="1">
      <c r="A137" s="266" t="s">
        <v>2036</v>
      </c>
      <c r="B137" s="175" t="s">
        <v>2037</v>
      </c>
      <c r="C137" s="176" t="s">
        <v>2038</v>
      </c>
      <c r="D137" s="175"/>
      <c r="E137" s="175"/>
      <c r="F137" s="341"/>
      <c r="G137" s="341"/>
      <c r="H137" s="342">
        <f>SUM(H138:H176)</f>
        <v>0</v>
      </c>
      <c r="I137" s="343"/>
      <c r="J137" s="344">
        <f>SUM(J138:J176)</f>
        <v>2.2718419999999995</v>
      </c>
      <c r="K137" s="670"/>
      <c r="L137" s="670"/>
      <c r="M137" s="670"/>
      <c r="N137" s="670"/>
      <c r="O137" s="670"/>
      <c r="P137" s="670"/>
      <c r="Q137" s="670"/>
      <c r="R137" s="670"/>
      <c r="S137" s="670"/>
    </row>
    <row r="138" spans="1:19" s="22" customFormat="1" ht="20.25" customHeight="1">
      <c r="A138" s="190"/>
      <c r="B138" s="191"/>
      <c r="C138" s="191"/>
      <c r="D138" s="896"/>
      <c r="E138" s="192"/>
      <c r="F138" s="345"/>
      <c r="G138" s="345"/>
      <c r="H138" s="345"/>
      <c r="I138" s="346"/>
      <c r="J138" s="347"/>
      <c r="K138" s="509"/>
      <c r="L138" s="509"/>
      <c r="M138" s="509"/>
      <c r="N138" s="509"/>
      <c r="O138" s="509"/>
      <c r="P138" s="509"/>
      <c r="Q138" s="509"/>
      <c r="R138" s="509"/>
      <c r="S138" s="509"/>
    </row>
    <row r="139" spans="1:19" s="22" customFormat="1" ht="20.25" customHeight="1">
      <c r="A139" s="196" t="s">
        <v>2039</v>
      </c>
      <c r="B139" s="197" t="s">
        <v>2040</v>
      </c>
      <c r="C139" s="197" t="s">
        <v>2041</v>
      </c>
      <c r="D139" s="897" t="s">
        <v>2808</v>
      </c>
      <c r="E139" s="198" t="s">
        <v>1831</v>
      </c>
      <c r="F139" s="332">
        <v>67</v>
      </c>
      <c r="G139" s="332"/>
      <c r="H139" s="332">
        <f>F139*G139</f>
        <v>0</v>
      </c>
      <c r="I139" s="333">
        <v>0.0009</v>
      </c>
      <c r="J139" s="334">
        <f>F139*I139</f>
        <v>0.0603</v>
      </c>
      <c r="K139" s="693"/>
      <c r="L139" s="693"/>
      <c r="M139" s="693"/>
      <c r="N139" s="693"/>
      <c r="O139" s="693"/>
      <c r="P139" s="693"/>
      <c r="Q139" s="694"/>
      <c r="R139" s="509"/>
      <c r="S139" s="509"/>
    </row>
    <row r="140" spans="1:19" s="22" customFormat="1" ht="20.25" customHeight="1">
      <c r="A140" s="196" t="s">
        <v>2042</v>
      </c>
      <c r="B140" s="197" t="s">
        <v>2043</v>
      </c>
      <c r="C140" s="197" t="s">
        <v>2044</v>
      </c>
      <c r="D140" s="897" t="s">
        <v>2808</v>
      </c>
      <c r="E140" s="198" t="s">
        <v>1831</v>
      </c>
      <c r="F140" s="332">
        <v>9</v>
      </c>
      <c r="G140" s="332"/>
      <c r="H140" s="332">
        <f>F140*G140</f>
        <v>0</v>
      </c>
      <c r="I140" s="333">
        <v>0.0012</v>
      </c>
      <c r="J140" s="334">
        <f>F140*I140</f>
        <v>0.010799999999999999</v>
      </c>
      <c r="K140" s="509"/>
      <c r="L140" s="509"/>
      <c r="M140" s="509"/>
      <c r="N140" s="509"/>
      <c r="O140" s="509"/>
      <c r="P140" s="509"/>
      <c r="Q140" s="509"/>
      <c r="R140" s="509"/>
      <c r="S140" s="509"/>
    </row>
    <row r="141" spans="1:19" s="22" customFormat="1" ht="20.25" customHeight="1">
      <c r="A141" s="196" t="s">
        <v>2045</v>
      </c>
      <c r="B141" s="197" t="s">
        <v>2046</v>
      </c>
      <c r="C141" s="197" t="s">
        <v>2047</v>
      </c>
      <c r="D141" s="897" t="s">
        <v>2808</v>
      </c>
      <c r="E141" s="198" t="s">
        <v>1831</v>
      </c>
      <c r="F141" s="332">
        <v>60</v>
      </c>
      <c r="G141" s="332"/>
      <c r="H141" s="332">
        <f>F141*G141</f>
        <v>0</v>
      </c>
      <c r="I141" s="333">
        <v>0.00165</v>
      </c>
      <c r="J141" s="334">
        <f>F141*I141</f>
        <v>0.099</v>
      </c>
      <c r="K141" s="693"/>
      <c r="L141" s="693"/>
      <c r="M141" s="693"/>
      <c r="N141" s="693"/>
      <c r="O141" s="693"/>
      <c r="P141" s="693"/>
      <c r="Q141" s="694"/>
      <c r="R141" s="509"/>
      <c r="S141" s="509"/>
    </row>
    <row r="142" spans="1:19" s="22" customFormat="1" ht="62.25" customHeight="1">
      <c r="A142" s="196"/>
      <c r="B142" s="197"/>
      <c r="C142" s="199" t="s">
        <v>2048</v>
      </c>
      <c r="D142" s="897" t="s">
        <v>2808</v>
      </c>
      <c r="E142" s="198"/>
      <c r="F142" s="332"/>
      <c r="G142" s="332"/>
      <c r="H142" s="332"/>
      <c r="I142" s="333"/>
      <c r="J142" s="334"/>
      <c r="K142" s="672" t="s">
        <v>2049</v>
      </c>
      <c r="L142" s="672" t="s">
        <v>2050</v>
      </c>
      <c r="M142" s="672" t="s">
        <v>1748</v>
      </c>
      <c r="N142" s="672" t="s">
        <v>2051</v>
      </c>
      <c r="O142" s="672" t="s">
        <v>2052</v>
      </c>
      <c r="P142" s="672" t="s">
        <v>2053</v>
      </c>
      <c r="Q142" s="673"/>
      <c r="R142" s="509"/>
      <c r="S142" s="509"/>
    </row>
    <row r="143" spans="1:19" s="22" customFormat="1" ht="20.25" customHeight="1">
      <c r="A143" s="196" t="s">
        <v>2054</v>
      </c>
      <c r="B143" s="197" t="s">
        <v>900</v>
      </c>
      <c r="C143" s="197" t="s">
        <v>748</v>
      </c>
      <c r="D143" s="897" t="s">
        <v>901</v>
      </c>
      <c r="E143" s="198" t="s">
        <v>1831</v>
      </c>
      <c r="F143" s="387">
        <v>5</v>
      </c>
      <c r="G143" s="332"/>
      <c r="H143" s="332">
        <f>F143*G143</f>
        <v>0</v>
      </c>
      <c r="I143" s="333">
        <v>0.00168</v>
      </c>
      <c r="J143" s="334">
        <f>F143*I143</f>
        <v>0.008400000000000001</v>
      </c>
      <c r="K143" s="693">
        <v>0.6</v>
      </c>
      <c r="L143" s="693">
        <v>0.45</v>
      </c>
      <c r="M143" s="693">
        <f aca="true" t="shared" si="16" ref="M143:M155">K143*L143</f>
        <v>0.27</v>
      </c>
      <c r="N143" s="693">
        <f aca="true" t="shared" si="17" ref="N143:N155">F143*M143</f>
        <v>1.35</v>
      </c>
      <c r="O143" s="693">
        <f aca="true" t="shared" si="18" ref="O143:O155">(K143+L143*2)*F143</f>
        <v>7.5</v>
      </c>
      <c r="P143" s="693">
        <f aca="true" t="shared" si="19" ref="P143:P155">F143*K143</f>
        <v>3</v>
      </c>
      <c r="Q143" s="694" t="s">
        <v>2109</v>
      </c>
      <c r="R143" s="509"/>
      <c r="S143" s="509"/>
    </row>
    <row r="144" spans="1:19" s="22" customFormat="1" ht="30" customHeight="1">
      <c r="A144" s="196" t="s">
        <v>2059</v>
      </c>
      <c r="B144" s="197" t="s">
        <v>1194</v>
      </c>
      <c r="C144" s="199" t="s">
        <v>1195</v>
      </c>
      <c r="D144" s="897" t="s">
        <v>739</v>
      </c>
      <c r="E144" s="198" t="s">
        <v>1831</v>
      </c>
      <c r="F144" s="387">
        <v>1</v>
      </c>
      <c r="G144" s="332"/>
      <c r="H144" s="332">
        <f>F144*G144</f>
        <v>0</v>
      </c>
      <c r="I144" s="333">
        <v>0.00168</v>
      </c>
      <c r="J144" s="334">
        <f>F144*I144</f>
        <v>0.00168</v>
      </c>
      <c r="K144" s="693">
        <v>1.35</v>
      </c>
      <c r="L144" s="693">
        <v>1.8</v>
      </c>
      <c r="M144" s="693">
        <f t="shared" si="16"/>
        <v>2.43</v>
      </c>
      <c r="N144" s="693">
        <f t="shared" si="17"/>
        <v>2.43</v>
      </c>
      <c r="O144" s="693">
        <f t="shared" si="18"/>
        <v>4.95</v>
      </c>
      <c r="P144" s="693">
        <f t="shared" si="19"/>
        <v>1.35</v>
      </c>
      <c r="Q144" s="694" t="s">
        <v>740</v>
      </c>
      <c r="R144" s="509"/>
      <c r="S144" s="509"/>
    </row>
    <row r="145" spans="1:19" s="22" customFormat="1" ht="20.25" customHeight="1">
      <c r="A145" s="196" t="s">
        <v>2065</v>
      </c>
      <c r="B145" s="197" t="s">
        <v>903</v>
      </c>
      <c r="C145" s="197" t="s">
        <v>742</v>
      </c>
      <c r="D145" s="897" t="s">
        <v>904</v>
      </c>
      <c r="E145" s="198" t="s">
        <v>1831</v>
      </c>
      <c r="F145" s="387">
        <v>18</v>
      </c>
      <c r="G145" s="332"/>
      <c r="H145" s="332">
        <f>F145*G145</f>
        <v>0</v>
      </c>
      <c r="I145" s="333">
        <v>0.00168</v>
      </c>
      <c r="J145" s="334">
        <f>F145*I145</f>
        <v>0.030240000000000003</v>
      </c>
      <c r="K145" s="693">
        <v>0.9</v>
      </c>
      <c r="L145" s="693">
        <v>1.5</v>
      </c>
      <c r="M145" s="693">
        <f t="shared" si="16"/>
        <v>1.35</v>
      </c>
      <c r="N145" s="693">
        <f t="shared" si="17"/>
        <v>24.3</v>
      </c>
      <c r="O145" s="693">
        <f t="shared" si="18"/>
        <v>70.2</v>
      </c>
      <c r="P145" s="693">
        <f t="shared" si="19"/>
        <v>16.2</v>
      </c>
      <c r="Q145" s="694" t="s">
        <v>1196</v>
      </c>
      <c r="R145" s="509"/>
      <c r="S145" s="509"/>
    </row>
    <row r="146" spans="1:19" s="22" customFormat="1" ht="20.25" customHeight="1">
      <c r="A146" s="196" t="s">
        <v>2069</v>
      </c>
      <c r="B146" s="197" t="s">
        <v>1075</v>
      </c>
      <c r="C146" s="197" t="s">
        <v>742</v>
      </c>
      <c r="D146" s="897" t="s">
        <v>1076</v>
      </c>
      <c r="E146" s="198" t="s">
        <v>1831</v>
      </c>
      <c r="F146" s="387">
        <v>7</v>
      </c>
      <c r="G146" s="332"/>
      <c r="H146" s="332">
        <f>F146*G146</f>
        <v>0</v>
      </c>
      <c r="I146" s="333">
        <v>0.00168</v>
      </c>
      <c r="J146" s="334">
        <f>F146*I146</f>
        <v>0.01176</v>
      </c>
      <c r="K146" s="693">
        <v>1.35</v>
      </c>
      <c r="L146" s="693">
        <v>1.5</v>
      </c>
      <c r="M146" s="693">
        <f t="shared" si="16"/>
        <v>2.0250000000000004</v>
      </c>
      <c r="N146" s="693">
        <f t="shared" si="17"/>
        <v>14.175000000000002</v>
      </c>
      <c r="O146" s="693">
        <f t="shared" si="18"/>
        <v>30.449999999999996</v>
      </c>
      <c r="P146" s="693">
        <f t="shared" si="19"/>
        <v>9.450000000000001</v>
      </c>
      <c r="Q146" s="694" t="s">
        <v>740</v>
      </c>
      <c r="R146" s="509"/>
      <c r="S146" s="509"/>
    </row>
    <row r="147" spans="1:19" s="22" customFormat="1" ht="20.25" customHeight="1">
      <c r="A147" s="196" t="s">
        <v>2074</v>
      </c>
      <c r="B147" s="197" t="s">
        <v>905</v>
      </c>
      <c r="C147" s="197" t="s">
        <v>742</v>
      </c>
      <c r="D147" s="897" t="s">
        <v>906</v>
      </c>
      <c r="E147" s="198" t="s">
        <v>1831</v>
      </c>
      <c r="F147" s="387">
        <v>42</v>
      </c>
      <c r="G147" s="332"/>
      <c r="H147" s="332">
        <f aca="true" t="shared" si="20" ref="H147:H154">F147*G147</f>
        <v>0</v>
      </c>
      <c r="I147" s="333">
        <v>0.00168</v>
      </c>
      <c r="J147" s="334">
        <f aca="true" t="shared" si="21" ref="J147:J154">F147*I147</f>
        <v>0.07056</v>
      </c>
      <c r="K147" s="693">
        <v>0.9</v>
      </c>
      <c r="L147" s="693">
        <v>1.2</v>
      </c>
      <c r="M147" s="693">
        <f t="shared" si="16"/>
        <v>1.08</v>
      </c>
      <c r="N147" s="693">
        <f t="shared" si="17"/>
        <v>45.36</v>
      </c>
      <c r="O147" s="693">
        <f t="shared" si="18"/>
        <v>138.6</v>
      </c>
      <c r="P147" s="693">
        <f t="shared" si="19"/>
        <v>37.800000000000004</v>
      </c>
      <c r="Q147" s="694" t="s">
        <v>740</v>
      </c>
      <c r="R147" s="509"/>
      <c r="S147" s="509"/>
    </row>
    <row r="148" spans="1:19" s="22" customFormat="1" ht="20.25" customHeight="1">
      <c r="A148" s="196" t="s">
        <v>2078</v>
      </c>
      <c r="B148" s="197" t="s">
        <v>910</v>
      </c>
      <c r="C148" s="197" t="s">
        <v>908</v>
      </c>
      <c r="D148" s="897" t="s">
        <v>911</v>
      </c>
      <c r="E148" s="198" t="s">
        <v>1831</v>
      </c>
      <c r="F148" s="387">
        <v>53</v>
      </c>
      <c r="G148" s="332"/>
      <c r="H148" s="332">
        <f t="shared" si="20"/>
        <v>0</v>
      </c>
      <c r="I148" s="333">
        <v>0.00168</v>
      </c>
      <c r="J148" s="334">
        <f t="shared" si="21"/>
        <v>0.08904000000000001</v>
      </c>
      <c r="K148" s="693">
        <v>2.4</v>
      </c>
      <c r="L148" s="693">
        <v>1.5</v>
      </c>
      <c r="M148" s="693">
        <f t="shared" si="16"/>
        <v>3.5999999999999996</v>
      </c>
      <c r="N148" s="693">
        <f t="shared" si="17"/>
        <v>190.79999999999998</v>
      </c>
      <c r="O148" s="693">
        <f t="shared" si="18"/>
        <v>286.20000000000005</v>
      </c>
      <c r="P148" s="693">
        <f t="shared" si="19"/>
        <v>127.19999999999999</v>
      </c>
      <c r="Q148" s="694" t="s">
        <v>740</v>
      </c>
      <c r="R148" s="509"/>
      <c r="S148" s="509"/>
    </row>
    <row r="149" spans="1:19" s="22" customFormat="1" ht="20.25" customHeight="1">
      <c r="A149" s="196" t="s">
        <v>2081</v>
      </c>
      <c r="B149" s="197" t="s">
        <v>915</v>
      </c>
      <c r="C149" s="197" t="s">
        <v>1079</v>
      </c>
      <c r="D149" s="897" t="s">
        <v>917</v>
      </c>
      <c r="E149" s="198" t="s">
        <v>1831</v>
      </c>
      <c r="F149" s="387">
        <v>3</v>
      </c>
      <c r="G149" s="332"/>
      <c r="H149" s="332">
        <f t="shared" si="20"/>
        <v>0</v>
      </c>
      <c r="I149" s="333">
        <v>0.00168</v>
      </c>
      <c r="J149" s="334">
        <f t="shared" si="21"/>
        <v>0.00504</v>
      </c>
      <c r="K149" s="693">
        <v>3</v>
      </c>
      <c r="L149" s="693">
        <v>1.85</v>
      </c>
      <c r="M149" s="693">
        <f t="shared" si="16"/>
        <v>5.550000000000001</v>
      </c>
      <c r="N149" s="693">
        <f t="shared" si="17"/>
        <v>16.650000000000002</v>
      </c>
      <c r="O149" s="693">
        <f t="shared" si="18"/>
        <v>20.1</v>
      </c>
      <c r="P149" s="693">
        <f t="shared" si="19"/>
        <v>9</v>
      </c>
      <c r="Q149" s="786" t="s">
        <v>1197</v>
      </c>
      <c r="R149" s="509"/>
      <c r="S149" s="509"/>
    </row>
    <row r="150" spans="1:19" s="22" customFormat="1" ht="30" customHeight="1">
      <c r="A150" s="196" t="s">
        <v>2085</v>
      </c>
      <c r="B150" s="197" t="s">
        <v>918</v>
      </c>
      <c r="C150" s="199" t="s">
        <v>1080</v>
      </c>
      <c r="D150" s="897" t="s">
        <v>920</v>
      </c>
      <c r="E150" s="198" t="s">
        <v>1831</v>
      </c>
      <c r="F150" s="387">
        <v>2</v>
      </c>
      <c r="G150" s="332"/>
      <c r="H150" s="332">
        <f t="shared" si="20"/>
        <v>0</v>
      </c>
      <c r="I150" s="333">
        <v>0.00168</v>
      </c>
      <c r="J150" s="334">
        <f t="shared" si="21"/>
        <v>0.00336</v>
      </c>
      <c r="K150" s="693">
        <v>2.1</v>
      </c>
      <c r="L150" s="693">
        <v>2.4</v>
      </c>
      <c r="M150" s="693">
        <f t="shared" si="16"/>
        <v>5.04</v>
      </c>
      <c r="N150" s="693">
        <f t="shared" si="17"/>
        <v>10.08</v>
      </c>
      <c r="O150" s="693">
        <f t="shared" si="18"/>
        <v>13.8</v>
      </c>
      <c r="P150" s="693">
        <f t="shared" si="19"/>
        <v>4.2</v>
      </c>
      <c r="Q150" s="694" t="s">
        <v>740</v>
      </c>
      <c r="R150" s="509"/>
      <c r="S150" s="509"/>
    </row>
    <row r="151" spans="1:19" s="22" customFormat="1" ht="20.25" customHeight="1">
      <c r="A151" s="196" t="s">
        <v>2089</v>
      </c>
      <c r="B151" s="197" t="s">
        <v>923</v>
      </c>
      <c r="C151" s="197" t="s">
        <v>1081</v>
      </c>
      <c r="D151" s="897" t="s">
        <v>925</v>
      </c>
      <c r="E151" s="198" t="s">
        <v>1831</v>
      </c>
      <c r="F151" s="387">
        <v>1</v>
      </c>
      <c r="G151" s="332"/>
      <c r="H151" s="332">
        <f t="shared" si="20"/>
        <v>0</v>
      </c>
      <c r="I151" s="333">
        <v>0.00168</v>
      </c>
      <c r="J151" s="334">
        <f t="shared" si="21"/>
        <v>0.00168</v>
      </c>
      <c r="K151" s="693">
        <v>2.1</v>
      </c>
      <c r="L151" s="693">
        <v>0.4</v>
      </c>
      <c r="M151" s="693">
        <f t="shared" si="16"/>
        <v>0.8400000000000001</v>
      </c>
      <c r="N151" s="693">
        <f t="shared" si="17"/>
        <v>0.8400000000000001</v>
      </c>
      <c r="O151" s="693">
        <f t="shared" si="18"/>
        <v>2.9000000000000004</v>
      </c>
      <c r="P151" s="693">
        <f t="shared" si="19"/>
        <v>2.1</v>
      </c>
      <c r="Q151" s="694" t="s">
        <v>740</v>
      </c>
      <c r="R151" s="509"/>
      <c r="S151" s="509"/>
    </row>
    <row r="152" spans="1:19" s="22" customFormat="1" ht="20.25" customHeight="1">
      <c r="A152" s="196" t="s">
        <v>2093</v>
      </c>
      <c r="B152" s="197" t="s">
        <v>926</v>
      </c>
      <c r="C152" s="197" t="s">
        <v>742</v>
      </c>
      <c r="D152" s="897" t="s">
        <v>749</v>
      </c>
      <c r="E152" s="198" t="s">
        <v>1831</v>
      </c>
      <c r="F152" s="387">
        <v>1</v>
      </c>
      <c r="G152" s="332"/>
      <c r="H152" s="332">
        <f t="shared" si="20"/>
        <v>0</v>
      </c>
      <c r="I152" s="333">
        <v>0.00168</v>
      </c>
      <c r="J152" s="334">
        <f t="shared" si="21"/>
        <v>0.00168</v>
      </c>
      <c r="K152" s="693">
        <v>0.9</v>
      </c>
      <c r="L152" s="693">
        <v>0.6</v>
      </c>
      <c r="M152" s="693">
        <f t="shared" si="16"/>
        <v>0.54</v>
      </c>
      <c r="N152" s="693">
        <f t="shared" si="17"/>
        <v>0.54</v>
      </c>
      <c r="O152" s="693">
        <f t="shared" si="18"/>
        <v>2.1</v>
      </c>
      <c r="P152" s="693">
        <f t="shared" si="19"/>
        <v>0.9</v>
      </c>
      <c r="Q152" s="786" t="s">
        <v>1197</v>
      </c>
      <c r="R152" s="509"/>
      <c r="S152" s="509"/>
    </row>
    <row r="153" spans="1:19" s="22" customFormat="1" ht="29.25" customHeight="1">
      <c r="A153" s="196" t="s">
        <v>2097</v>
      </c>
      <c r="B153" s="197" t="s">
        <v>1082</v>
      </c>
      <c r="C153" s="199" t="s">
        <v>1083</v>
      </c>
      <c r="D153" s="897" t="s">
        <v>1084</v>
      </c>
      <c r="E153" s="198" t="s">
        <v>1831</v>
      </c>
      <c r="F153" s="387">
        <v>1</v>
      </c>
      <c r="G153" s="332"/>
      <c r="H153" s="332">
        <f t="shared" si="20"/>
        <v>0</v>
      </c>
      <c r="I153" s="333">
        <v>0.00168</v>
      </c>
      <c r="J153" s="334">
        <f t="shared" si="21"/>
        <v>0.00168</v>
      </c>
      <c r="K153" s="693">
        <v>2.1</v>
      </c>
      <c r="L153" s="693">
        <v>2.1</v>
      </c>
      <c r="M153" s="693">
        <f t="shared" si="16"/>
        <v>4.41</v>
      </c>
      <c r="N153" s="693">
        <f t="shared" si="17"/>
        <v>4.41</v>
      </c>
      <c r="O153" s="693">
        <f t="shared" si="18"/>
        <v>6.300000000000001</v>
      </c>
      <c r="P153" s="693">
        <f t="shared" si="19"/>
        <v>2.1</v>
      </c>
      <c r="Q153" s="786" t="s">
        <v>1197</v>
      </c>
      <c r="R153" s="509"/>
      <c r="S153" s="509"/>
    </row>
    <row r="154" spans="1:19" s="22" customFormat="1" ht="31.5" customHeight="1">
      <c r="A154" s="196" t="s">
        <v>2101</v>
      </c>
      <c r="B154" s="197" t="s">
        <v>1198</v>
      </c>
      <c r="C154" s="199" t="s">
        <v>1199</v>
      </c>
      <c r="D154" s="897" t="s">
        <v>1200</v>
      </c>
      <c r="E154" s="198" t="s">
        <v>1831</v>
      </c>
      <c r="F154" s="387">
        <v>1</v>
      </c>
      <c r="G154" s="332"/>
      <c r="H154" s="332">
        <f t="shared" si="20"/>
        <v>0</v>
      </c>
      <c r="I154" s="333">
        <v>0.00168</v>
      </c>
      <c r="J154" s="334">
        <f t="shared" si="21"/>
        <v>0.00168</v>
      </c>
      <c r="K154" s="693">
        <v>2.4</v>
      </c>
      <c r="L154" s="693">
        <v>1.8</v>
      </c>
      <c r="M154" s="693">
        <f t="shared" si="16"/>
        <v>4.32</v>
      </c>
      <c r="N154" s="693">
        <f t="shared" si="17"/>
        <v>4.32</v>
      </c>
      <c r="O154" s="693">
        <f t="shared" si="18"/>
        <v>6</v>
      </c>
      <c r="P154" s="693">
        <f t="shared" si="19"/>
        <v>2.4</v>
      </c>
      <c r="Q154" s="694" t="s">
        <v>740</v>
      </c>
      <c r="R154" s="509"/>
      <c r="S154" s="509"/>
    </row>
    <row r="155" spans="1:19" s="22" customFormat="1" ht="20.25" customHeight="1">
      <c r="A155" s="196" t="s">
        <v>2105</v>
      </c>
      <c r="B155" s="197" t="s">
        <v>1085</v>
      </c>
      <c r="C155" s="197" t="s">
        <v>1086</v>
      </c>
      <c r="D155" s="897" t="s">
        <v>1087</v>
      </c>
      <c r="E155" s="198" t="s">
        <v>1831</v>
      </c>
      <c r="F155" s="387">
        <v>1</v>
      </c>
      <c r="G155" s="332"/>
      <c r="H155" s="332">
        <f>F155*G155</f>
        <v>0</v>
      </c>
      <c r="I155" s="333">
        <v>0.00168</v>
      </c>
      <c r="J155" s="334">
        <f>F155*I155</f>
        <v>0.00168</v>
      </c>
      <c r="K155" s="693">
        <v>2.4</v>
      </c>
      <c r="L155" s="693">
        <v>0.9</v>
      </c>
      <c r="M155" s="693">
        <f t="shared" si="16"/>
        <v>2.16</v>
      </c>
      <c r="N155" s="693">
        <f t="shared" si="17"/>
        <v>2.16</v>
      </c>
      <c r="O155" s="693">
        <f t="shared" si="18"/>
        <v>4.2</v>
      </c>
      <c r="P155" s="693">
        <f t="shared" si="19"/>
        <v>2.4</v>
      </c>
      <c r="Q155" s="694" t="s">
        <v>740</v>
      </c>
      <c r="R155" s="509"/>
      <c r="S155" s="509"/>
    </row>
    <row r="156" spans="1:19" s="22" customFormat="1" ht="20.25" customHeight="1">
      <c r="A156" s="196"/>
      <c r="B156" s="197"/>
      <c r="C156" s="197"/>
      <c r="D156" s="897"/>
      <c r="E156" s="198"/>
      <c r="F156" s="332"/>
      <c r="G156" s="332"/>
      <c r="H156" s="332"/>
      <c r="I156" s="333"/>
      <c r="J156" s="334"/>
      <c r="K156" s="693"/>
      <c r="L156" s="693"/>
      <c r="M156" s="693"/>
      <c r="N156" s="693"/>
      <c r="O156" s="693"/>
      <c r="P156" s="693"/>
      <c r="Q156" s="694"/>
      <c r="R156" s="509"/>
      <c r="S156" s="509"/>
    </row>
    <row r="157" spans="1:19" s="22" customFormat="1" ht="20.25" customHeight="1">
      <c r="A157" s="196" t="s">
        <v>2111</v>
      </c>
      <c r="B157" s="197" t="s">
        <v>2250</v>
      </c>
      <c r="C157" s="197" t="s">
        <v>750</v>
      </c>
      <c r="D157" s="897" t="s">
        <v>2810</v>
      </c>
      <c r="E157" s="198" t="s">
        <v>1826</v>
      </c>
      <c r="F157" s="332">
        <f>E158</f>
        <v>227.64</v>
      </c>
      <c r="G157" s="332"/>
      <c r="H157" s="332">
        <f>F157*G157</f>
        <v>0</v>
      </c>
      <c r="I157" s="333">
        <v>0.00222</v>
      </c>
      <c r="J157" s="334">
        <f>F157*I157</f>
        <v>0.5053608</v>
      </c>
      <c r="K157" s="693"/>
      <c r="L157" s="693"/>
      <c r="M157" s="693"/>
      <c r="N157" s="693"/>
      <c r="O157" s="693"/>
      <c r="P157" s="693"/>
      <c r="Q157" s="694"/>
      <c r="R157" s="509"/>
      <c r="S157" s="509"/>
    </row>
    <row r="158" spans="1:19" s="130" customFormat="1" ht="28.5" customHeight="1">
      <c r="A158" s="204"/>
      <c r="B158" s="205"/>
      <c r="C158" s="206" t="s">
        <v>1201</v>
      </c>
      <c r="D158" s="898"/>
      <c r="E158" s="207">
        <f>(0.6*5+1.35*1+0.9*18+1.35*7+0.9*42+2.4*53+2.1*2+2.1*12.4*1+2.4*1)</f>
        <v>227.64</v>
      </c>
      <c r="F158" s="335"/>
      <c r="G158" s="335"/>
      <c r="H158" s="335"/>
      <c r="I158" s="336"/>
      <c r="J158" s="337"/>
      <c r="K158" s="672"/>
      <c r="L158" s="672"/>
      <c r="M158" s="672"/>
      <c r="N158" s="672"/>
      <c r="O158" s="672"/>
      <c r="P158" s="672"/>
      <c r="Q158" s="673"/>
      <c r="R158" s="508"/>
      <c r="S158" s="508"/>
    </row>
    <row r="159" spans="1:19" s="22" customFormat="1" ht="24" customHeight="1">
      <c r="A159" s="196"/>
      <c r="B159" s="197"/>
      <c r="C159" s="199" t="s">
        <v>2258</v>
      </c>
      <c r="D159" s="897" t="s">
        <v>2810</v>
      </c>
      <c r="E159" s="198"/>
      <c r="F159" s="332"/>
      <c r="G159" s="332"/>
      <c r="H159" s="332"/>
      <c r="I159" s="333"/>
      <c r="J159" s="334"/>
      <c r="K159" s="693"/>
      <c r="L159" s="693"/>
      <c r="M159" s="693"/>
      <c r="N159" s="693"/>
      <c r="O159" s="693"/>
      <c r="P159" s="693"/>
      <c r="Q159" s="694"/>
      <c r="R159" s="509"/>
      <c r="S159" s="509"/>
    </row>
    <row r="160" spans="1:19" s="22" customFormat="1" ht="20.25" customHeight="1">
      <c r="A160" s="196" t="s">
        <v>2115</v>
      </c>
      <c r="B160" s="197" t="s">
        <v>2260</v>
      </c>
      <c r="C160" s="197" t="s">
        <v>2269</v>
      </c>
      <c r="D160" s="897" t="s">
        <v>2810</v>
      </c>
      <c r="E160" s="198" t="s">
        <v>1826</v>
      </c>
      <c r="F160" s="332">
        <f>E161</f>
        <v>250.404</v>
      </c>
      <c r="G160" s="332"/>
      <c r="H160" s="332">
        <f>F160*G160</f>
        <v>0</v>
      </c>
      <c r="I160" s="333">
        <v>0.0052</v>
      </c>
      <c r="J160" s="334">
        <f>F160*I160</f>
        <v>1.3021007999999998</v>
      </c>
      <c r="K160" s="693"/>
      <c r="L160" s="693"/>
      <c r="M160" s="693"/>
      <c r="N160" s="693"/>
      <c r="O160" s="693"/>
      <c r="P160" s="693"/>
      <c r="Q160" s="694"/>
      <c r="R160" s="509"/>
      <c r="S160" s="509"/>
    </row>
    <row r="161" spans="1:19" s="130" customFormat="1" ht="28.5" customHeight="1">
      <c r="A161" s="204"/>
      <c r="B161" s="205"/>
      <c r="C161" s="206" t="s">
        <v>1202</v>
      </c>
      <c r="D161" s="898"/>
      <c r="E161" s="207">
        <f>(0.6*5+1.35*1+0.9*18+1.35*7+0.9*42+2.4*53+2.1*2+2.1*12.4*1+2.4*1)*1.1</f>
        <v>250.404</v>
      </c>
      <c r="F161" s="335"/>
      <c r="G161" s="335"/>
      <c r="H161" s="335"/>
      <c r="I161" s="336"/>
      <c r="J161" s="337"/>
      <c r="K161" s="672"/>
      <c r="L161" s="672"/>
      <c r="M161" s="672"/>
      <c r="N161" s="672"/>
      <c r="O161" s="672"/>
      <c r="P161" s="672"/>
      <c r="Q161" s="673"/>
      <c r="R161" s="508"/>
      <c r="S161" s="508"/>
    </row>
    <row r="162" spans="1:19" s="22" customFormat="1" ht="20.25" customHeight="1">
      <c r="A162" s="196"/>
      <c r="B162" s="197"/>
      <c r="C162" s="197"/>
      <c r="D162" s="897"/>
      <c r="E162" s="198"/>
      <c r="F162" s="332"/>
      <c r="G162" s="332"/>
      <c r="H162" s="332"/>
      <c r="I162" s="333"/>
      <c r="J162" s="334"/>
      <c r="K162" s="509"/>
      <c r="L162" s="509"/>
      <c r="M162" s="509"/>
      <c r="N162" s="509"/>
      <c r="O162" s="509"/>
      <c r="P162" s="509"/>
      <c r="Q162" s="509"/>
      <c r="R162" s="509"/>
      <c r="S162" s="509"/>
    </row>
    <row r="163" spans="1:19" s="22" customFormat="1" ht="20.25" customHeight="1">
      <c r="A163" s="196" t="s">
        <v>2142</v>
      </c>
      <c r="B163" s="197" t="s">
        <v>2296</v>
      </c>
      <c r="C163" s="197" t="s">
        <v>2297</v>
      </c>
      <c r="D163" s="897" t="s">
        <v>2807</v>
      </c>
      <c r="E163" s="198" t="s">
        <v>1826</v>
      </c>
      <c r="F163" s="332">
        <f>E164</f>
        <v>15.36</v>
      </c>
      <c r="G163" s="332"/>
      <c r="H163" s="332">
        <f>F163*G163</f>
        <v>0</v>
      </c>
      <c r="I163" s="333">
        <v>8E-05</v>
      </c>
      <c r="J163" s="334">
        <f>F163*I163</f>
        <v>0.0012288000000000002</v>
      </c>
      <c r="K163" s="509"/>
      <c r="L163" s="509"/>
      <c r="M163" s="509"/>
      <c r="N163" s="509"/>
      <c r="O163" s="509"/>
      <c r="P163" s="509"/>
      <c r="Q163" s="704"/>
      <c r="R163" s="509"/>
      <c r="S163" s="509"/>
    </row>
    <row r="164" spans="1:19" s="130" customFormat="1" ht="21.75" customHeight="1">
      <c r="A164" s="204"/>
      <c r="B164" s="205"/>
      <c r="C164" s="206" t="s">
        <v>1203</v>
      </c>
      <c r="D164" s="898"/>
      <c r="E164" s="207">
        <f>(2.72+2.19)*2*1+(0.8+1.97)*2*1</f>
        <v>15.36</v>
      </c>
      <c r="F164" s="335"/>
      <c r="G164" s="335"/>
      <c r="H164" s="335"/>
      <c r="I164" s="336"/>
      <c r="J164" s="337"/>
      <c r="K164" s="672"/>
      <c r="L164" s="672"/>
      <c r="M164" s="672"/>
      <c r="N164" s="672"/>
      <c r="O164" s="672"/>
      <c r="P164" s="672"/>
      <c r="Q164" s="673"/>
      <c r="R164" s="508"/>
      <c r="S164" s="508"/>
    </row>
    <row r="165" spans="1:19" s="22" customFormat="1" ht="57.75" customHeight="1">
      <c r="A165" s="196"/>
      <c r="B165" s="197"/>
      <c r="C165" s="199" t="s">
        <v>2299</v>
      </c>
      <c r="D165" s="897" t="s">
        <v>2807</v>
      </c>
      <c r="E165" s="198"/>
      <c r="F165" s="332"/>
      <c r="G165" s="332"/>
      <c r="H165" s="332"/>
      <c r="I165" s="333"/>
      <c r="J165" s="334"/>
      <c r="K165" s="693"/>
      <c r="L165" s="693"/>
      <c r="M165" s="693"/>
      <c r="N165" s="693"/>
      <c r="O165" s="693"/>
      <c r="P165" s="693"/>
      <c r="Q165" s="694"/>
      <c r="R165" s="509"/>
      <c r="S165" s="509"/>
    </row>
    <row r="166" spans="1:19" s="22" customFormat="1" ht="20.25" customHeight="1">
      <c r="A166" s="196" t="s">
        <v>2146</v>
      </c>
      <c r="B166" s="197" t="s">
        <v>933</v>
      </c>
      <c r="C166" s="197" t="s">
        <v>934</v>
      </c>
      <c r="D166" s="897" t="s">
        <v>760</v>
      </c>
      <c r="E166" s="198" t="s">
        <v>1831</v>
      </c>
      <c r="F166" s="332">
        <v>1</v>
      </c>
      <c r="G166" s="332"/>
      <c r="H166" s="332">
        <f>F166*G166</f>
        <v>0</v>
      </c>
      <c r="I166" s="333">
        <v>0.00168</v>
      </c>
      <c r="J166" s="334">
        <f>F166*I166</f>
        <v>0.00168</v>
      </c>
      <c r="K166" s="693">
        <v>0.8</v>
      </c>
      <c r="L166" s="693">
        <v>1.97</v>
      </c>
      <c r="M166" s="693">
        <f>K166*L166</f>
        <v>1.576</v>
      </c>
      <c r="N166" s="693">
        <f>F166*M166</f>
        <v>1.576</v>
      </c>
      <c r="O166" s="693">
        <f>(K166+L166*2)*F166</f>
        <v>4.74</v>
      </c>
      <c r="P166" s="693">
        <v>0</v>
      </c>
      <c r="Q166" s="694" t="s">
        <v>740</v>
      </c>
      <c r="R166" s="509"/>
      <c r="S166" s="509"/>
    </row>
    <row r="167" spans="1:19" s="22" customFormat="1" ht="28.5" customHeight="1">
      <c r="A167" s="196" t="s">
        <v>2149</v>
      </c>
      <c r="B167" s="197" t="s">
        <v>1098</v>
      </c>
      <c r="C167" s="199" t="s">
        <v>1099</v>
      </c>
      <c r="D167" s="897" t="s">
        <v>1100</v>
      </c>
      <c r="E167" s="198" t="s">
        <v>1831</v>
      </c>
      <c r="F167" s="332">
        <v>1</v>
      </c>
      <c r="G167" s="332"/>
      <c r="H167" s="332">
        <f>F167*G167</f>
        <v>0</v>
      </c>
      <c r="I167" s="333">
        <v>0.00168</v>
      </c>
      <c r="J167" s="334">
        <f>F167*I167</f>
        <v>0.00168</v>
      </c>
      <c r="K167" s="693">
        <v>2.72</v>
      </c>
      <c r="L167" s="693">
        <v>2.19</v>
      </c>
      <c r="M167" s="693">
        <f>K167*L167</f>
        <v>5.9568</v>
      </c>
      <c r="N167" s="693">
        <f>F167*M167</f>
        <v>5.9568</v>
      </c>
      <c r="O167" s="693">
        <f>(K167+L167*2)*F167</f>
        <v>7.1</v>
      </c>
      <c r="P167" s="693">
        <v>0</v>
      </c>
      <c r="Q167" s="694" t="s">
        <v>740</v>
      </c>
      <c r="R167" s="509"/>
      <c r="S167" s="509"/>
    </row>
    <row r="168" spans="1:19" s="22" customFormat="1" ht="20.25" customHeight="1">
      <c r="A168" s="196"/>
      <c r="B168" s="197"/>
      <c r="C168" s="197"/>
      <c r="D168" s="897"/>
      <c r="E168" s="198"/>
      <c r="F168" s="332"/>
      <c r="G168" s="332"/>
      <c r="H168" s="332"/>
      <c r="I168" s="333"/>
      <c r="J168" s="334"/>
      <c r="K168" s="509"/>
      <c r="L168" s="509"/>
      <c r="M168" s="509"/>
      <c r="N168" s="509"/>
      <c r="O168" s="509"/>
      <c r="P168" s="509"/>
      <c r="Q168" s="509"/>
      <c r="R168" s="509"/>
      <c r="S168" s="509"/>
    </row>
    <row r="169" spans="1:19" s="22" customFormat="1" ht="30" customHeight="1">
      <c r="A169" s="196" t="s">
        <v>2152</v>
      </c>
      <c r="B169" s="197" t="s">
        <v>2280</v>
      </c>
      <c r="C169" s="199" t="s">
        <v>2281</v>
      </c>
      <c r="D169" s="897"/>
      <c r="E169" s="198" t="s">
        <v>1826</v>
      </c>
      <c r="F169" s="332">
        <f>E170</f>
        <v>605.14</v>
      </c>
      <c r="G169" s="332"/>
      <c r="H169" s="332">
        <f>F169*G169</f>
        <v>0</v>
      </c>
      <c r="I169" s="333">
        <v>4E-05</v>
      </c>
      <c r="J169" s="334">
        <f>F169*I169</f>
        <v>0.0242056</v>
      </c>
      <c r="K169" s="693"/>
      <c r="L169" s="693"/>
      <c r="M169" s="693"/>
      <c r="N169" s="693"/>
      <c r="O169" s="693"/>
      <c r="P169" s="693"/>
      <c r="Q169" s="694"/>
      <c r="R169" s="509"/>
      <c r="S169" s="509"/>
    </row>
    <row r="170" spans="1:19" s="130" customFormat="1" ht="30" customHeight="1">
      <c r="A170" s="204"/>
      <c r="B170" s="205"/>
      <c r="C170" s="206" t="s">
        <v>1204</v>
      </c>
      <c r="D170" s="898"/>
      <c r="E170" s="207">
        <f>7.5+4.95+70.2+30.45+138.6+286.2+20.1+13.8+2.9+2.1+6.3+6+4.2+4.74+7.1</f>
        <v>605.14</v>
      </c>
      <c r="F170" s="335"/>
      <c r="G170" s="335"/>
      <c r="H170" s="335"/>
      <c r="I170" s="336"/>
      <c r="J170" s="337"/>
      <c r="K170" s="672"/>
      <c r="L170" s="672"/>
      <c r="M170" s="672"/>
      <c r="N170" s="672"/>
      <c r="O170" s="672"/>
      <c r="P170" s="672"/>
      <c r="Q170" s="673"/>
      <c r="R170" s="508"/>
      <c r="S170" s="508"/>
    </row>
    <row r="171" spans="1:19" s="22" customFormat="1" ht="30" customHeight="1">
      <c r="A171" s="196" t="s">
        <v>2156</v>
      </c>
      <c r="B171" s="197" t="s">
        <v>2284</v>
      </c>
      <c r="C171" s="199" t="s">
        <v>2285</v>
      </c>
      <c r="D171" s="897"/>
      <c r="E171" s="198" t="s">
        <v>1826</v>
      </c>
      <c r="F171" s="332">
        <f>E172</f>
        <v>218.1</v>
      </c>
      <c r="G171" s="332"/>
      <c r="H171" s="332">
        <f>F171*G171</f>
        <v>0</v>
      </c>
      <c r="I171" s="333">
        <v>0.00016</v>
      </c>
      <c r="J171" s="334">
        <f>F171*I171</f>
        <v>0.034896</v>
      </c>
      <c r="K171" s="693"/>
      <c r="L171" s="693"/>
      <c r="M171" s="693"/>
      <c r="N171" s="693"/>
      <c r="O171" s="693"/>
      <c r="P171" s="693"/>
      <c r="Q171" s="694"/>
      <c r="R171" s="509"/>
      <c r="S171" s="509"/>
    </row>
    <row r="172" spans="1:19" s="130" customFormat="1" ht="30" customHeight="1">
      <c r="A172" s="204"/>
      <c r="B172" s="205"/>
      <c r="C172" s="206" t="s">
        <v>1205</v>
      </c>
      <c r="D172" s="898"/>
      <c r="E172" s="207">
        <f>3+1.35+16.2+9.45+37.8+127.2+9+4.2+2.1+0.9+2.1+2.4+2.4</f>
        <v>218.1</v>
      </c>
      <c r="F172" s="335"/>
      <c r="G172" s="335"/>
      <c r="H172" s="335"/>
      <c r="I172" s="336"/>
      <c r="J172" s="337"/>
      <c r="K172" s="672"/>
      <c r="L172" s="672"/>
      <c r="M172" s="672"/>
      <c r="N172" s="672"/>
      <c r="O172" s="672"/>
      <c r="P172" s="672"/>
      <c r="Q172" s="673"/>
      <c r="R172" s="508"/>
      <c r="S172" s="508"/>
    </row>
    <row r="173" spans="1:19" s="22" customFormat="1" ht="15" customHeight="1">
      <c r="A173" s="196"/>
      <c r="B173" s="197"/>
      <c r="C173" s="197"/>
      <c r="D173" s="897"/>
      <c r="E173" s="198"/>
      <c r="F173" s="332"/>
      <c r="G173" s="332"/>
      <c r="H173" s="332"/>
      <c r="I173" s="333"/>
      <c r="J173" s="334"/>
      <c r="K173" s="509"/>
      <c r="L173" s="509"/>
      <c r="M173" s="509"/>
      <c r="N173" s="509"/>
      <c r="O173" s="509"/>
      <c r="P173" s="509"/>
      <c r="Q173" s="509"/>
      <c r="R173" s="509"/>
      <c r="S173" s="509"/>
    </row>
    <row r="174" spans="1:19" s="22" customFormat="1" ht="20.25" customHeight="1">
      <c r="A174" s="196" t="s">
        <v>2160</v>
      </c>
      <c r="B174" s="197" t="s">
        <v>938</v>
      </c>
      <c r="C174" s="197" t="s">
        <v>939</v>
      </c>
      <c r="D174" s="897" t="s">
        <v>2792</v>
      </c>
      <c r="E174" s="198" t="s">
        <v>1831</v>
      </c>
      <c r="F174" s="332">
        <v>1</v>
      </c>
      <c r="G174" s="332"/>
      <c r="H174" s="332">
        <f>F174*G174</f>
        <v>0</v>
      </c>
      <c r="I174" s="333">
        <v>0.00043</v>
      </c>
      <c r="J174" s="334">
        <f>F174*I174</f>
        <v>0.00043</v>
      </c>
      <c r="K174" s="509"/>
      <c r="L174" s="509"/>
      <c r="M174" s="509"/>
      <c r="N174" s="509"/>
      <c r="O174" s="509"/>
      <c r="P174" s="509"/>
      <c r="Q174" s="509"/>
      <c r="R174" s="509"/>
      <c r="S174" s="509"/>
    </row>
    <row r="175" spans="1:19" s="22" customFormat="1" ht="20.25" customHeight="1">
      <c r="A175" s="196" t="s">
        <v>2164</v>
      </c>
      <c r="B175" s="197" t="s">
        <v>1101</v>
      </c>
      <c r="C175" s="197" t="s">
        <v>941</v>
      </c>
      <c r="D175" s="897" t="s">
        <v>1102</v>
      </c>
      <c r="E175" s="198" t="s">
        <v>1831</v>
      </c>
      <c r="F175" s="332">
        <v>1</v>
      </c>
      <c r="G175" s="332"/>
      <c r="H175" s="332">
        <f>F175*G175</f>
        <v>0</v>
      </c>
      <c r="I175" s="333">
        <v>0.00168</v>
      </c>
      <c r="J175" s="334">
        <f>F175*I175</f>
        <v>0.00168</v>
      </c>
      <c r="K175" s="693">
        <v>0.7</v>
      </c>
      <c r="L175" s="693">
        <v>1.5</v>
      </c>
      <c r="M175" s="693">
        <f>K175*L175</f>
        <v>1.0499999999999998</v>
      </c>
      <c r="N175" s="693">
        <f>F175*M175</f>
        <v>1.0499999999999998</v>
      </c>
      <c r="O175" s="693">
        <f>(K175+L175*2)*F175</f>
        <v>3.7</v>
      </c>
      <c r="P175" s="693">
        <v>0</v>
      </c>
      <c r="Q175" s="694" t="s">
        <v>740</v>
      </c>
      <c r="R175" s="509"/>
      <c r="S175" s="509"/>
    </row>
    <row r="176" spans="1:19" s="22" customFormat="1" ht="15.75" customHeight="1" thickBot="1">
      <c r="A176" s="255"/>
      <c r="B176" s="256"/>
      <c r="C176" s="256"/>
      <c r="D176" s="906"/>
      <c r="E176" s="257"/>
      <c r="F176" s="368"/>
      <c r="G176" s="368"/>
      <c r="H176" s="368"/>
      <c r="I176" s="369"/>
      <c r="J176" s="370"/>
      <c r="K176" s="509"/>
      <c r="L176" s="509"/>
      <c r="M176" s="509"/>
      <c r="N176" s="509"/>
      <c r="O176" s="509"/>
      <c r="P176" s="509"/>
      <c r="Q176" s="509"/>
      <c r="R176" s="509"/>
      <c r="S176" s="509"/>
    </row>
    <row r="177" spans="1:19" ht="16.5" customHeight="1" thickBot="1">
      <c r="A177" s="266" t="s">
        <v>2322</v>
      </c>
      <c r="B177" s="175" t="s">
        <v>2323</v>
      </c>
      <c r="C177" s="176" t="s">
        <v>2324</v>
      </c>
      <c r="D177" s="175"/>
      <c r="E177" s="175"/>
      <c r="F177" s="341"/>
      <c r="G177" s="341"/>
      <c r="H177" s="342">
        <f>SUM(H178:H180)</f>
        <v>0</v>
      </c>
      <c r="I177" s="343"/>
      <c r="J177" s="1012">
        <f>SUM(J178:J180)</f>
        <v>0.30572</v>
      </c>
      <c r="K177" s="670"/>
      <c r="L177" s="670"/>
      <c r="M177" s="670"/>
      <c r="N177" s="670"/>
      <c r="O177" s="670"/>
      <c r="P177" s="670"/>
      <c r="Q177" s="670"/>
      <c r="R177" s="670"/>
      <c r="S177" s="670"/>
    </row>
    <row r="178" spans="1:19" s="22" customFormat="1" ht="20.25" customHeight="1">
      <c r="A178" s="196" t="s">
        <v>2325</v>
      </c>
      <c r="B178" s="197" t="s">
        <v>2329</v>
      </c>
      <c r="C178" s="197" t="s">
        <v>1206</v>
      </c>
      <c r="D178" s="897" t="s">
        <v>2749</v>
      </c>
      <c r="E178" s="198" t="s">
        <v>2331</v>
      </c>
      <c r="F178" s="332">
        <v>4</v>
      </c>
      <c r="G178" s="332"/>
      <c r="H178" s="332">
        <f>F178*G178</f>
        <v>0</v>
      </c>
      <c r="I178" s="449"/>
      <c r="J178" s="334"/>
      <c r="K178" s="509"/>
      <c r="L178" s="509"/>
      <c r="M178" s="509"/>
      <c r="N178" s="509"/>
      <c r="O178" s="509"/>
      <c r="P178" s="509"/>
      <c r="Q178" s="509"/>
      <c r="R178" s="509"/>
      <c r="S178" s="509"/>
    </row>
    <row r="179" spans="1:59" s="22" customFormat="1" ht="26.25" customHeight="1">
      <c r="A179" s="196" t="s">
        <v>2328</v>
      </c>
      <c r="B179" s="197" t="s">
        <v>2333</v>
      </c>
      <c r="C179" s="199" t="s">
        <v>2334</v>
      </c>
      <c r="D179" s="897" t="s">
        <v>2749</v>
      </c>
      <c r="E179" s="198" t="s">
        <v>1718</v>
      </c>
      <c r="F179" s="332">
        <v>4</v>
      </c>
      <c r="G179" s="332"/>
      <c r="H179" s="332">
        <f>F179*G179</f>
        <v>0</v>
      </c>
      <c r="I179" s="364">
        <v>0.07643</v>
      </c>
      <c r="J179" s="1030">
        <f>F179*I179</f>
        <v>0.30572</v>
      </c>
      <c r="K179" s="509"/>
      <c r="L179" s="509"/>
      <c r="M179" s="509"/>
      <c r="N179" s="509"/>
      <c r="O179" s="509"/>
      <c r="P179" s="509"/>
      <c r="Q179" s="509"/>
      <c r="R179" s="509"/>
      <c r="S179" s="509"/>
      <c r="AA179" s="22">
        <v>12</v>
      </c>
      <c r="AB179" s="22">
        <v>0</v>
      </c>
      <c r="AC179" s="22">
        <v>30</v>
      </c>
      <c r="BB179" s="22">
        <v>1</v>
      </c>
      <c r="BC179" s="22">
        <f>IF(BB179=1,G179,0)</f>
        <v>0</v>
      </c>
      <c r="BD179" s="22">
        <f>IF(BB179=2,G179,0)</f>
        <v>0</v>
      </c>
      <c r="BE179" s="22">
        <f>IF(BB179=3,G179,0)</f>
        <v>0</v>
      </c>
      <c r="BF179" s="22">
        <f>IF(BB179=4,G179,0)</f>
        <v>0</v>
      </c>
      <c r="BG179" s="22">
        <f>IF(BB179=5,G179,0)</f>
        <v>0</v>
      </c>
    </row>
    <row r="180" spans="1:19" s="22" customFormat="1" ht="29.25" customHeight="1" thickBot="1">
      <c r="A180" s="196" t="s">
        <v>2332</v>
      </c>
      <c r="B180" s="197" t="s">
        <v>2336</v>
      </c>
      <c r="C180" s="199" t="s">
        <v>2337</v>
      </c>
      <c r="D180" s="897" t="s">
        <v>2749</v>
      </c>
      <c r="E180" s="198" t="s">
        <v>1826</v>
      </c>
      <c r="F180" s="332">
        <v>24</v>
      </c>
      <c r="G180" s="332"/>
      <c r="H180" s="332">
        <f>F180*G180</f>
        <v>0</v>
      </c>
      <c r="I180" s="333"/>
      <c r="J180" s="334"/>
      <c r="K180" s="509"/>
      <c r="L180" s="509"/>
      <c r="M180" s="509"/>
      <c r="N180" s="509"/>
      <c r="O180" s="509"/>
      <c r="P180" s="509"/>
      <c r="Q180" s="509"/>
      <c r="R180" s="509"/>
      <c r="S180" s="509"/>
    </row>
    <row r="181" spans="1:19" ht="16.5" customHeight="1" thickBot="1">
      <c r="A181" s="266" t="s">
        <v>2338</v>
      </c>
      <c r="B181" s="175" t="s">
        <v>2339</v>
      </c>
      <c r="C181" s="176" t="s">
        <v>2340</v>
      </c>
      <c r="D181" s="175"/>
      <c r="E181" s="175"/>
      <c r="F181" s="341"/>
      <c r="G181" s="341"/>
      <c r="H181" s="342">
        <f>SUM(H182:H191)</f>
        <v>0</v>
      </c>
      <c r="I181" s="343"/>
      <c r="J181" s="344">
        <f>SUM(J182:J190)</f>
        <v>50.64892956000001</v>
      </c>
      <c r="K181" s="670"/>
      <c r="L181" s="670"/>
      <c r="M181" s="670"/>
      <c r="N181" s="670"/>
      <c r="O181" s="670"/>
      <c r="P181" s="670"/>
      <c r="Q181" s="670"/>
      <c r="R181" s="670"/>
      <c r="S181" s="670"/>
    </row>
    <row r="182" spans="1:19" s="22" customFormat="1" ht="12.75" customHeight="1">
      <c r="A182" s="190"/>
      <c r="B182" s="191"/>
      <c r="C182" s="265"/>
      <c r="D182" s="896"/>
      <c r="E182" s="192"/>
      <c r="F182" s="345"/>
      <c r="G182" s="345"/>
      <c r="H182" s="345"/>
      <c r="I182" s="346"/>
      <c r="J182" s="347"/>
      <c r="K182" s="509"/>
      <c r="L182" s="509"/>
      <c r="M182" s="509"/>
      <c r="N182" s="509"/>
      <c r="O182" s="509"/>
      <c r="P182" s="509"/>
      <c r="Q182" s="509"/>
      <c r="R182" s="509"/>
      <c r="S182" s="509"/>
    </row>
    <row r="183" spans="1:19" s="22" customFormat="1" ht="23.25" customHeight="1">
      <c r="A183" s="196" t="s">
        <v>2341</v>
      </c>
      <c r="B183" s="197" t="s">
        <v>2342</v>
      </c>
      <c r="C183" s="199" t="s">
        <v>2343</v>
      </c>
      <c r="D183" s="897"/>
      <c r="E183" s="198" t="s">
        <v>1748</v>
      </c>
      <c r="F183" s="332">
        <f>(1714+324.95)*1.08</f>
        <v>2202.0660000000003</v>
      </c>
      <c r="G183" s="332"/>
      <c r="H183" s="332">
        <f aca="true" t="shared" si="22" ref="H183:H191">F183*G183</f>
        <v>0</v>
      </c>
      <c r="I183" s="333">
        <v>0.01838</v>
      </c>
      <c r="J183" s="334">
        <f aca="true" t="shared" si="23" ref="J183:J190">F183*I183</f>
        <v>40.47397308000001</v>
      </c>
      <c r="K183" s="509"/>
      <c r="L183" s="509"/>
      <c r="M183" s="509"/>
      <c r="N183" s="509"/>
      <c r="O183" s="509"/>
      <c r="P183" s="509"/>
      <c r="Q183" s="509"/>
      <c r="R183" s="509"/>
      <c r="S183" s="509"/>
    </row>
    <row r="184" spans="1:19" s="22" customFormat="1" ht="23.25" customHeight="1">
      <c r="A184" s="196" t="s">
        <v>2344</v>
      </c>
      <c r="B184" s="197" t="s">
        <v>2345</v>
      </c>
      <c r="C184" s="199" t="s">
        <v>2346</v>
      </c>
      <c r="D184" s="897"/>
      <c r="E184" s="198" t="s">
        <v>1748</v>
      </c>
      <c r="F184" s="332">
        <f>F183*4</f>
        <v>8808.264000000001</v>
      </c>
      <c r="G184" s="332"/>
      <c r="H184" s="332">
        <f t="shared" si="22"/>
        <v>0</v>
      </c>
      <c r="I184" s="333">
        <v>0.00097</v>
      </c>
      <c r="J184" s="334">
        <f t="shared" si="23"/>
        <v>8.544016080000002</v>
      </c>
      <c r="K184" s="509"/>
      <c r="L184" s="509"/>
      <c r="M184" s="509"/>
      <c r="N184" s="509"/>
      <c r="O184" s="509"/>
      <c r="P184" s="509"/>
      <c r="Q184" s="509"/>
      <c r="R184" s="509"/>
      <c r="S184" s="509"/>
    </row>
    <row r="185" spans="1:19" s="22" customFormat="1" ht="23.25" customHeight="1">
      <c r="A185" s="196" t="s">
        <v>2347</v>
      </c>
      <c r="B185" s="197" t="s">
        <v>2348</v>
      </c>
      <c r="C185" s="199" t="s">
        <v>2349</v>
      </c>
      <c r="D185" s="897"/>
      <c r="E185" s="198" t="s">
        <v>1748</v>
      </c>
      <c r="F185" s="332">
        <f>F183</f>
        <v>2202.0660000000003</v>
      </c>
      <c r="G185" s="332"/>
      <c r="H185" s="332">
        <f t="shared" si="22"/>
        <v>0</v>
      </c>
      <c r="I185" s="333">
        <v>0</v>
      </c>
      <c r="J185" s="334">
        <f t="shared" si="23"/>
        <v>0</v>
      </c>
      <c r="K185" s="509"/>
      <c r="L185" s="509"/>
      <c r="M185" s="509"/>
      <c r="N185" s="509"/>
      <c r="O185" s="509"/>
      <c r="P185" s="509"/>
      <c r="Q185" s="509"/>
      <c r="R185" s="509"/>
      <c r="S185" s="509"/>
    </row>
    <row r="186" spans="1:19" s="22" customFormat="1" ht="23.25" customHeight="1">
      <c r="A186" s="196" t="s">
        <v>2350</v>
      </c>
      <c r="B186" s="197" t="s">
        <v>2351</v>
      </c>
      <c r="C186" s="199" t="s">
        <v>2352</v>
      </c>
      <c r="D186" s="897"/>
      <c r="E186" s="198" t="s">
        <v>1748</v>
      </c>
      <c r="F186" s="332">
        <f>F183</f>
        <v>2202.0660000000003</v>
      </c>
      <c r="G186" s="332"/>
      <c r="H186" s="332">
        <f t="shared" si="22"/>
        <v>0</v>
      </c>
      <c r="I186" s="333">
        <v>0</v>
      </c>
      <c r="J186" s="334">
        <f t="shared" si="23"/>
        <v>0</v>
      </c>
      <c r="K186" s="509"/>
      <c r="L186" s="509"/>
      <c r="M186" s="509"/>
      <c r="N186" s="509"/>
      <c r="O186" s="509"/>
      <c r="P186" s="509"/>
      <c r="Q186" s="509"/>
      <c r="R186" s="509"/>
      <c r="S186" s="509"/>
    </row>
    <row r="187" spans="1:19" s="22" customFormat="1" ht="23.25" customHeight="1">
      <c r="A187" s="196" t="s">
        <v>2353</v>
      </c>
      <c r="B187" s="197" t="s">
        <v>2354</v>
      </c>
      <c r="C187" s="199" t="s">
        <v>2355</v>
      </c>
      <c r="D187" s="897"/>
      <c r="E187" s="198" t="s">
        <v>1748</v>
      </c>
      <c r="F187" s="332">
        <f>F186*4</f>
        <v>8808.264000000001</v>
      </c>
      <c r="G187" s="332"/>
      <c r="H187" s="332">
        <f t="shared" si="22"/>
        <v>0</v>
      </c>
      <c r="I187" s="333">
        <v>0</v>
      </c>
      <c r="J187" s="334">
        <f t="shared" si="23"/>
        <v>0</v>
      </c>
      <c r="K187" s="509"/>
      <c r="L187" s="509"/>
      <c r="M187" s="509"/>
      <c r="N187" s="509"/>
      <c r="O187" s="509"/>
      <c r="P187" s="509"/>
      <c r="Q187" s="509"/>
      <c r="R187" s="509"/>
      <c r="S187" s="509"/>
    </row>
    <row r="188" spans="1:19" s="22" customFormat="1" ht="23.25" customHeight="1">
      <c r="A188" s="196" t="s">
        <v>2356</v>
      </c>
      <c r="B188" s="197" t="s">
        <v>2357</v>
      </c>
      <c r="C188" s="199" t="s">
        <v>2358</v>
      </c>
      <c r="D188" s="897"/>
      <c r="E188" s="198" t="s">
        <v>1748</v>
      </c>
      <c r="F188" s="332">
        <f>F186</f>
        <v>2202.0660000000003</v>
      </c>
      <c r="G188" s="332"/>
      <c r="H188" s="332">
        <f t="shared" si="22"/>
        <v>0</v>
      </c>
      <c r="I188" s="333">
        <v>0</v>
      </c>
      <c r="J188" s="334">
        <f t="shared" si="23"/>
        <v>0</v>
      </c>
      <c r="K188" s="509"/>
      <c r="L188" s="509"/>
      <c r="M188" s="509"/>
      <c r="N188" s="509"/>
      <c r="O188" s="509"/>
      <c r="P188" s="509"/>
      <c r="Q188" s="509"/>
      <c r="R188" s="509"/>
      <c r="S188" s="509"/>
    </row>
    <row r="189" spans="1:19" s="22" customFormat="1" ht="23.25" customHeight="1">
      <c r="A189" s="196" t="s">
        <v>2359</v>
      </c>
      <c r="B189" s="197" t="s">
        <v>2360</v>
      </c>
      <c r="C189" s="199" t="s">
        <v>2361</v>
      </c>
      <c r="D189" s="897"/>
      <c r="E189" s="198" t="s">
        <v>1748</v>
      </c>
      <c r="F189" s="332">
        <f>218.1*1.2</f>
        <v>261.71999999999997</v>
      </c>
      <c r="G189" s="332"/>
      <c r="H189" s="332">
        <f t="shared" si="22"/>
        <v>0</v>
      </c>
      <c r="I189" s="333">
        <v>0.00592</v>
      </c>
      <c r="J189" s="334">
        <f t="shared" si="23"/>
        <v>1.5493823999999998</v>
      </c>
      <c r="K189" s="509"/>
      <c r="L189" s="509"/>
      <c r="M189" s="509"/>
      <c r="N189" s="509"/>
      <c r="O189" s="509"/>
      <c r="P189" s="509"/>
      <c r="Q189" s="509"/>
      <c r="R189" s="509"/>
      <c r="S189" s="509"/>
    </row>
    <row r="190" spans="1:19" s="22" customFormat="1" ht="23.25" customHeight="1">
      <c r="A190" s="196" t="s">
        <v>2362</v>
      </c>
      <c r="B190" s="197" t="s">
        <v>2363</v>
      </c>
      <c r="C190" s="199" t="s">
        <v>2364</v>
      </c>
      <c r="D190" s="897"/>
      <c r="E190" s="198" t="s">
        <v>1748</v>
      </c>
      <c r="F190" s="332">
        <f>(1714+324.95)</f>
        <v>2038.95</v>
      </c>
      <c r="G190" s="332"/>
      <c r="H190" s="332">
        <f t="shared" si="22"/>
        <v>0</v>
      </c>
      <c r="I190" s="333">
        <v>4E-05</v>
      </c>
      <c r="J190" s="334">
        <f t="shared" si="23"/>
        <v>0.081558</v>
      </c>
      <c r="K190" s="509"/>
      <c r="L190" s="509"/>
      <c r="M190" s="509"/>
      <c r="N190" s="509"/>
      <c r="O190" s="509"/>
      <c r="P190" s="509"/>
      <c r="Q190" s="509"/>
      <c r="R190" s="509"/>
      <c r="S190" s="509"/>
    </row>
    <row r="191" spans="1:19" s="22" customFormat="1" ht="23.25" customHeight="1" thickBot="1">
      <c r="A191" s="255" t="s">
        <v>2365</v>
      </c>
      <c r="B191" s="256" t="s">
        <v>2366</v>
      </c>
      <c r="C191" s="264" t="s">
        <v>2367</v>
      </c>
      <c r="D191" s="906"/>
      <c r="E191" s="257" t="s">
        <v>1783</v>
      </c>
      <c r="F191" s="1120">
        <f>J181+J177+J137+J126+J91+J85+J71+J37+J35+J28+J18</f>
        <v>342.44644535062497</v>
      </c>
      <c r="G191" s="368"/>
      <c r="H191" s="368">
        <f t="shared" si="22"/>
        <v>0</v>
      </c>
      <c r="I191" s="369">
        <v>0</v>
      </c>
      <c r="J191" s="370"/>
      <c r="K191" s="509"/>
      <c r="L191" s="509"/>
      <c r="M191" s="509"/>
      <c r="N191" s="509"/>
      <c r="O191" s="509"/>
      <c r="P191" s="509"/>
      <c r="Q191" s="509"/>
      <c r="R191" s="509"/>
      <c r="S191" s="509"/>
    </row>
    <row r="192" spans="1:19" ht="16.5" customHeight="1" thickBot="1">
      <c r="A192" s="266" t="s">
        <v>2368</v>
      </c>
      <c r="B192" s="175" t="s">
        <v>2369</v>
      </c>
      <c r="C192" s="176" t="s">
        <v>2370</v>
      </c>
      <c r="D192" s="175"/>
      <c r="E192" s="175"/>
      <c r="F192" s="341"/>
      <c r="G192" s="341"/>
      <c r="H192" s="1011">
        <f>SUM(H193:H251)</f>
        <v>0</v>
      </c>
      <c r="I192" s="343"/>
      <c r="J192" s="344">
        <f>SUM(J193:J241)</f>
        <v>139.23985459999997</v>
      </c>
      <c r="K192" s="670"/>
      <c r="L192" s="670"/>
      <c r="M192" s="670"/>
      <c r="N192" s="670"/>
      <c r="O192" s="670"/>
      <c r="P192" s="670"/>
      <c r="Q192" s="670"/>
      <c r="R192" s="670"/>
      <c r="S192" s="670"/>
    </row>
    <row r="193" spans="1:19" s="22" customFormat="1" ht="21.75" customHeight="1">
      <c r="A193" s="190" t="s">
        <v>2371</v>
      </c>
      <c r="B193" s="191" t="s">
        <v>2387</v>
      </c>
      <c r="C193" s="265" t="s">
        <v>2388</v>
      </c>
      <c r="D193" s="896" t="s">
        <v>2761</v>
      </c>
      <c r="E193" s="192" t="s">
        <v>1748</v>
      </c>
      <c r="F193" s="345">
        <f>1714.2-85*0.5</f>
        <v>1671.7</v>
      </c>
      <c r="G193" s="345"/>
      <c r="H193" s="345">
        <f>F193*G193</f>
        <v>0</v>
      </c>
      <c r="I193" s="346">
        <v>0.023</v>
      </c>
      <c r="J193" s="347">
        <f>F193*I193</f>
        <v>38.4491</v>
      </c>
      <c r="K193" s="509"/>
      <c r="L193" s="509"/>
      <c r="M193" s="509"/>
      <c r="N193" s="509"/>
      <c r="O193" s="509"/>
      <c r="P193" s="509"/>
      <c r="Q193" s="509"/>
      <c r="R193" s="509"/>
      <c r="S193" s="509"/>
    </row>
    <row r="194" spans="1:19" s="22" customFormat="1" ht="21.75" customHeight="1">
      <c r="A194" s="196" t="s">
        <v>2374</v>
      </c>
      <c r="B194" s="197" t="s">
        <v>2390</v>
      </c>
      <c r="C194" s="199" t="s">
        <v>2391</v>
      </c>
      <c r="D194" s="897" t="s">
        <v>2806</v>
      </c>
      <c r="E194" s="198" t="s">
        <v>1709</v>
      </c>
      <c r="F194" s="332">
        <f>E195</f>
        <v>0.7695</v>
      </c>
      <c r="G194" s="332"/>
      <c r="H194" s="332">
        <f>F194*G194</f>
        <v>0</v>
      </c>
      <c r="I194" s="333">
        <v>1.8</v>
      </c>
      <c r="J194" s="334">
        <f>F194*I194</f>
        <v>1.3851</v>
      </c>
      <c r="K194" s="509"/>
      <c r="L194" s="509"/>
      <c r="M194" s="509"/>
      <c r="N194" s="509"/>
      <c r="O194" s="509"/>
      <c r="P194" s="509"/>
      <c r="Q194" s="509"/>
      <c r="R194" s="509"/>
      <c r="S194" s="509"/>
    </row>
    <row r="195" spans="1:19" s="130" customFormat="1" ht="22.5" customHeight="1">
      <c r="A195" s="204"/>
      <c r="B195" s="205"/>
      <c r="C195" s="206" t="s">
        <v>1207</v>
      </c>
      <c r="D195" s="898"/>
      <c r="E195" s="207">
        <f>1.8*0.95*0.45</f>
        <v>0.7695</v>
      </c>
      <c r="F195" s="335"/>
      <c r="G195" s="335"/>
      <c r="H195" s="335"/>
      <c r="I195" s="336"/>
      <c r="J195" s="337"/>
      <c r="K195" s="672"/>
      <c r="L195" s="672"/>
      <c r="M195" s="672"/>
      <c r="N195" s="672"/>
      <c r="O195" s="672"/>
      <c r="P195" s="672"/>
      <c r="Q195" s="673"/>
      <c r="R195" s="508"/>
      <c r="S195" s="508"/>
    </row>
    <row r="196" spans="1:19" s="22" customFormat="1" ht="21.75" customHeight="1">
      <c r="A196" s="196" t="s">
        <v>2379</v>
      </c>
      <c r="B196" s="197" t="s">
        <v>2394</v>
      </c>
      <c r="C196" s="199" t="s">
        <v>2395</v>
      </c>
      <c r="D196" s="897" t="s">
        <v>2806</v>
      </c>
      <c r="E196" s="198" t="s">
        <v>1709</v>
      </c>
      <c r="F196" s="332">
        <v>0.52</v>
      </c>
      <c r="G196" s="332"/>
      <c r="H196" s="332">
        <f>F196*G196</f>
        <v>0</v>
      </c>
      <c r="I196" s="333">
        <v>2.4</v>
      </c>
      <c r="J196" s="334">
        <f>F196*I196</f>
        <v>1.248</v>
      </c>
      <c r="K196" s="509"/>
      <c r="L196" s="509"/>
      <c r="M196" s="509"/>
      <c r="N196" s="509"/>
      <c r="O196" s="509"/>
      <c r="P196" s="509"/>
      <c r="Q196" s="509"/>
      <c r="R196" s="509"/>
      <c r="S196" s="509"/>
    </row>
    <row r="197" spans="1:60" s="259" customFormat="1" ht="19.5" customHeight="1">
      <c r="A197" s="196" t="s">
        <v>2383</v>
      </c>
      <c r="B197" s="687" t="s">
        <v>2375</v>
      </c>
      <c r="C197" s="688" t="s">
        <v>2376</v>
      </c>
      <c r="D197" s="897" t="s">
        <v>2806</v>
      </c>
      <c r="E197" s="287" t="s">
        <v>1748</v>
      </c>
      <c r="F197" s="387">
        <f>SUM(E198)</f>
        <v>84.99999999999999</v>
      </c>
      <c r="G197" s="387"/>
      <c r="H197" s="387">
        <f>F197*G197</f>
        <v>0</v>
      </c>
      <c r="I197" s="689">
        <v>0.059</v>
      </c>
      <c r="J197" s="690">
        <f>F197*I197</f>
        <v>5.014999999999999</v>
      </c>
      <c r="K197" s="258"/>
      <c r="L197" s="258"/>
      <c r="M197" s="214"/>
      <c r="N197" s="691"/>
      <c r="O197" s="691"/>
      <c r="P197" s="258"/>
      <c r="Q197" s="258"/>
      <c r="R197" s="258"/>
      <c r="S197" s="258"/>
      <c r="T197" s="718"/>
      <c r="U197" s="718"/>
      <c r="V197" s="718"/>
      <c r="W197" s="718"/>
      <c r="X197" s="718"/>
      <c r="Y197" s="718"/>
      <c r="Z197" s="718"/>
      <c r="AA197" s="718"/>
      <c r="AB197" s="718">
        <v>12</v>
      </c>
      <c r="AC197" s="718">
        <v>0</v>
      </c>
      <c r="AD197" s="718">
        <v>25</v>
      </c>
      <c r="AE197" s="718"/>
      <c r="AF197" s="718"/>
      <c r="AG197" s="718"/>
      <c r="AH197" s="718"/>
      <c r="AI197" s="718"/>
      <c r="AJ197" s="718"/>
      <c r="AK197" s="718"/>
      <c r="AL197" s="718"/>
      <c r="AM197" s="718"/>
      <c r="AN197" s="718"/>
      <c r="AO197" s="718"/>
      <c r="AP197" s="718"/>
      <c r="AQ197" s="718"/>
      <c r="AR197" s="718"/>
      <c r="AS197" s="718"/>
      <c r="AT197" s="718"/>
      <c r="AU197" s="718"/>
      <c r="AV197" s="718"/>
      <c r="AW197" s="718"/>
      <c r="AX197" s="718"/>
      <c r="AY197" s="718"/>
      <c r="AZ197" s="718"/>
      <c r="BA197" s="718"/>
      <c r="BB197" s="718"/>
      <c r="BC197" s="718">
        <v>1</v>
      </c>
      <c r="BD197" s="718">
        <f>IF(BC197=1,H197,0)</f>
        <v>0</v>
      </c>
      <c r="BE197" s="718">
        <f>IF(BC197=2,H197,0)</f>
        <v>0</v>
      </c>
      <c r="BF197" s="718">
        <f>IF(BC197=3,H197,0)</f>
        <v>0</v>
      </c>
      <c r="BG197" s="718">
        <f>IF(BC197=4,H197,0)</f>
        <v>0</v>
      </c>
      <c r="BH197" s="718">
        <f>IF(BC197=5,H197,0)</f>
        <v>0</v>
      </c>
    </row>
    <row r="198" spans="1:19" s="130" customFormat="1" ht="20.25" customHeight="1">
      <c r="A198" s="204"/>
      <c r="B198" s="205" t="s">
        <v>1208</v>
      </c>
      <c r="C198" s="205" t="s">
        <v>1209</v>
      </c>
      <c r="D198" s="898"/>
      <c r="E198" s="207">
        <f>(35.4+43.8)*1+(1.3+4.5)*1</f>
        <v>84.99999999999999</v>
      </c>
      <c r="F198" s="335"/>
      <c r="G198" s="335"/>
      <c r="H198" s="335"/>
      <c r="I198" s="336"/>
      <c r="J198" s="337"/>
      <c r="K198" s="672"/>
      <c r="L198" s="672"/>
      <c r="M198" s="672"/>
      <c r="N198" s="672"/>
      <c r="O198" s="672"/>
      <c r="P198" s="672"/>
      <c r="Q198" s="673"/>
      <c r="R198" s="508"/>
      <c r="S198" s="508"/>
    </row>
    <row r="199" spans="1:60" s="259" customFormat="1" ht="25.5" customHeight="1">
      <c r="A199" s="692" t="s">
        <v>2386</v>
      </c>
      <c r="B199" s="687" t="s">
        <v>2384</v>
      </c>
      <c r="C199" s="688" t="s">
        <v>2385</v>
      </c>
      <c r="D199" s="897" t="s">
        <v>2806</v>
      </c>
      <c r="E199" s="287" t="s">
        <v>1748</v>
      </c>
      <c r="F199" s="387">
        <f>SUM(E200:E200)</f>
        <v>84.99999999999999</v>
      </c>
      <c r="G199" s="387"/>
      <c r="H199" s="387">
        <f>F199*G199</f>
        <v>0</v>
      </c>
      <c r="I199" s="689">
        <v>0.014</v>
      </c>
      <c r="J199" s="690">
        <f>F199*I199</f>
        <v>1.1899999999999997</v>
      </c>
      <c r="K199" s="258"/>
      <c r="L199" s="258"/>
      <c r="M199" s="214"/>
      <c r="N199" s="691"/>
      <c r="O199" s="691"/>
      <c r="P199" s="258"/>
      <c r="Q199" s="258"/>
      <c r="R199" s="258"/>
      <c r="S199" s="258"/>
      <c r="T199" s="258"/>
      <c r="U199" s="258"/>
      <c r="V199" s="258"/>
      <c r="W199" s="258"/>
      <c r="X199" s="718"/>
      <c r="Y199" s="718"/>
      <c r="Z199" s="718"/>
      <c r="AA199" s="718"/>
      <c r="AB199" s="718">
        <v>12</v>
      </c>
      <c r="AC199" s="718">
        <v>0</v>
      </c>
      <c r="AD199" s="718">
        <v>9</v>
      </c>
      <c r="AE199" s="718"/>
      <c r="AF199" s="718"/>
      <c r="AG199" s="718"/>
      <c r="AH199" s="718"/>
      <c r="AI199" s="718"/>
      <c r="AJ199" s="718"/>
      <c r="AK199" s="718"/>
      <c r="AL199" s="718"/>
      <c r="AM199" s="718"/>
      <c r="AN199" s="718"/>
      <c r="AO199" s="718"/>
      <c r="AP199" s="718"/>
      <c r="AQ199" s="718"/>
      <c r="AR199" s="718"/>
      <c r="AS199" s="718"/>
      <c r="AT199" s="718"/>
      <c r="AU199" s="718"/>
      <c r="AV199" s="718"/>
      <c r="AW199" s="718"/>
      <c r="AX199" s="718"/>
      <c r="AY199" s="718"/>
      <c r="AZ199" s="718"/>
      <c r="BA199" s="718"/>
      <c r="BB199" s="718"/>
      <c r="BC199" s="718">
        <v>1</v>
      </c>
      <c r="BD199" s="718">
        <f>IF(BC199=1,H199,0)</f>
        <v>0</v>
      </c>
      <c r="BE199" s="718">
        <f>IF(BC199=2,H199,0)</f>
        <v>0</v>
      </c>
      <c r="BF199" s="718">
        <f>IF(BC199=3,H199,0)</f>
        <v>0</v>
      </c>
      <c r="BG199" s="718">
        <f>IF(BC199=4,H199,0)</f>
        <v>0</v>
      </c>
      <c r="BH199" s="718">
        <f>IF(BC199=5,H199,0)</f>
        <v>0</v>
      </c>
    </row>
    <row r="200" spans="1:19" s="130" customFormat="1" ht="20.25" customHeight="1">
      <c r="A200" s="204"/>
      <c r="B200" s="205" t="s">
        <v>1208</v>
      </c>
      <c r="C200" s="205" t="s">
        <v>1209</v>
      </c>
      <c r="D200" s="898"/>
      <c r="E200" s="207">
        <f>(35.4+43.8)*1+(1.3+4.5)*1</f>
        <v>84.99999999999999</v>
      </c>
      <c r="F200" s="335"/>
      <c r="G200" s="335"/>
      <c r="H200" s="335"/>
      <c r="I200" s="336"/>
      <c r="J200" s="337"/>
      <c r="K200" s="672"/>
      <c r="L200" s="672"/>
      <c r="M200" s="672"/>
      <c r="N200" s="672"/>
      <c r="O200" s="672"/>
      <c r="P200" s="672"/>
      <c r="Q200" s="673"/>
      <c r="R200" s="508"/>
      <c r="S200" s="508"/>
    </row>
    <row r="201" spans="1:17" s="1119" customFormat="1" ht="21.75" customHeight="1">
      <c r="A201" s="1110" t="s">
        <v>2389</v>
      </c>
      <c r="B201" s="1111" t="s">
        <v>2406</v>
      </c>
      <c r="C201" s="1112" t="s">
        <v>2407</v>
      </c>
      <c r="D201" s="1259" t="s">
        <v>2807</v>
      </c>
      <c r="E201" s="1113" t="s">
        <v>1826</v>
      </c>
      <c r="F201" s="1114">
        <v>0</v>
      </c>
      <c r="G201" s="1114"/>
      <c r="H201" s="1114">
        <f>F201*G201</f>
        <v>0</v>
      </c>
      <c r="I201" s="1115">
        <v>0.07</v>
      </c>
      <c r="J201" s="1116">
        <f>F201*I201</f>
        <v>0</v>
      </c>
      <c r="K201" s="1117"/>
      <c r="L201" s="1117"/>
      <c r="M201" s="1117"/>
      <c r="N201" s="1117"/>
      <c r="O201" s="1117"/>
      <c r="P201" s="1117"/>
      <c r="Q201" s="1118"/>
    </row>
    <row r="202" spans="1:19" s="130" customFormat="1" ht="22.5" customHeight="1">
      <c r="A202" s="204"/>
      <c r="B202" s="1266" t="s">
        <v>1767</v>
      </c>
      <c r="C202" s="1124" t="s">
        <v>2982</v>
      </c>
      <c r="D202" s="1262" t="s">
        <v>2839</v>
      </c>
      <c r="E202" s="1160">
        <v>5.4</v>
      </c>
      <c r="F202" s="335"/>
      <c r="G202" s="335"/>
      <c r="H202" s="335"/>
      <c r="I202" s="336"/>
      <c r="J202" s="337"/>
      <c r="K202" s="672"/>
      <c r="L202" s="672"/>
      <c r="M202" s="672"/>
      <c r="N202" s="672"/>
      <c r="O202" s="672"/>
      <c r="P202" s="672"/>
      <c r="Q202" s="673"/>
      <c r="R202" s="508"/>
      <c r="S202" s="508"/>
    </row>
    <row r="203" spans="1:19" s="22" customFormat="1" ht="21.75" customHeight="1">
      <c r="A203" s="196" t="s">
        <v>2393</v>
      </c>
      <c r="B203" s="197" t="s">
        <v>953</v>
      </c>
      <c r="C203" s="199" t="s">
        <v>954</v>
      </c>
      <c r="D203" s="897" t="s">
        <v>2807</v>
      </c>
      <c r="E203" s="198" t="s">
        <v>1709</v>
      </c>
      <c r="F203" s="1236">
        <f>SUM(E204:E206)</f>
        <v>0.83815</v>
      </c>
      <c r="G203" s="332"/>
      <c r="H203" s="332">
        <f>F203*G203</f>
        <v>0</v>
      </c>
      <c r="I203" s="333">
        <v>2.2</v>
      </c>
      <c r="J203" s="334">
        <f>F203*I203</f>
        <v>1.84393</v>
      </c>
      <c r="K203" s="693"/>
      <c r="L203" s="693"/>
      <c r="M203" s="693"/>
      <c r="N203" s="693"/>
      <c r="O203" s="693"/>
      <c r="P203" s="693"/>
      <c r="Q203" s="694"/>
      <c r="R203" s="509"/>
      <c r="S203" s="509"/>
    </row>
    <row r="204" spans="1:19" s="130" customFormat="1" ht="22.5" customHeight="1">
      <c r="A204" s="204"/>
      <c r="B204" s="205" t="s">
        <v>878</v>
      </c>
      <c r="C204" s="206" t="s">
        <v>955</v>
      </c>
      <c r="D204" s="898"/>
      <c r="E204" s="207">
        <f>(2.86+3.83)*0.095</f>
        <v>0.63555</v>
      </c>
      <c r="F204" s="335"/>
      <c r="G204" s="335"/>
      <c r="H204" s="335"/>
      <c r="I204" s="336"/>
      <c r="J204" s="337"/>
      <c r="K204" s="672"/>
      <c r="L204" s="672"/>
      <c r="M204" s="672"/>
      <c r="N204" s="672"/>
      <c r="O204" s="672"/>
      <c r="P204" s="672"/>
      <c r="Q204" s="673"/>
      <c r="R204" s="508"/>
      <c r="S204" s="508"/>
    </row>
    <row r="205" spans="1:19" s="130" customFormat="1" ht="22.5" customHeight="1">
      <c r="A205" s="204"/>
      <c r="B205" s="205"/>
      <c r="C205" s="206" t="s">
        <v>1108</v>
      </c>
      <c r="D205" s="898"/>
      <c r="E205" s="207">
        <f>1.03*0.1*0.6</f>
        <v>0.0618</v>
      </c>
      <c r="F205" s="335"/>
      <c r="G205" s="335"/>
      <c r="H205" s="335"/>
      <c r="I205" s="336"/>
      <c r="J205" s="337"/>
      <c r="K205" s="672"/>
      <c r="L205" s="672"/>
      <c r="M205" s="672"/>
      <c r="N205" s="672"/>
      <c r="O205" s="672"/>
      <c r="P205" s="672"/>
      <c r="Q205" s="673"/>
      <c r="R205" s="508"/>
      <c r="S205" s="508"/>
    </row>
    <row r="206" spans="1:19" s="130" customFormat="1" ht="22.5" customHeight="1">
      <c r="A206" s="204"/>
      <c r="B206" s="1252" t="s">
        <v>1767</v>
      </c>
      <c r="C206" s="1253" t="s">
        <v>2983</v>
      </c>
      <c r="D206" s="1252" t="s">
        <v>2758</v>
      </c>
      <c r="E206" s="1254">
        <f>1.76*0.08</f>
        <v>0.1408</v>
      </c>
      <c r="F206" s="335"/>
      <c r="G206" s="335"/>
      <c r="H206" s="335"/>
      <c r="I206" s="336"/>
      <c r="J206" s="337"/>
      <c r="K206" s="672"/>
      <c r="L206" s="672"/>
      <c r="M206" s="672"/>
      <c r="N206" s="672"/>
      <c r="O206" s="672"/>
      <c r="P206" s="672"/>
      <c r="Q206" s="673"/>
      <c r="R206" s="508"/>
      <c r="S206" s="508"/>
    </row>
    <row r="207" spans="1:19" s="22" customFormat="1" ht="21.75" customHeight="1">
      <c r="A207" s="196" t="s">
        <v>2397</v>
      </c>
      <c r="B207" s="197" t="s">
        <v>2477</v>
      </c>
      <c r="C207" s="199" t="s">
        <v>773</v>
      </c>
      <c r="D207" s="897" t="s">
        <v>2807</v>
      </c>
      <c r="E207" s="198" t="s">
        <v>1748</v>
      </c>
      <c r="F207" s="332">
        <f>E208</f>
        <v>8.32</v>
      </c>
      <c r="G207" s="332"/>
      <c r="H207" s="332">
        <f>F207*G207</f>
        <v>0</v>
      </c>
      <c r="I207" s="333">
        <v>0.02</v>
      </c>
      <c r="J207" s="334">
        <f>F207*I207</f>
        <v>0.16640000000000002</v>
      </c>
      <c r="K207" s="693"/>
      <c r="L207" s="693"/>
      <c r="M207" s="693"/>
      <c r="N207" s="693"/>
      <c r="O207" s="693"/>
      <c r="P207" s="693"/>
      <c r="Q207" s="694"/>
      <c r="R207" s="509"/>
      <c r="S207" s="509"/>
    </row>
    <row r="208" spans="1:19" s="130" customFormat="1" ht="22.5" customHeight="1">
      <c r="A208" s="204"/>
      <c r="B208" s="205"/>
      <c r="C208" s="206" t="s">
        <v>1109</v>
      </c>
      <c r="D208" s="898"/>
      <c r="E208" s="207">
        <f>2.4*0.3+3*0.4*2+5.2</f>
        <v>8.32</v>
      </c>
      <c r="F208" s="335"/>
      <c r="G208" s="335"/>
      <c r="H208" s="335"/>
      <c r="I208" s="336"/>
      <c r="J208" s="337"/>
      <c r="K208" s="672"/>
      <c r="L208" s="672"/>
      <c r="M208" s="672"/>
      <c r="N208" s="672"/>
      <c r="O208" s="672"/>
      <c r="P208" s="672"/>
      <c r="Q208" s="673"/>
      <c r="R208" s="508"/>
      <c r="S208" s="508"/>
    </row>
    <row r="209" spans="1:19" s="22" customFormat="1" ht="21.75" customHeight="1">
      <c r="A209" s="196" t="s">
        <v>2401</v>
      </c>
      <c r="B209" s="197" t="s">
        <v>767</v>
      </c>
      <c r="C209" s="199" t="s">
        <v>768</v>
      </c>
      <c r="D209" s="897" t="s">
        <v>2807</v>
      </c>
      <c r="E209" s="198" t="s">
        <v>1748</v>
      </c>
      <c r="F209" s="332">
        <v>24.6</v>
      </c>
      <c r="G209" s="332"/>
      <c r="H209" s="332">
        <f>F209*G209</f>
        <v>0</v>
      </c>
      <c r="I209" s="333">
        <v>0.225</v>
      </c>
      <c r="J209" s="334">
        <f>F209*I209</f>
        <v>5.535</v>
      </c>
      <c r="K209" s="509"/>
      <c r="L209" s="509"/>
      <c r="M209" s="509"/>
      <c r="N209" s="509"/>
      <c r="O209" s="509"/>
      <c r="P209" s="509"/>
      <c r="Q209" s="509"/>
      <c r="R209" s="509"/>
      <c r="S209" s="509"/>
    </row>
    <row r="210" spans="1:19" s="22" customFormat="1" ht="21.75" customHeight="1">
      <c r="A210" s="196" t="s">
        <v>2405</v>
      </c>
      <c r="B210" s="197" t="s">
        <v>770</v>
      </c>
      <c r="C210" s="199" t="s">
        <v>771</v>
      </c>
      <c r="D210" s="897" t="s">
        <v>2807</v>
      </c>
      <c r="E210" s="198" t="s">
        <v>1826</v>
      </c>
      <c r="F210" s="332">
        <v>25.4</v>
      </c>
      <c r="G210" s="332"/>
      <c r="H210" s="332">
        <f>F210*G210</f>
        <v>0</v>
      </c>
      <c r="I210" s="333">
        <v>0</v>
      </c>
      <c r="J210" s="334">
        <f>F210*I210</f>
        <v>0</v>
      </c>
      <c r="K210" s="509"/>
      <c r="L210" s="509"/>
      <c r="M210" s="509"/>
      <c r="N210" s="509"/>
      <c r="O210" s="509"/>
      <c r="P210" s="509"/>
      <c r="Q210" s="509"/>
      <c r="R210" s="509"/>
      <c r="S210" s="509"/>
    </row>
    <row r="211" spans="1:19" s="22" customFormat="1" ht="21.75" customHeight="1">
      <c r="A211" s="196" t="s">
        <v>2409</v>
      </c>
      <c r="B211" s="197" t="s">
        <v>2415</v>
      </c>
      <c r="C211" s="199" t="s">
        <v>2416</v>
      </c>
      <c r="D211" s="897" t="s">
        <v>2761</v>
      </c>
      <c r="E211" s="198" t="s">
        <v>1831</v>
      </c>
      <c r="F211" s="332">
        <f>E212</f>
        <v>221</v>
      </c>
      <c r="G211" s="332"/>
      <c r="H211" s="332">
        <f>F211*G211</f>
        <v>0</v>
      </c>
      <c r="I211" s="333">
        <v>0</v>
      </c>
      <c r="J211" s="334">
        <f>F211*I211</f>
        <v>0</v>
      </c>
      <c r="K211" s="693"/>
      <c r="L211" s="693"/>
      <c r="M211" s="693"/>
      <c r="N211" s="693"/>
      <c r="O211" s="693"/>
      <c r="P211" s="693"/>
      <c r="Q211" s="694"/>
      <c r="R211" s="509"/>
      <c r="S211" s="509"/>
    </row>
    <row r="212" spans="1:19" s="130" customFormat="1" ht="22.5" customHeight="1">
      <c r="A212" s="204"/>
      <c r="B212" s="205"/>
      <c r="C212" s="206" t="s">
        <v>1210</v>
      </c>
      <c r="D212" s="898"/>
      <c r="E212" s="207">
        <f>2+18+7+42+106+18+12+3+1+6+4+2</f>
        <v>221</v>
      </c>
      <c r="F212" s="335"/>
      <c r="G212" s="335"/>
      <c r="H212" s="335"/>
      <c r="I212" s="336"/>
      <c r="J212" s="337"/>
      <c r="K212" s="672"/>
      <c r="L212" s="672"/>
      <c r="M212" s="672"/>
      <c r="N212" s="672"/>
      <c r="O212" s="672"/>
      <c r="P212" s="672"/>
      <c r="Q212" s="673"/>
      <c r="R212" s="508"/>
      <c r="S212" s="508"/>
    </row>
    <row r="213" spans="1:19" s="22" customFormat="1" ht="21.75" customHeight="1">
      <c r="A213" s="196" t="s">
        <v>2412</v>
      </c>
      <c r="B213" s="197" t="s">
        <v>2419</v>
      </c>
      <c r="C213" s="199" t="s">
        <v>2420</v>
      </c>
      <c r="D213" s="897" t="s">
        <v>2761</v>
      </c>
      <c r="E213" s="198" t="s">
        <v>1748</v>
      </c>
      <c r="F213" s="332">
        <v>1198</v>
      </c>
      <c r="G213" s="332"/>
      <c r="H213" s="332">
        <f>F213*G213</f>
        <v>0</v>
      </c>
      <c r="I213" s="333">
        <v>0.031</v>
      </c>
      <c r="J213" s="334">
        <f>F213*I213</f>
        <v>37.138</v>
      </c>
      <c r="K213" s="693"/>
      <c r="L213" s="693"/>
      <c r="M213" s="693"/>
      <c r="N213" s="693"/>
      <c r="O213" s="693"/>
      <c r="P213" s="693"/>
      <c r="Q213" s="694"/>
      <c r="R213" s="509"/>
      <c r="S213" s="509"/>
    </row>
    <row r="214" spans="1:19" s="130" customFormat="1" ht="20.25" customHeight="1">
      <c r="A214" s="204"/>
      <c r="B214" s="205"/>
      <c r="C214" s="206" t="s">
        <v>1211</v>
      </c>
      <c r="D214" s="898"/>
      <c r="E214" s="207">
        <f>24.3+45.36+0.84+0.54</f>
        <v>71.04</v>
      </c>
      <c r="F214" s="335"/>
      <c r="G214" s="335"/>
      <c r="H214" s="335"/>
      <c r="I214" s="336"/>
      <c r="J214" s="337"/>
      <c r="K214" s="672"/>
      <c r="L214" s="672"/>
      <c r="M214" s="672"/>
      <c r="N214" s="672"/>
      <c r="O214" s="672"/>
      <c r="P214" s="672"/>
      <c r="Q214" s="673"/>
      <c r="R214" s="508"/>
      <c r="S214" s="508"/>
    </row>
    <row r="215" spans="1:19" s="22" customFormat="1" ht="21.75" customHeight="1">
      <c r="A215" s="196" t="s">
        <v>2414</v>
      </c>
      <c r="B215" s="197" t="s">
        <v>2423</v>
      </c>
      <c r="C215" s="199" t="s">
        <v>2424</v>
      </c>
      <c r="D215" s="897" t="s">
        <v>2761</v>
      </c>
      <c r="E215" s="198" t="s">
        <v>1748</v>
      </c>
      <c r="F215" s="332">
        <f>E216</f>
        <v>209.57000000000002</v>
      </c>
      <c r="G215" s="332"/>
      <c r="H215" s="332">
        <f>F215*G215</f>
        <v>0</v>
      </c>
      <c r="I215" s="333">
        <v>0.027</v>
      </c>
      <c r="J215" s="334">
        <f>F215*I215</f>
        <v>5.658390000000001</v>
      </c>
      <c r="K215" s="693"/>
      <c r="L215" s="693"/>
      <c r="M215" s="693"/>
      <c r="N215" s="693"/>
      <c r="O215" s="693"/>
      <c r="P215" s="693"/>
      <c r="Q215" s="694"/>
      <c r="R215" s="509"/>
      <c r="S215" s="509"/>
    </row>
    <row r="216" spans="1:19" s="130" customFormat="1" ht="21" customHeight="1">
      <c r="A216" s="204"/>
      <c r="B216" s="205"/>
      <c r="C216" s="206" t="s">
        <v>1212</v>
      </c>
      <c r="D216" s="898"/>
      <c r="E216" s="207">
        <f>2.43+14.18+190.8+2.16</f>
        <v>209.57000000000002</v>
      </c>
      <c r="F216" s="335"/>
      <c r="G216" s="335"/>
      <c r="H216" s="335"/>
      <c r="I216" s="336"/>
      <c r="J216" s="337"/>
      <c r="K216" s="672"/>
      <c r="L216" s="672"/>
      <c r="M216" s="672"/>
      <c r="N216" s="672"/>
      <c r="O216" s="672"/>
      <c r="P216" s="672"/>
      <c r="Q216" s="673"/>
      <c r="R216" s="508"/>
      <c r="S216" s="508"/>
    </row>
    <row r="217" spans="1:19" s="22" customFormat="1" ht="21.75" customHeight="1">
      <c r="A217" s="196" t="s">
        <v>2418</v>
      </c>
      <c r="B217" s="197" t="s">
        <v>961</v>
      </c>
      <c r="C217" s="199" t="s">
        <v>962</v>
      </c>
      <c r="D217" s="897" t="s">
        <v>2761</v>
      </c>
      <c r="E217" s="198" t="s">
        <v>1748</v>
      </c>
      <c r="F217" s="332">
        <f>E218</f>
        <v>35.459999999999994</v>
      </c>
      <c r="G217" s="332"/>
      <c r="H217" s="332">
        <f>F217*G217</f>
        <v>0</v>
      </c>
      <c r="I217" s="333">
        <v>0.023</v>
      </c>
      <c r="J217" s="334">
        <f>F217*I217</f>
        <v>0.8155799999999999</v>
      </c>
      <c r="K217" s="693"/>
      <c r="L217" s="693"/>
      <c r="M217" s="693"/>
      <c r="N217" s="693"/>
      <c r="O217" s="693"/>
      <c r="P217" s="693"/>
      <c r="Q217" s="694"/>
      <c r="R217" s="509"/>
      <c r="S217" s="509"/>
    </row>
    <row r="218" spans="1:19" s="130" customFormat="1" ht="20.25" customHeight="1">
      <c r="A218" s="204"/>
      <c r="B218" s="205"/>
      <c r="C218" s="206" t="s">
        <v>1213</v>
      </c>
      <c r="D218" s="898"/>
      <c r="E218" s="207">
        <f>16.65+10.08+4.41+4.32</f>
        <v>35.459999999999994</v>
      </c>
      <c r="F218" s="335"/>
      <c r="G218" s="335"/>
      <c r="H218" s="335"/>
      <c r="I218" s="336"/>
      <c r="J218" s="337"/>
      <c r="K218" s="672"/>
      <c r="L218" s="672"/>
      <c r="M218" s="672"/>
      <c r="N218" s="672"/>
      <c r="O218" s="672"/>
      <c r="P218" s="672"/>
      <c r="Q218" s="673"/>
      <c r="R218" s="508"/>
      <c r="S218" s="508"/>
    </row>
    <row r="219" spans="1:19" s="22" customFormat="1" ht="21.75" customHeight="1">
      <c r="A219" s="196" t="s">
        <v>2422</v>
      </c>
      <c r="B219" s="197" t="s">
        <v>2439</v>
      </c>
      <c r="C219" s="199" t="s">
        <v>2440</v>
      </c>
      <c r="D219" s="897" t="s">
        <v>2761</v>
      </c>
      <c r="E219" s="198" t="s">
        <v>1718</v>
      </c>
      <c r="F219" s="332">
        <v>3</v>
      </c>
      <c r="G219" s="332"/>
      <c r="H219" s="332">
        <f>F219*G219</f>
        <v>0</v>
      </c>
      <c r="I219" s="333">
        <v>0</v>
      </c>
      <c r="J219" s="334">
        <f>F219*I219</f>
        <v>0</v>
      </c>
      <c r="K219" s="693"/>
      <c r="L219" s="693"/>
      <c r="M219" s="693"/>
      <c r="N219" s="693"/>
      <c r="O219" s="693"/>
      <c r="P219" s="693"/>
      <c r="Q219" s="694"/>
      <c r="R219" s="509"/>
      <c r="S219" s="509"/>
    </row>
    <row r="220" spans="1:19" s="22" customFormat="1" ht="21.75" customHeight="1">
      <c r="A220" s="196" t="s">
        <v>2426</v>
      </c>
      <c r="B220" s="197" t="s">
        <v>2442</v>
      </c>
      <c r="C220" s="199" t="s">
        <v>2443</v>
      </c>
      <c r="D220" s="897" t="s">
        <v>2761</v>
      </c>
      <c r="E220" s="198" t="s">
        <v>1748</v>
      </c>
      <c r="F220" s="332">
        <f>E221</f>
        <v>1.576</v>
      </c>
      <c r="G220" s="332"/>
      <c r="H220" s="332">
        <f>F220*G220</f>
        <v>0</v>
      </c>
      <c r="I220" s="333">
        <v>0.088</v>
      </c>
      <c r="J220" s="334">
        <f>F220*I220</f>
        <v>0.138688</v>
      </c>
      <c r="K220" s="693"/>
      <c r="L220" s="693"/>
      <c r="M220" s="693"/>
      <c r="N220" s="693"/>
      <c r="O220" s="693"/>
      <c r="P220" s="693"/>
      <c r="Q220" s="694"/>
      <c r="R220" s="509"/>
      <c r="S220" s="509"/>
    </row>
    <row r="221" spans="1:19" s="130" customFormat="1" ht="20.25" customHeight="1">
      <c r="A221" s="204"/>
      <c r="B221" s="205"/>
      <c r="C221" s="206" t="s">
        <v>1214</v>
      </c>
      <c r="D221" s="898"/>
      <c r="E221" s="207">
        <f>0.8*1.97</f>
        <v>1.576</v>
      </c>
      <c r="F221" s="335"/>
      <c r="G221" s="335"/>
      <c r="H221" s="335"/>
      <c r="I221" s="336"/>
      <c r="J221" s="337"/>
      <c r="K221" s="672"/>
      <c r="L221" s="672"/>
      <c r="M221" s="672"/>
      <c r="N221" s="672"/>
      <c r="O221" s="672"/>
      <c r="P221" s="672"/>
      <c r="Q221" s="673"/>
      <c r="R221" s="508"/>
      <c r="S221" s="508"/>
    </row>
    <row r="222" spans="1:19" s="22" customFormat="1" ht="21.75" customHeight="1">
      <c r="A222" s="196" t="s">
        <v>2430</v>
      </c>
      <c r="B222" s="197" t="s">
        <v>2445</v>
      </c>
      <c r="C222" s="199" t="s">
        <v>2446</v>
      </c>
      <c r="D222" s="897" t="s">
        <v>2761</v>
      </c>
      <c r="E222" s="198" t="s">
        <v>1748</v>
      </c>
      <c r="F222" s="332">
        <f>E223</f>
        <v>5.9568</v>
      </c>
      <c r="G222" s="332"/>
      <c r="H222" s="332">
        <f>F222*G222</f>
        <v>0</v>
      </c>
      <c r="I222" s="333">
        <v>0.067</v>
      </c>
      <c r="J222" s="334">
        <f>F222*I222</f>
        <v>0.39910560000000006</v>
      </c>
      <c r="K222" s="693"/>
      <c r="L222" s="693"/>
      <c r="M222" s="693"/>
      <c r="N222" s="693"/>
      <c r="O222" s="693"/>
      <c r="P222" s="693"/>
      <c r="Q222" s="694"/>
      <c r="R222" s="509"/>
      <c r="S222" s="509"/>
    </row>
    <row r="223" spans="1:19" s="130" customFormat="1" ht="20.25" customHeight="1">
      <c r="A223" s="204"/>
      <c r="B223" s="205"/>
      <c r="C223" s="206" t="s">
        <v>1215</v>
      </c>
      <c r="D223" s="898"/>
      <c r="E223" s="207">
        <f>2.72*2.19</f>
        <v>5.9568</v>
      </c>
      <c r="F223" s="335"/>
      <c r="G223" s="335"/>
      <c r="H223" s="335"/>
      <c r="I223" s="336"/>
      <c r="J223" s="337"/>
      <c r="K223" s="672"/>
      <c r="L223" s="672"/>
      <c r="M223" s="672"/>
      <c r="N223" s="672"/>
      <c r="O223" s="672"/>
      <c r="P223" s="672"/>
      <c r="Q223" s="673"/>
      <c r="R223" s="508"/>
      <c r="S223" s="508"/>
    </row>
    <row r="224" spans="1:19" s="22" customFormat="1" ht="30.75" customHeight="1">
      <c r="A224" s="196" t="s">
        <v>2434</v>
      </c>
      <c r="B224" s="197" t="s">
        <v>2449</v>
      </c>
      <c r="C224" s="199" t="s">
        <v>2450</v>
      </c>
      <c r="D224" s="897" t="s">
        <v>2761</v>
      </c>
      <c r="E224" s="198" t="s">
        <v>1748</v>
      </c>
      <c r="F224" s="332">
        <f>E225</f>
        <v>1.35</v>
      </c>
      <c r="G224" s="332"/>
      <c r="H224" s="332">
        <f>F224*G224</f>
        <v>0</v>
      </c>
      <c r="I224" s="333">
        <v>0.065</v>
      </c>
      <c r="J224" s="334">
        <f>F224*I224</f>
        <v>0.08775000000000001</v>
      </c>
      <c r="K224" s="693"/>
      <c r="L224" s="693"/>
      <c r="M224" s="693"/>
      <c r="N224" s="693"/>
      <c r="O224" s="693"/>
      <c r="P224" s="693"/>
      <c r="Q224" s="694"/>
      <c r="R224" s="509"/>
      <c r="S224" s="509"/>
    </row>
    <row r="225" spans="1:19" s="130" customFormat="1" ht="21.75" customHeight="1">
      <c r="A225" s="204"/>
      <c r="B225" s="205"/>
      <c r="C225" s="206" t="s">
        <v>1216</v>
      </c>
      <c r="D225" s="898"/>
      <c r="E225" s="207">
        <v>1.35</v>
      </c>
      <c r="F225" s="335"/>
      <c r="G225" s="335"/>
      <c r="H225" s="335"/>
      <c r="I225" s="336"/>
      <c r="J225" s="337"/>
      <c r="K225" s="672"/>
      <c r="L225" s="672"/>
      <c r="M225" s="672"/>
      <c r="N225" s="672"/>
      <c r="O225" s="672"/>
      <c r="P225" s="672"/>
      <c r="Q225" s="673"/>
      <c r="R225" s="508"/>
      <c r="S225" s="508"/>
    </row>
    <row r="226" spans="1:19" s="22" customFormat="1" ht="15" customHeight="1">
      <c r="A226" s="196"/>
      <c r="B226" s="197"/>
      <c r="C226" s="199"/>
      <c r="D226" s="897"/>
      <c r="E226" s="198"/>
      <c r="F226" s="332"/>
      <c r="G226" s="332"/>
      <c r="H226" s="332"/>
      <c r="I226" s="333"/>
      <c r="J226" s="334"/>
      <c r="K226" s="693"/>
      <c r="L226" s="693"/>
      <c r="M226" s="693"/>
      <c r="N226" s="693"/>
      <c r="O226" s="693"/>
      <c r="P226" s="693"/>
      <c r="Q226" s="694"/>
      <c r="R226" s="509"/>
      <c r="S226" s="509"/>
    </row>
    <row r="227" spans="1:19" s="22" customFormat="1" ht="21.75" customHeight="1">
      <c r="A227" s="196" t="s">
        <v>2438</v>
      </c>
      <c r="B227" s="197" t="s">
        <v>975</v>
      </c>
      <c r="C227" s="199" t="s">
        <v>976</v>
      </c>
      <c r="D227" s="897" t="s">
        <v>2761</v>
      </c>
      <c r="E227" s="198" t="s">
        <v>1826</v>
      </c>
      <c r="F227" s="332">
        <v>14.7</v>
      </c>
      <c r="G227" s="332"/>
      <c r="H227" s="332">
        <f aca="true" t="shared" si="24" ref="H227:H236">F227*G227</f>
        <v>0</v>
      </c>
      <c r="I227" s="333">
        <v>0.037</v>
      </c>
      <c r="J227" s="334">
        <f aca="true" t="shared" si="25" ref="J227:J236">F227*I227</f>
        <v>0.5438999999999999</v>
      </c>
      <c r="K227" s="509"/>
      <c r="L227" s="509"/>
      <c r="M227" s="509"/>
      <c r="N227" s="509"/>
      <c r="O227" s="509"/>
      <c r="P227" s="509"/>
      <c r="Q227" s="509"/>
      <c r="R227" s="509"/>
      <c r="S227" s="509"/>
    </row>
    <row r="228" spans="1:19" s="22" customFormat="1" ht="21.75" customHeight="1">
      <c r="A228" s="196" t="s">
        <v>2441</v>
      </c>
      <c r="B228" s="197" t="s">
        <v>2483</v>
      </c>
      <c r="C228" s="199" t="s">
        <v>2484</v>
      </c>
      <c r="D228" s="897" t="s">
        <v>2761</v>
      </c>
      <c r="E228" s="198" t="s">
        <v>1831</v>
      </c>
      <c r="F228" s="332">
        <v>4</v>
      </c>
      <c r="G228" s="332"/>
      <c r="H228" s="332">
        <f t="shared" si="24"/>
        <v>0</v>
      </c>
      <c r="I228" s="333">
        <v>0.037</v>
      </c>
      <c r="J228" s="334">
        <f t="shared" si="25"/>
        <v>0.148</v>
      </c>
      <c r="K228" s="509"/>
      <c r="L228" s="509"/>
      <c r="M228" s="509"/>
      <c r="N228" s="509"/>
      <c r="O228" s="509"/>
      <c r="P228" s="509"/>
      <c r="Q228" s="509"/>
      <c r="R228" s="509"/>
      <c r="S228" s="509"/>
    </row>
    <row r="229" spans="1:19" s="22" customFormat="1" ht="21.75" customHeight="1">
      <c r="A229" s="196" t="s">
        <v>2444</v>
      </c>
      <c r="B229" s="197" t="s">
        <v>2490</v>
      </c>
      <c r="C229" s="199" t="s">
        <v>2491</v>
      </c>
      <c r="D229" s="897" t="s">
        <v>2761</v>
      </c>
      <c r="E229" s="198" t="s">
        <v>1826</v>
      </c>
      <c r="F229" s="332">
        <v>212.2</v>
      </c>
      <c r="G229" s="332"/>
      <c r="H229" s="332">
        <f t="shared" si="24"/>
        <v>0</v>
      </c>
      <c r="I229" s="333">
        <v>0.00135</v>
      </c>
      <c r="J229" s="334">
        <f t="shared" si="25"/>
        <v>0.28647</v>
      </c>
      <c r="K229" s="509"/>
      <c r="L229" s="509"/>
      <c r="M229" s="509"/>
      <c r="N229" s="509"/>
      <c r="O229" s="509"/>
      <c r="P229" s="509"/>
      <c r="Q229" s="509"/>
      <c r="R229" s="509"/>
      <c r="S229" s="509"/>
    </row>
    <row r="230" spans="1:19" s="22" customFormat="1" ht="21.75" customHeight="1">
      <c r="A230" s="196" t="s">
        <v>2448</v>
      </c>
      <c r="B230" s="197" t="s">
        <v>2493</v>
      </c>
      <c r="C230" s="199" t="s">
        <v>2494</v>
      </c>
      <c r="D230" s="897" t="s">
        <v>2761</v>
      </c>
      <c r="E230" s="198" t="s">
        <v>1826</v>
      </c>
      <c r="F230" s="332">
        <f>125.6+119.6+6</f>
        <v>251.2</v>
      </c>
      <c r="G230" s="332"/>
      <c r="H230" s="332">
        <f t="shared" si="24"/>
        <v>0</v>
      </c>
      <c r="I230" s="333">
        <v>0.00175</v>
      </c>
      <c r="J230" s="334">
        <f t="shared" si="25"/>
        <v>0.4396</v>
      </c>
      <c r="K230" s="509"/>
      <c r="L230" s="509"/>
      <c r="M230" s="509"/>
      <c r="N230" s="509"/>
      <c r="O230" s="509"/>
      <c r="P230" s="509"/>
      <c r="Q230" s="509"/>
      <c r="R230" s="509"/>
      <c r="S230" s="509"/>
    </row>
    <row r="231" spans="1:19" s="22" customFormat="1" ht="21.75" customHeight="1">
      <c r="A231" s="196" t="s">
        <v>2452</v>
      </c>
      <c r="B231" s="197" t="s">
        <v>2496</v>
      </c>
      <c r="C231" s="199" t="s">
        <v>2497</v>
      </c>
      <c r="D231" s="897" t="s">
        <v>2761</v>
      </c>
      <c r="E231" s="198" t="s">
        <v>1826</v>
      </c>
      <c r="F231" s="332">
        <v>683.4</v>
      </c>
      <c r="G231" s="332"/>
      <c r="H231" s="332">
        <f t="shared" si="24"/>
        <v>0</v>
      </c>
      <c r="I231" s="333">
        <v>0.00395</v>
      </c>
      <c r="J231" s="334">
        <f t="shared" si="25"/>
        <v>2.69943</v>
      </c>
      <c r="K231" s="509"/>
      <c r="L231" s="509"/>
      <c r="M231" s="509"/>
      <c r="N231" s="509"/>
      <c r="O231" s="509"/>
      <c r="P231" s="509"/>
      <c r="Q231" s="509"/>
      <c r="R231" s="509"/>
      <c r="S231" s="509"/>
    </row>
    <row r="232" spans="1:19" s="22" customFormat="1" ht="21.75" customHeight="1">
      <c r="A232" s="196" t="s">
        <v>2455</v>
      </c>
      <c r="B232" s="197" t="s">
        <v>2499</v>
      </c>
      <c r="C232" s="199" t="s">
        <v>2500</v>
      </c>
      <c r="D232" s="897" t="s">
        <v>2761</v>
      </c>
      <c r="E232" s="198" t="s">
        <v>1826</v>
      </c>
      <c r="F232" s="332">
        <v>16.7</v>
      </c>
      <c r="G232" s="332"/>
      <c r="H232" s="332">
        <f t="shared" si="24"/>
        <v>0</v>
      </c>
      <c r="I232" s="333">
        <v>0.0023</v>
      </c>
      <c r="J232" s="334">
        <f t="shared" si="25"/>
        <v>0.03841</v>
      </c>
      <c r="K232" s="509"/>
      <c r="L232" s="509"/>
      <c r="M232" s="509"/>
      <c r="N232" s="509"/>
      <c r="O232" s="509"/>
      <c r="P232" s="509"/>
      <c r="Q232" s="509"/>
      <c r="R232" s="509"/>
      <c r="S232" s="509"/>
    </row>
    <row r="233" spans="1:19" s="22" customFormat="1" ht="21.75" customHeight="1">
      <c r="A233" s="196" t="s">
        <v>2465</v>
      </c>
      <c r="B233" s="197" t="s">
        <v>782</v>
      </c>
      <c r="C233" s="199" t="s">
        <v>783</v>
      </c>
      <c r="D233" s="897" t="s">
        <v>2761</v>
      </c>
      <c r="E233" s="198" t="s">
        <v>1826</v>
      </c>
      <c r="F233" s="332">
        <v>93.5</v>
      </c>
      <c r="G233" s="332"/>
      <c r="H233" s="332">
        <f t="shared" si="24"/>
        <v>0</v>
      </c>
      <c r="I233" s="333">
        <v>0.00392</v>
      </c>
      <c r="J233" s="334">
        <f t="shared" si="25"/>
        <v>0.36652</v>
      </c>
      <c r="K233" s="693"/>
      <c r="L233" s="693"/>
      <c r="M233" s="693"/>
      <c r="N233" s="693"/>
      <c r="O233" s="693"/>
      <c r="P233" s="693"/>
      <c r="Q233" s="694"/>
      <c r="R233" s="509"/>
      <c r="S233" s="509"/>
    </row>
    <row r="234" spans="1:19" s="22" customFormat="1" ht="21.75" customHeight="1">
      <c r="A234" s="196" t="s">
        <v>2468</v>
      </c>
      <c r="B234" s="197" t="s">
        <v>2508</v>
      </c>
      <c r="C234" s="199" t="s">
        <v>2509</v>
      </c>
      <c r="D234" s="897" t="s">
        <v>2761</v>
      </c>
      <c r="E234" s="198" t="s">
        <v>1826</v>
      </c>
      <c r="F234" s="332">
        <v>391.5</v>
      </c>
      <c r="G234" s="332"/>
      <c r="H234" s="332">
        <f t="shared" si="24"/>
        <v>0</v>
      </c>
      <c r="I234" s="333">
        <v>0.00324</v>
      </c>
      <c r="J234" s="334">
        <f t="shared" si="25"/>
        <v>1.26846</v>
      </c>
      <c r="K234" s="693"/>
      <c r="L234" s="693"/>
      <c r="M234" s="693"/>
      <c r="N234" s="693"/>
      <c r="O234" s="693"/>
      <c r="P234" s="693"/>
      <c r="Q234" s="694"/>
      <c r="R234" s="509"/>
      <c r="S234" s="509"/>
    </row>
    <row r="235" spans="1:19" s="22" customFormat="1" ht="21.75" customHeight="1">
      <c r="A235" s="196" t="s">
        <v>2473</v>
      </c>
      <c r="B235" s="197" t="s">
        <v>2511</v>
      </c>
      <c r="C235" s="199" t="s">
        <v>2512</v>
      </c>
      <c r="D235" s="897" t="s">
        <v>2761</v>
      </c>
      <c r="E235" s="198" t="s">
        <v>2513</v>
      </c>
      <c r="F235" s="332">
        <v>54.5</v>
      </c>
      <c r="G235" s="332"/>
      <c r="H235" s="332">
        <f t="shared" si="24"/>
        <v>0</v>
      </c>
      <c r="I235" s="333">
        <v>0.00285</v>
      </c>
      <c r="J235" s="334">
        <f t="shared" si="25"/>
        <v>0.15532500000000002</v>
      </c>
      <c r="K235" s="693"/>
      <c r="L235" s="693"/>
      <c r="M235" s="693"/>
      <c r="N235" s="693"/>
      <c r="O235" s="693"/>
      <c r="P235" s="693"/>
      <c r="Q235" s="694"/>
      <c r="R235" s="509"/>
      <c r="S235" s="509"/>
    </row>
    <row r="236" spans="1:19" s="22" customFormat="1" ht="21.75" customHeight="1">
      <c r="A236" s="196" t="s">
        <v>2476</v>
      </c>
      <c r="B236" s="197" t="s">
        <v>2515</v>
      </c>
      <c r="C236" s="199" t="s">
        <v>2516</v>
      </c>
      <c r="D236" s="897" t="s">
        <v>2811</v>
      </c>
      <c r="E236" s="198" t="s">
        <v>1831</v>
      </c>
      <c r="F236" s="332">
        <v>6</v>
      </c>
      <c r="G236" s="332"/>
      <c r="H236" s="332">
        <f t="shared" si="24"/>
        <v>0</v>
      </c>
      <c r="I236" s="333">
        <v>0.03522</v>
      </c>
      <c r="J236" s="334">
        <f t="shared" si="25"/>
        <v>0.21132</v>
      </c>
      <c r="K236" s="509"/>
      <c r="L236" s="509"/>
      <c r="M236" s="509"/>
      <c r="N236" s="509"/>
      <c r="O236" s="509"/>
      <c r="P236" s="509"/>
      <c r="Q236" s="509"/>
      <c r="R236" s="509"/>
      <c r="S236" s="509"/>
    </row>
    <row r="237" spans="1:19" s="22" customFormat="1" ht="18.75" customHeight="1">
      <c r="A237" s="196" t="s">
        <v>2482</v>
      </c>
      <c r="B237" s="197" t="s">
        <v>2523</v>
      </c>
      <c r="C237" s="199" t="s">
        <v>2524</v>
      </c>
      <c r="D237" s="897" t="s">
        <v>2525</v>
      </c>
      <c r="E237" s="198" t="s">
        <v>1831</v>
      </c>
      <c r="F237" s="332">
        <v>14</v>
      </c>
      <c r="G237" s="332"/>
      <c r="H237" s="332">
        <f>F237*G237</f>
        <v>0</v>
      </c>
      <c r="I237" s="333">
        <v>0.00463</v>
      </c>
      <c r="J237" s="334">
        <f>F237*I237</f>
        <v>0.06481999999999999</v>
      </c>
      <c r="K237" s="509"/>
      <c r="L237" s="509"/>
      <c r="M237" s="509"/>
      <c r="N237" s="509"/>
      <c r="O237" s="509"/>
      <c r="P237" s="509"/>
      <c r="Q237" s="509"/>
      <c r="R237" s="509"/>
      <c r="S237" s="509"/>
    </row>
    <row r="238" spans="1:19" s="22" customFormat="1" ht="21.75" customHeight="1">
      <c r="A238" s="196" t="s">
        <v>2485</v>
      </c>
      <c r="B238" s="197" t="s">
        <v>2518</v>
      </c>
      <c r="C238" s="199" t="s">
        <v>2519</v>
      </c>
      <c r="D238" s="897" t="s">
        <v>2811</v>
      </c>
      <c r="E238" s="198" t="s">
        <v>1748</v>
      </c>
      <c r="F238" s="332">
        <f>E239</f>
        <v>773.3</v>
      </c>
      <c r="G238" s="332"/>
      <c r="H238" s="332">
        <f>F238*G238</f>
        <v>0</v>
      </c>
      <c r="I238" s="333">
        <v>0.00732</v>
      </c>
      <c r="J238" s="334">
        <f>F238*I238</f>
        <v>5.660556</v>
      </c>
      <c r="K238" s="509"/>
      <c r="L238" s="509"/>
      <c r="M238" s="509"/>
      <c r="N238" s="509"/>
      <c r="O238" s="509"/>
      <c r="P238" s="509"/>
      <c r="Q238" s="509"/>
      <c r="R238" s="509"/>
      <c r="S238" s="509"/>
    </row>
    <row r="239" spans="1:19" s="130" customFormat="1" ht="21.75" customHeight="1">
      <c r="A239" s="204"/>
      <c r="B239" s="205"/>
      <c r="C239" s="206" t="s">
        <v>1117</v>
      </c>
      <c r="D239" s="898"/>
      <c r="E239" s="207">
        <f>709.3+64</f>
        <v>773.3</v>
      </c>
      <c r="F239" s="335"/>
      <c r="G239" s="335"/>
      <c r="H239" s="335"/>
      <c r="I239" s="336"/>
      <c r="J239" s="337"/>
      <c r="K239" s="508"/>
      <c r="L239" s="508"/>
      <c r="M239" s="508"/>
      <c r="N239" s="508"/>
      <c r="O239" s="508"/>
      <c r="P239" s="508"/>
      <c r="Q239" s="508"/>
      <c r="R239" s="508"/>
      <c r="S239" s="508"/>
    </row>
    <row r="240" spans="1:19" s="22" customFormat="1" ht="20.25" customHeight="1">
      <c r="A240" s="196" t="s">
        <v>2489</v>
      </c>
      <c r="B240" s="197" t="s">
        <v>2474</v>
      </c>
      <c r="C240" s="199" t="s">
        <v>2475</v>
      </c>
      <c r="D240" s="897" t="s">
        <v>2812</v>
      </c>
      <c r="E240" s="198" t="s">
        <v>1748</v>
      </c>
      <c r="F240" s="332">
        <f>SUM(E241)</f>
        <v>628.6</v>
      </c>
      <c r="G240" s="332"/>
      <c r="H240" s="332">
        <f>F240*G240</f>
        <v>0</v>
      </c>
      <c r="I240" s="333">
        <v>0.045</v>
      </c>
      <c r="J240" s="334">
        <f>F240*I240</f>
        <v>28.287</v>
      </c>
      <c r="K240" s="509"/>
      <c r="L240" s="509"/>
      <c r="M240" s="509"/>
      <c r="N240" s="509"/>
      <c r="O240" s="509"/>
      <c r="P240" s="509"/>
      <c r="Q240" s="509"/>
      <c r="R240" s="509"/>
      <c r="S240" s="509"/>
    </row>
    <row r="241" spans="1:19" s="130" customFormat="1" ht="18.75" customHeight="1">
      <c r="A241" s="204"/>
      <c r="B241" s="205"/>
      <c r="C241" s="206" t="s">
        <v>1065</v>
      </c>
      <c r="D241" s="898"/>
      <c r="E241" s="207">
        <v>628.6</v>
      </c>
      <c r="F241" s="335"/>
      <c r="G241" s="335"/>
      <c r="H241" s="335"/>
      <c r="I241" s="336"/>
      <c r="J241" s="337"/>
      <c r="K241" s="672"/>
      <c r="L241" s="672"/>
      <c r="M241" s="672"/>
      <c r="N241" s="672"/>
      <c r="O241" s="672"/>
      <c r="P241" s="672"/>
      <c r="Q241" s="673"/>
      <c r="R241" s="508"/>
      <c r="S241" s="672"/>
    </row>
    <row r="242" spans="1:19" s="22" customFormat="1" ht="21.75" customHeight="1">
      <c r="A242" s="196" t="s">
        <v>2492</v>
      </c>
      <c r="B242" s="197" t="s">
        <v>2527</v>
      </c>
      <c r="C242" s="199" t="s">
        <v>2528</v>
      </c>
      <c r="D242" s="897"/>
      <c r="E242" s="198" t="s">
        <v>1783</v>
      </c>
      <c r="F242" s="332">
        <f>F243*0.8</f>
        <v>111.39188367999998</v>
      </c>
      <c r="G242" s="332"/>
      <c r="H242" s="332">
        <f aca="true" t="shared" si="26" ref="H242:H250">F242*G242</f>
        <v>0</v>
      </c>
      <c r="I242" s="333">
        <v>0</v>
      </c>
      <c r="J242" s="334"/>
      <c r="K242" s="509"/>
      <c r="L242" s="509"/>
      <c r="M242" s="509"/>
      <c r="N242" s="509"/>
      <c r="O242" s="509"/>
      <c r="P242" s="509"/>
      <c r="Q242" s="509"/>
      <c r="R242" s="509"/>
      <c r="S242" s="509"/>
    </row>
    <row r="243" spans="1:19" s="22" customFormat="1" ht="21.75" customHeight="1">
      <c r="A243" s="196" t="s">
        <v>2495</v>
      </c>
      <c r="B243" s="197" t="s">
        <v>2530</v>
      </c>
      <c r="C243" s="199" t="s">
        <v>2531</v>
      </c>
      <c r="D243" s="897"/>
      <c r="E243" s="198" t="s">
        <v>1783</v>
      </c>
      <c r="F243" s="332">
        <f>J192</f>
        <v>139.23985459999997</v>
      </c>
      <c r="G243" s="332"/>
      <c r="H243" s="332">
        <f t="shared" si="26"/>
        <v>0</v>
      </c>
      <c r="I243" s="333">
        <v>0</v>
      </c>
      <c r="J243" s="334"/>
      <c r="K243" s="509"/>
      <c r="L243" s="509"/>
      <c r="M243" s="509"/>
      <c r="N243" s="509"/>
      <c r="O243" s="509"/>
      <c r="P243" s="509"/>
      <c r="Q243" s="509"/>
      <c r="R243" s="509"/>
      <c r="S243" s="509"/>
    </row>
    <row r="244" spans="1:19" s="22" customFormat="1" ht="21.75" customHeight="1">
      <c r="A244" s="196" t="s">
        <v>2498</v>
      </c>
      <c r="B244" s="197" t="s">
        <v>2533</v>
      </c>
      <c r="C244" s="199" t="s">
        <v>2534</v>
      </c>
      <c r="D244" s="897"/>
      <c r="E244" s="198" t="s">
        <v>1783</v>
      </c>
      <c r="F244" s="332">
        <f>F243</f>
        <v>139.23985459999997</v>
      </c>
      <c r="G244" s="332"/>
      <c r="H244" s="332">
        <f t="shared" si="26"/>
        <v>0</v>
      </c>
      <c r="I244" s="333">
        <v>0</v>
      </c>
      <c r="J244" s="334"/>
      <c r="K244" s="509"/>
      <c r="L244" s="509"/>
      <c r="M244" s="509"/>
      <c r="N244" s="509"/>
      <c r="O244" s="509"/>
      <c r="P244" s="509"/>
      <c r="Q244" s="509"/>
      <c r="R244" s="509"/>
      <c r="S244" s="509"/>
    </row>
    <row r="245" spans="1:19" s="22" customFormat="1" ht="21.75" customHeight="1">
      <c r="A245" s="196" t="s">
        <v>2501</v>
      </c>
      <c r="B245" s="197" t="s">
        <v>2536</v>
      </c>
      <c r="C245" s="199" t="s">
        <v>2537</v>
      </c>
      <c r="D245" s="897"/>
      <c r="E245" s="198" t="s">
        <v>1783</v>
      </c>
      <c r="F245" s="332">
        <f>F243</f>
        <v>139.23985459999997</v>
      </c>
      <c r="G245" s="332"/>
      <c r="H245" s="332">
        <f t="shared" si="26"/>
        <v>0</v>
      </c>
      <c r="I245" s="333">
        <v>0</v>
      </c>
      <c r="J245" s="334"/>
      <c r="K245" s="509"/>
      <c r="L245" s="509"/>
      <c r="M245" s="509"/>
      <c r="N245" s="509"/>
      <c r="O245" s="509"/>
      <c r="P245" s="509"/>
      <c r="Q245" s="509"/>
      <c r="R245" s="509"/>
      <c r="S245" s="509"/>
    </row>
    <row r="246" spans="1:19" s="22" customFormat="1" ht="21.75" customHeight="1">
      <c r="A246" s="196" t="s">
        <v>2504</v>
      </c>
      <c r="B246" s="197" t="s">
        <v>2539</v>
      </c>
      <c r="C246" s="199" t="s">
        <v>2540</v>
      </c>
      <c r="D246" s="897"/>
      <c r="E246" s="198" t="s">
        <v>1783</v>
      </c>
      <c r="F246" s="332">
        <f>F243*14</f>
        <v>1949.3579643999997</v>
      </c>
      <c r="G246" s="332"/>
      <c r="H246" s="332">
        <f t="shared" si="26"/>
        <v>0</v>
      </c>
      <c r="I246" s="333">
        <v>0</v>
      </c>
      <c r="J246" s="334"/>
      <c r="K246" s="509"/>
      <c r="L246" s="509"/>
      <c r="M246" s="509"/>
      <c r="N246" s="509"/>
      <c r="O246" s="509"/>
      <c r="P246" s="509"/>
      <c r="Q246" s="509"/>
      <c r="R246" s="509"/>
      <c r="S246" s="509"/>
    </row>
    <row r="247" spans="1:19" s="22" customFormat="1" ht="21.75" customHeight="1">
      <c r="A247" s="196" t="s">
        <v>2507</v>
      </c>
      <c r="B247" s="197" t="s">
        <v>2542</v>
      </c>
      <c r="C247" s="199" t="s">
        <v>2543</v>
      </c>
      <c r="D247" s="897"/>
      <c r="E247" s="198" t="s">
        <v>1783</v>
      </c>
      <c r="F247" s="332">
        <f>F244-F248-F249+F250</f>
        <v>83.11952999999997</v>
      </c>
      <c r="G247" s="332"/>
      <c r="H247" s="332">
        <f t="shared" si="26"/>
        <v>0</v>
      </c>
      <c r="I247" s="333">
        <v>0</v>
      </c>
      <c r="J247" s="334"/>
      <c r="K247" s="693"/>
      <c r="L247" s="693"/>
      <c r="M247" s="693"/>
      <c r="N247" s="693"/>
      <c r="O247" s="693"/>
      <c r="P247" s="693"/>
      <c r="Q247" s="694"/>
      <c r="R247" s="509"/>
      <c r="S247" s="509"/>
    </row>
    <row r="248" spans="1:19" s="22" customFormat="1" ht="21.75" customHeight="1">
      <c r="A248" s="854" t="s">
        <v>2510</v>
      </c>
      <c r="B248" s="855" t="s">
        <v>2545</v>
      </c>
      <c r="C248" s="856" t="s">
        <v>2546</v>
      </c>
      <c r="D248" s="954"/>
      <c r="E248" s="857" t="s">
        <v>1783</v>
      </c>
      <c r="F248" s="858">
        <v>0</v>
      </c>
      <c r="G248" s="858"/>
      <c r="H248" s="858">
        <f t="shared" si="26"/>
        <v>0</v>
      </c>
      <c r="I248" s="859">
        <v>0</v>
      </c>
      <c r="J248" s="860"/>
      <c r="K248" s="509"/>
      <c r="L248" s="509"/>
      <c r="M248" s="509"/>
      <c r="N248" s="509"/>
      <c r="O248" s="509"/>
      <c r="P248" s="509"/>
      <c r="Q248" s="509"/>
      <c r="R248" s="509"/>
      <c r="S248" s="509"/>
    </row>
    <row r="249" spans="1:10" s="847" customFormat="1" ht="21.75" customHeight="1">
      <c r="A249" s="868" t="s">
        <v>2514</v>
      </c>
      <c r="B249" s="869" t="s">
        <v>2743</v>
      </c>
      <c r="C249" s="870" t="s">
        <v>2744</v>
      </c>
      <c r="D249" s="955"/>
      <c r="E249" s="871" t="s">
        <v>1783</v>
      </c>
      <c r="F249" s="872">
        <f>J213+J215+J217+J220+J222+J224*0.5</f>
        <v>44.1936386</v>
      </c>
      <c r="G249" s="872"/>
      <c r="H249" s="872">
        <f t="shared" si="26"/>
        <v>0</v>
      </c>
      <c r="I249" s="873"/>
      <c r="J249" s="874"/>
    </row>
    <row r="250" spans="1:10" s="847" customFormat="1" ht="21.75" customHeight="1">
      <c r="A250" s="868" t="s">
        <v>2517</v>
      </c>
      <c r="B250" s="862" t="s">
        <v>2745</v>
      </c>
      <c r="C250" s="863" t="s">
        <v>2746</v>
      </c>
      <c r="D250" s="956"/>
      <c r="E250" s="864" t="s">
        <v>1783</v>
      </c>
      <c r="F250" s="865">
        <f>(J224*0.5+J227+J228+J229+J230+J231+J232+J233+J234+J235+J236+J237+J238)*-1</f>
        <v>-11.926686</v>
      </c>
      <c r="G250" s="865"/>
      <c r="H250" s="865">
        <f t="shared" si="26"/>
        <v>0</v>
      </c>
      <c r="I250" s="866"/>
      <c r="J250" s="867"/>
    </row>
    <row r="251" spans="1:20" s="22" customFormat="1" ht="14.25" customHeight="1" thickBot="1">
      <c r="A251" s="255"/>
      <c r="B251" s="256"/>
      <c r="C251" s="264"/>
      <c r="D251" s="906"/>
      <c r="E251" s="257"/>
      <c r="F251" s="368"/>
      <c r="G251" s="368"/>
      <c r="H251" s="368"/>
      <c r="I251" s="369"/>
      <c r="J251" s="370"/>
      <c r="K251" s="509"/>
      <c r="L251" s="509"/>
      <c r="M251" s="509"/>
      <c r="N251" s="509"/>
      <c r="O251" s="509"/>
      <c r="P251" s="509"/>
      <c r="Q251" s="509"/>
      <c r="R251" s="509"/>
      <c r="S251" s="509"/>
      <c r="T251" s="509"/>
    </row>
    <row r="252" spans="1:19" ht="16.5" customHeight="1" thickBot="1">
      <c r="A252" s="266" t="s">
        <v>2547</v>
      </c>
      <c r="B252" s="175" t="s">
        <v>2548</v>
      </c>
      <c r="C252" s="176" t="s">
        <v>2549</v>
      </c>
      <c r="D252" s="175"/>
      <c r="E252" s="175"/>
      <c r="F252" s="341"/>
      <c r="G252" s="341"/>
      <c r="H252" s="342">
        <f>SUM(H253:H281)</f>
        <v>0</v>
      </c>
      <c r="I252" s="343"/>
      <c r="J252" s="344">
        <f>SUM(J253:J280)</f>
        <v>0.5073322819999999</v>
      </c>
      <c r="K252" s="670"/>
      <c r="L252" s="670"/>
      <c r="M252" s="670"/>
      <c r="N252" s="670"/>
      <c r="O252" s="670"/>
      <c r="P252" s="670"/>
      <c r="Q252" s="670"/>
      <c r="R252" s="670"/>
      <c r="S252" s="670"/>
    </row>
    <row r="253" spans="1:19" s="22" customFormat="1" ht="14.25" customHeight="1">
      <c r="A253" s="190"/>
      <c r="B253" s="191"/>
      <c r="C253" s="265"/>
      <c r="D253" s="896"/>
      <c r="E253" s="192"/>
      <c r="F253" s="345"/>
      <c r="G253" s="345"/>
      <c r="H253" s="345"/>
      <c r="I253" s="346"/>
      <c r="J253" s="347"/>
      <c r="K253" s="509"/>
      <c r="L253" s="509"/>
      <c r="M253" s="509"/>
      <c r="N253" s="509"/>
      <c r="O253" s="509"/>
      <c r="P253" s="509"/>
      <c r="Q253" s="509"/>
      <c r="R253" s="509"/>
      <c r="S253" s="509"/>
    </row>
    <row r="254" spans="1:19" s="22" customFormat="1" ht="29.25" customHeight="1">
      <c r="A254" s="196" t="s">
        <v>2550</v>
      </c>
      <c r="B254" s="197" t="s">
        <v>2551</v>
      </c>
      <c r="C254" s="199" t="s">
        <v>2552</v>
      </c>
      <c r="D254" s="897" t="s">
        <v>2806</v>
      </c>
      <c r="E254" s="198" t="s">
        <v>1748</v>
      </c>
      <c r="F254" s="332">
        <f>SUM(E255)</f>
        <v>50.999999999999986</v>
      </c>
      <c r="G254" s="332"/>
      <c r="H254" s="332">
        <f>F254*G254</f>
        <v>0</v>
      </c>
      <c r="I254" s="333">
        <v>0.00052</v>
      </c>
      <c r="J254" s="334">
        <f>F254*I254</f>
        <v>0.02651999999999999</v>
      </c>
      <c r="K254" s="509"/>
      <c r="L254" s="509"/>
      <c r="M254" s="509"/>
      <c r="N254" s="509"/>
      <c r="O254" s="509"/>
      <c r="P254" s="509"/>
      <c r="Q254" s="509"/>
      <c r="R254" s="509"/>
      <c r="S254" s="509"/>
    </row>
    <row r="255" spans="1:19" s="130" customFormat="1" ht="20.25" customHeight="1">
      <c r="A255" s="204"/>
      <c r="B255" s="224" t="s">
        <v>1749</v>
      </c>
      <c r="C255" s="205" t="s">
        <v>1188</v>
      </c>
      <c r="D255" s="898"/>
      <c r="E255" s="207">
        <f>(35.4+43.8)*0.6+(1.3+4.5)*0.6</f>
        <v>50.999999999999986</v>
      </c>
      <c r="F255" s="335"/>
      <c r="G255" s="335"/>
      <c r="H255" s="335"/>
      <c r="I255" s="336"/>
      <c r="J255" s="337"/>
      <c r="K255" s="672"/>
      <c r="L255" s="672"/>
      <c r="M255" s="672"/>
      <c r="N255" s="672"/>
      <c r="O255" s="672"/>
      <c r="P255" s="672"/>
      <c r="Q255" s="673"/>
      <c r="R255" s="508"/>
      <c r="S255" s="508"/>
    </row>
    <row r="256" spans="1:19" s="22" customFormat="1" ht="22.5" customHeight="1">
      <c r="A256" s="196" t="s">
        <v>2554</v>
      </c>
      <c r="B256" s="197" t="s">
        <v>2555</v>
      </c>
      <c r="C256" s="199" t="s">
        <v>2556</v>
      </c>
      <c r="D256" s="897" t="s">
        <v>2806</v>
      </c>
      <c r="E256" s="198" t="s">
        <v>1748</v>
      </c>
      <c r="F256" s="332">
        <f>E257</f>
        <v>50.999999999999986</v>
      </c>
      <c r="G256" s="332"/>
      <c r="H256" s="332">
        <f>F256*G256</f>
        <v>0</v>
      </c>
      <c r="I256" s="333">
        <v>0.00058</v>
      </c>
      <c r="J256" s="334">
        <f>F256*I256</f>
        <v>0.02957999999999999</v>
      </c>
      <c r="K256" s="693"/>
      <c r="L256" s="693"/>
      <c r="M256" s="693"/>
      <c r="N256" s="693"/>
      <c r="O256" s="693"/>
      <c r="P256" s="693"/>
      <c r="Q256" s="694"/>
      <c r="R256" s="509"/>
      <c r="S256" s="509"/>
    </row>
    <row r="257" spans="1:19" s="130" customFormat="1" ht="20.25" customHeight="1">
      <c r="A257" s="204"/>
      <c r="B257" s="224" t="s">
        <v>1749</v>
      </c>
      <c r="C257" s="205" t="s">
        <v>1188</v>
      </c>
      <c r="D257" s="1203"/>
      <c r="E257" s="207">
        <f>(35.4+43.8)*0.6+(1.3+4.5)*0.6</f>
        <v>50.999999999999986</v>
      </c>
      <c r="F257" s="335"/>
      <c r="G257" s="335"/>
      <c r="H257" s="335"/>
      <c r="I257" s="336"/>
      <c r="J257" s="337"/>
      <c r="K257" s="672"/>
      <c r="L257" s="672"/>
      <c r="M257" s="672"/>
      <c r="N257" s="672"/>
      <c r="O257" s="672"/>
      <c r="P257" s="672"/>
      <c r="Q257" s="673"/>
      <c r="R257" s="508"/>
      <c r="S257" s="508"/>
    </row>
    <row r="258" spans="1:19" s="22" customFormat="1" ht="22.5" customHeight="1">
      <c r="A258" s="196" t="s">
        <v>2557</v>
      </c>
      <c r="B258" s="197" t="s">
        <v>2558</v>
      </c>
      <c r="C258" s="199" t="s">
        <v>2559</v>
      </c>
      <c r="D258" s="1204" t="s">
        <v>2806</v>
      </c>
      <c r="E258" s="198" t="s">
        <v>1748</v>
      </c>
      <c r="F258" s="1028">
        <f>E259</f>
        <v>72.60479999999998</v>
      </c>
      <c r="G258" s="332"/>
      <c r="H258" s="332">
        <f>F258*G258</f>
        <v>0</v>
      </c>
      <c r="I258" s="333">
        <v>0.0045</v>
      </c>
      <c r="J258" s="334">
        <f>F258*I258</f>
        <v>0.3267215999999999</v>
      </c>
      <c r="K258" s="693"/>
      <c r="L258" s="693"/>
      <c r="M258" s="693"/>
      <c r="N258" s="693"/>
      <c r="O258" s="693"/>
      <c r="P258" s="693"/>
      <c r="Q258" s="694"/>
      <c r="R258" s="509"/>
      <c r="S258" s="509"/>
    </row>
    <row r="259" spans="1:19" s="130" customFormat="1" ht="20.25" customHeight="1">
      <c r="A259" s="204"/>
      <c r="B259" s="224" t="s">
        <v>1749</v>
      </c>
      <c r="C259" s="205" t="s">
        <v>2855</v>
      </c>
      <c r="D259" s="1203"/>
      <c r="E259" s="207">
        <f>((35.4+43.8)*0.6*1.2+(1.3+4.5)*0.6)*1.2</f>
        <v>72.60479999999998</v>
      </c>
      <c r="F259" s="335"/>
      <c r="G259" s="335"/>
      <c r="H259" s="335"/>
      <c r="I259" s="336"/>
      <c r="J259" s="337"/>
      <c r="K259" s="672"/>
      <c r="L259" s="672"/>
      <c r="M259" s="672"/>
      <c r="N259" s="672"/>
      <c r="O259" s="672"/>
      <c r="P259" s="672"/>
      <c r="Q259" s="673"/>
      <c r="R259" s="508"/>
      <c r="S259" s="508"/>
    </row>
    <row r="260" spans="1:19" s="22" customFormat="1" ht="14.25" customHeight="1">
      <c r="A260" s="196"/>
      <c r="B260" s="197"/>
      <c r="C260" s="199"/>
      <c r="D260" s="1204"/>
      <c r="E260" s="198"/>
      <c r="F260" s="332"/>
      <c r="G260" s="332"/>
      <c r="H260" s="332"/>
      <c r="I260" s="333"/>
      <c r="J260" s="334"/>
      <c r="K260" s="693"/>
      <c r="L260" s="693"/>
      <c r="M260" s="693"/>
      <c r="N260" s="693"/>
      <c r="O260" s="693"/>
      <c r="P260" s="693"/>
      <c r="Q260" s="694"/>
      <c r="R260" s="509"/>
      <c r="S260" s="509"/>
    </row>
    <row r="261" spans="1:19" s="22" customFormat="1" ht="26.25" customHeight="1">
      <c r="A261" s="196" t="s">
        <v>2560</v>
      </c>
      <c r="B261" s="197" t="s">
        <v>978</v>
      </c>
      <c r="C261" s="199" t="s">
        <v>979</v>
      </c>
      <c r="D261" s="897" t="s">
        <v>2806</v>
      </c>
      <c r="E261" s="198" t="s">
        <v>1748</v>
      </c>
      <c r="F261" s="332">
        <f>SUM(E262:E263)</f>
        <v>10.0999</v>
      </c>
      <c r="G261" s="332"/>
      <c r="H261" s="332">
        <f>F261*G261</f>
        <v>0</v>
      </c>
      <c r="I261" s="333">
        <v>0.00017</v>
      </c>
      <c r="J261" s="334">
        <f>F261*I261</f>
        <v>0.001716983</v>
      </c>
      <c r="K261" s="693"/>
      <c r="L261" s="693"/>
      <c r="M261" s="693"/>
      <c r="N261" s="693"/>
      <c r="O261" s="693"/>
      <c r="P261" s="693"/>
      <c r="Q261" s="694"/>
      <c r="R261" s="509"/>
      <c r="S261" s="509"/>
    </row>
    <row r="262" spans="1:19" s="130" customFormat="1" ht="22.5" customHeight="1">
      <c r="A262" s="204"/>
      <c r="B262" s="205" t="s">
        <v>878</v>
      </c>
      <c r="C262" s="206" t="s">
        <v>980</v>
      </c>
      <c r="D262" s="898"/>
      <c r="E262" s="207">
        <f>(2.36+3.33)*1.1</f>
        <v>6.259</v>
      </c>
      <c r="F262" s="335"/>
      <c r="G262" s="335"/>
      <c r="H262" s="335"/>
      <c r="I262" s="336"/>
      <c r="J262" s="337"/>
      <c r="K262" s="672"/>
      <c r="L262" s="672"/>
      <c r="M262" s="672"/>
      <c r="N262" s="672"/>
      <c r="O262" s="672"/>
      <c r="P262" s="672"/>
      <c r="Q262" s="673"/>
      <c r="R262" s="508"/>
      <c r="S262" s="508"/>
    </row>
    <row r="263" spans="1:19" s="1240" customFormat="1" ht="15" customHeight="1">
      <c r="A263" s="1245"/>
      <c r="B263" s="1252" t="s">
        <v>639</v>
      </c>
      <c r="C263" s="1253" t="s">
        <v>2980</v>
      </c>
      <c r="D263" s="1246"/>
      <c r="E263" s="1254">
        <f>0.93*(2.9+1.23)</f>
        <v>3.8409</v>
      </c>
      <c r="F263" s="1249"/>
      <c r="G263" s="1249"/>
      <c r="H263" s="1249"/>
      <c r="I263" s="1251"/>
      <c r="J263" s="1255"/>
      <c r="K263" s="1239"/>
      <c r="L263" s="1239"/>
      <c r="M263" s="1239"/>
      <c r="N263" s="1239"/>
      <c r="O263" s="1239"/>
      <c r="P263" s="1239"/>
      <c r="Q263" s="1239"/>
      <c r="R263" s="1239"/>
      <c r="S263" s="1239"/>
    </row>
    <row r="264" spans="1:19" s="22" customFormat="1" ht="22.5" customHeight="1">
      <c r="A264" s="196" t="s">
        <v>2563</v>
      </c>
      <c r="B264" s="197" t="s">
        <v>982</v>
      </c>
      <c r="C264" s="199" t="s">
        <v>983</v>
      </c>
      <c r="D264" s="897" t="s">
        <v>2806</v>
      </c>
      <c r="E264" s="198" t="s">
        <v>1748</v>
      </c>
      <c r="F264" s="332">
        <f>SUM(E265:E266)</f>
        <v>10.0999</v>
      </c>
      <c r="G264" s="332"/>
      <c r="H264" s="332">
        <f>F264*G264</f>
        <v>0</v>
      </c>
      <c r="I264" s="333">
        <v>0.00041</v>
      </c>
      <c r="J264" s="334">
        <f>F264*I264</f>
        <v>0.004140959</v>
      </c>
      <c r="K264" s="693"/>
      <c r="L264" s="693"/>
      <c r="M264" s="693"/>
      <c r="N264" s="693"/>
      <c r="O264" s="693"/>
      <c r="P264" s="693"/>
      <c r="Q264" s="694"/>
      <c r="R264" s="509"/>
      <c r="S264" s="509"/>
    </row>
    <row r="265" spans="1:19" s="130" customFormat="1" ht="22.5" customHeight="1">
      <c r="A265" s="204"/>
      <c r="B265" s="205" t="s">
        <v>878</v>
      </c>
      <c r="C265" s="206" t="s">
        <v>980</v>
      </c>
      <c r="D265" s="898"/>
      <c r="E265" s="207">
        <f>(2.36+3.33)*1.1</f>
        <v>6.259</v>
      </c>
      <c r="F265" s="335"/>
      <c r="G265" s="335"/>
      <c r="H265" s="335"/>
      <c r="I265" s="336"/>
      <c r="J265" s="337"/>
      <c r="K265" s="672"/>
      <c r="L265" s="672"/>
      <c r="M265" s="672"/>
      <c r="N265" s="672"/>
      <c r="O265" s="672"/>
      <c r="P265" s="672"/>
      <c r="Q265" s="673"/>
      <c r="R265" s="508"/>
      <c r="S265" s="508"/>
    </row>
    <row r="266" spans="1:19" s="1240" customFormat="1" ht="15" customHeight="1">
      <c r="A266" s="1245"/>
      <c r="B266" s="1252" t="s">
        <v>639</v>
      </c>
      <c r="C266" s="1253" t="s">
        <v>2980</v>
      </c>
      <c r="D266" s="1246"/>
      <c r="E266" s="1254">
        <f>0.93*(2.9+1.23)</f>
        <v>3.8409</v>
      </c>
      <c r="F266" s="1249"/>
      <c r="G266" s="1249"/>
      <c r="H266" s="1249"/>
      <c r="I266" s="1251"/>
      <c r="J266" s="1255"/>
      <c r="K266" s="1239"/>
      <c r="L266" s="1239"/>
      <c r="M266" s="1239"/>
      <c r="N266" s="1239"/>
      <c r="O266" s="1239"/>
      <c r="P266" s="1239"/>
      <c r="Q266" s="1239"/>
      <c r="R266" s="1239"/>
      <c r="S266" s="1239"/>
    </row>
    <row r="267" spans="1:19" s="22" customFormat="1" ht="22.5" customHeight="1">
      <c r="A267" s="196" t="s">
        <v>2566</v>
      </c>
      <c r="B267" s="197" t="s">
        <v>2619</v>
      </c>
      <c r="C267" s="199" t="s">
        <v>984</v>
      </c>
      <c r="D267" s="898"/>
      <c r="E267" s="198" t="s">
        <v>1748</v>
      </c>
      <c r="F267" s="1028">
        <f>SUM(E268:E269)</f>
        <v>11.913625</v>
      </c>
      <c r="G267" s="332"/>
      <c r="H267" s="332">
        <f>F267*G267</f>
        <v>0</v>
      </c>
      <c r="I267" s="333">
        <v>0.004</v>
      </c>
      <c r="J267" s="334">
        <f>F267*I267</f>
        <v>0.0476545</v>
      </c>
      <c r="K267" s="693"/>
      <c r="L267" s="693"/>
      <c r="M267" s="693"/>
      <c r="N267" s="693"/>
      <c r="O267" s="693"/>
      <c r="P267" s="693"/>
      <c r="Q267" s="694"/>
      <c r="R267" s="509"/>
      <c r="S267" s="509"/>
    </row>
    <row r="268" spans="1:19" s="130" customFormat="1" ht="22.5" customHeight="1">
      <c r="A268" s="204"/>
      <c r="B268" s="205" t="s">
        <v>878</v>
      </c>
      <c r="C268" s="206" t="s">
        <v>2857</v>
      </c>
      <c r="D268" s="898"/>
      <c r="E268" s="207">
        <f>(2.36+3.33)*1.25</f>
        <v>7.112499999999999</v>
      </c>
      <c r="F268" s="335"/>
      <c r="G268" s="335"/>
      <c r="H268" s="335"/>
      <c r="I268" s="336"/>
      <c r="J268" s="337"/>
      <c r="K268" s="672"/>
      <c r="L268" s="672"/>
      <c r="M268" s="672"/>
      <c r="N268" s="672"/>
      <c r="O268" s="672"/>
      <c r="P268" s="672"/>
      <c r="Q268" s="673"/>
      <c r="R268" s="508"/>
      <c r="S268" s="508"/>
    </row>
    <row r="269" spans="1:19" s="1240" customFormat="1" ht="15" customHeight="1">
      <c r="A269" s="1245"/>
      <c r="B269" s="1252" t="s">
        <v>639</v>
      </c>
      <c r="C269" s="1253" t="s">
        <v>2981</v>
      </c>
      <c r="D269" s="1246"/>
      <c r="E269" s="1254">
        <f>(0.93*(2.9+1.23))*1.25</f>
        <v>4.801125</v>
      </c>
      <c r="F269" s="1249"/>
      <c r="G269" s="1249"/>
      <c r="H269" s="1249"/>
      <c r="I269" s="1251"/>
      <c r="J269" s="1255"/>
      <c r="K269" s="1239"/>
      <c r="L269" s="1239"/>
      <c r="M269" s="1239"/>
      <c r="N269" s="1239"/>
      <c r="O269" s="1239"/>
      <c r="P269" s="1239"/>
      <c r="Q269" s="1239"/>
      <c r="R269" s="1239"/>
      <c r="S269" s="1239"/>
    </row>
    <row r="270" spans="1:20" s="1034" customFormat="1" ht="19.5" customHeight="1">
      <c r="A270" s="1023" t="s">
        <v>2861</v>
      </c>
      <c r="B270" s="1024" t="s">
        <v>2859</v>
      </c>
      <c r="C270" s="1025" t="s">
        <v>2860</v>
      </c>
      <c r="D270" s="1026"/>
      <c r="E270" s="1027" t="s">
        <v>1748</v>
      </c>
      <c r="F270" s="1028">
        <f>F271</f>
        <v>8.019</v>
      </c>
      <c r="G270" s="1028"/>
      <c r="H270" s="1028">
        <f>F270*G270</f>
        <v>0</v>
      </c>
      <c r="I270" s="1029">
        <v>0.00021</v>
      </c>
      <c r="J270" s="1090">
        <f>F270*I270</f>
        <v>0.00168399</v>
      </c>
      <c r="K270" s="1033"/>
      <c r="L270" s="1033"/>
      <c r="M270" s="1033"/>
      <c r="N270" s="1033"/>
      <c r="O270" s="1033"/>
      <c r="P270" s="1033"/>
      <c r="Q270" s="1033"/>
      <c r="R270" s="1033"/>
      <c r="S270" s="1033"/>
      <c r="T270" s="1033"/>
    </row>
    <row r="271" spans="1:19" s="22" customFormat="1" ht="22.5" customHeight="1">
      <c r="A271" s="196" t="s">
        <v>2569</v>
      </c>
      <c r="B271" s="197" t="s">
        <v>2570</v>
      </c>
      <c r="C271" s="199" t="s">
        <v>2571</v>
      </c>
      <c r="D271" s="897" t="s">
        <v>2806</v>
      </c>
      <c r="E271" s="198" t="s">
        <v>1748</v>
      </c>
      <c r="F271" s="1236">
        <f>SUM(E272:E273)</f>
        <v>8.019</v>
      </c>
      <c r="G271" s="332"/>
      <c r="H271" s="332">
        <f>F271*G271</f>
        <v>0</v>
      </c>
      <c r="I271" s="333">
        <v>0.003</v>
      </c>
      <c r="J271" s="334">
        <f>F271*I271</f>
        <v>0.024057000000000002</v>
      </c>
      <c r="K271" s="693"/>
      <c r="L271" s="693"/>
      <c r="M271" s="693"/>
      <c r="N271" s="693"/>
      <c r="O271" s="693"/>
      <c r="P271" s="693"/>
      <c r="Q271" s="694"/>
      <c r="R271" s="509"/>
      <c r="S271" s="509"/>
    </row>
    <row r="272" spans="1:19" s="130" customFormat="1" ht="22.5" customHeight="1">
      <c r="A272" s="204"/>
      <c r="B272" s="205" t="s">
        <v>878</v>
      </c>
      <c r="C272" s="206" t="s">
        <v>980</v>
      </c>
      <c r="D272" s="898"/>
      <c r="E272" s="207">
        <f>(2.36+3.33)*1.1</f>
        <v>6.259</v>
      </c>
      <c r="F272" s="335"/>
      <c r="G272" s="335"/>
      <c r="H272" s="335"/>
      <c r="I272" s="336"/>
      <c r="J272" s="337"/>
      <c r="K272" s="672"/>
      <c r="L272" s="672"/>
      <c r="M272" s="672"/>
      <c r="N272" s="672"/>
      <c r="O272" s="672"/>
      <c r="P272" s="672"/>
      <c r="Q272" s="673"/>
      <c r="R272" s="508"/>
      <c r="S272" s="508"/>
    </row>
    <row r="273" spans="1:19" s="130" customFormat="1" ht="17.25" customHeight="1">
      <c r="A273" s="204"/>
      <c r="B273" s="1252" t="s">
        <v>1767</v>
      </c>
      <c r="C273" s="1253" t="s">
        <v>840</v>
      </c>
      <c r="D273" s="1252" t="s">
        <v>2758</v>
      </c>
      <c r="E273" s="1254">
        <f>1.76</f>
        <v>1.76</v>
      </c>
      <c r="F273" s="335"/>
      <c r="G273" s="335"/>
      <c r="H273" s="335"/>
      <c r="I273" s="336"/>
      <c r="J273" s="337"/>
      <c r="K273" s="672"/>
      <c r="L273" s="672"/>
      <c r="M273" s="672"/>
      <c r="N273" s="672"/>
      <c r="O273" s="672"/>
      <c r="P273" s="672"/>
      <c r="Q273" s="673"/>
      <c r="R273" s="508"/>
      <c r="S273" s="508"/>
    </row>
    <row r="274" spans="1:19" s="22" customFormat="1" ht="30" customHeight="1">
      <c r="A274" s="196" t="s">
        <v>2573</v>
      </c>
      <c r="B274" s="197" t="s">
        <v>1720</v>
      </c>
      <c r="C274" s="199" t="s">
        <v>2574</v>
      </c>
      <c r="D274" s="897" t="s">
        <v>2806</v>
      </c>
      <c r="E274" s="198" t="s">
        <v>1748</v>
      </c>
      <c r="F274" s="332">
        <f>SUM(E275:E275)</f>
        <v>6.259</v>
      </c>
      <c r="G274" s="332"/>
      <c r="H274" s="332">
        <f>F274*G274</f>
        <v>0</v>
      </c>
      <c r="I274" s="333">
        <v>0.003</v>
      </c>
      <c r="J274" s="334">
        <f>F274*I274</f>
        <v>0.018777000000000002</v>
      </c>
      <c r="K274" s="693"/>
      <c r="L274" s="693"/>
      <c r="M274" s="693"/>
      <c r="N274" s="693"/>
      <c r="O274" s="693"/>
      <c r="P274" s="693"/>
      <c r="Q274" s="694"/>
      <c r="R274" s="509"/>
      <c r="S274" s="509"/>
    </row>
    <row r="275" spans="1:19" s="130" customFormat="1" ht="22.5" customHeight="1">
      <c r="A275" s="204"/>
      <c r="B275" s="205" t="s">
        <v>878</v>
      </c>
      <c r="C275" s="206" t="s">
        <v>980</v>
      </c>
      <c r="D275" s="898"/>
      <c r="E275" s="207">
        <f>(2.36+3.33)*1.1</f>
        <v>6.259</v>
      </c>
      <c r="F275" s="335"/>
      <c r="G275" s="335"/>
      <c r="H275" s="335"/>
      <c r="I275" s="336"/>
      <c r="J275" s="337"/>
      <c r="K275" s="672"/>
      <c r="L275" s="672"/>
      <c r="M275" s="672"/>
      <c r="N275" s="672"/>
      <c r="O275" s="672"/>
      <c r="P275" s="672"/>
      <c r="Q275" s="673"/>
      <c r="R275" s="508"/>
      <c r="S275" s="508"/>
    </row>
    <row r="276" spans="1:19" s="22" customFormat="1" ht="22.5" customHeight="1">
      <c r="A276" s="196" t="s">
        <v>2575</v>
      </c>
      <c r="B276" s="197" t="s">
        <v>2576</v>
      </c>
      <c r="C276" s="199" t="s">
        <v>2577</v>
      </c>
      <c r="D276" s="897" t="s">
        <v>2806</v>
      </c>
      <c r="E276" s="198" t="s">
        <v>1826</v>
      </c>
      <c r="F276" s="332">
        <v>8.4</v>
      </c>
      <c r="G276" s="332"/>
      <c r="H276" s="332">
        <f>F276*G276</f>
        <v>0</v>
      </c>
      <c r="I276" s="333">
        <v>0.003</v>
      </c>
      <c r="J276" s="334">
        <f>F276*I276</f>
        <v>0.0252</v>
      </c>
      <c r="K276" s="693"/>
      <c r="L276" s="693"/>
      <c r="M276" s="693"/>
      <c r="N276" s="693"/>
      <c r="O276" s="693"/>
      <c r="P276" s="693"/>
      <c r="Q276" s="694"/>
      <c r="R276" s="509"/>
      <c r="S276" s="509"/>
    </row>
    <row r="277" spans="1:19" s="22" customFormat="1" ht="22.5" customHeight="1">
      <c r="A277" s="196" t="s">
        <v>2578</v>
      </c>
      <c r="B277" s="197" t="s">
        <v>2579</v>
      </c>
      <c r="C277" s="199" t="s">
        <v>2580</v>
      </c>
      <c r="D277" s="897" t="s">
        <v>2806</v>
      </c>
      <c r="E277" s="198" t="s">
        <v>1748</v>
      </c>
      <c r="F277" s="332">
        <f>SUM(E278:E278)</f>
        <v>6.259</v>
      </c>
      <c r="G277" s="332"/>
      <c r="H277" s="332">
        <f>F277*G277</f>
        <v>0</v>
      </c>
      <c r="I277" s="333">
        <v>0</v>
      </c>
      <c r="J277" s="334">
        <f>F277*I277</f>
        <v>0</v>
      </c>
      <c r="K277" s="693"/>
      <c r="L277" s="693"/>
      <c r="M277" s="693"/>
      <c r="N277" s="693"/>
      <c r="O277" s="693"/>
      <c r="P277" s="693"/>
      <c r="Q277" s="694"/>
      <c r="R277" s="509"/>
      <c r="S277" s="509"/>
    </row>
    <row r="278" spans="1:19" s="130" customFormat="1" ht="22.5" customHeight="1">
      <c r="A278" s="204"/>
      <c r="B278" s="205" t="s">
        <v>878</v>
      </c>
      <c r="C278" s="206" t="s">
        <v>980</v>
      </c>
      <c r="D278" s="898"/>
      <c r="E278" s="207">
        <f>(2.36+3.33)*1.1</f>
        <v>6.259</v>
      </c>
      <c r="F278" s="335"/>
      <c r="G278" s="335"/>
      <c r="H278" s="335"/>
      <c r="I278" s="336"/>
      <c r="J278" s="337"/>
      <c r="K278" s="672"/>
      <c r="L278" s="672"/>
      <c r="M278" s="672"/>
      <c r="N278" s="672"/>
      <c r="O278" s="672"/>
      <c r="P278" s="672"/>
      <c r="Q278" s="673"/>
      <c r="R278" s="508"/>
      <c r="S278" s="508"/>
    </row>
    <row r="279" spans="1:19" s="22" customFormat="1" ht="22.5" customHeight="1">
      <c r="A279" s="196" t="s">
        <v>2581</v>
      </c>
      <c r="B279" s="197" t="s">
        <v>2582</v>
      </c>
      <c r="C279" s="199" t="s">
        <v>2583</v>
      </c>
      <c r="D279" s="897" t="s">
        <v>2806</v>
      </c>
      <c r="E279" s="198" t="s">
        <v>1748</v>
      </c>
      <c r="F279" s="1028">
        <f>SUM(E280:E280)</f>
        <v>7.112499999999999</v>
      </c>
      <c r="G279" s="332"/>
      <c r="H279" s="332">
        <f>F279*G279</f>
        <v>0</v>
      </c>
      <c r="I279" s="333">
        <v>0.00018</v>
      </c>
      <c r="J279" s="334">
        <f>F279*I279</f>
        <v>0.00128025</v>
      </c>
      <c r="K279" s="693"/>
      <c r="L279" s="693"/>
      <c r="M279" s="693"/>
      <c r="N279" s="693"/>
      <c r="O279" s="693"/>
      <c r="P279" s="693"/>
      <c r="Q279" s="694"/>
      <c r="R279" s="509"/>
      <c r="S279" s="509"/>
    </row>
    <row r="280" spans="1:19" s="130" customFormat="1" ht="15.75" customHeight="1">
      <c r="A280" s="204"/>
      <c r="B280" s="205" t="s">
        <v>878</v>
      </c>
      <c r="C280" s="206" t="s">
        <v>2857</v>
      </c>
      <c r="D280" s="898"/>
      <c r="E280" s="207">
        <f>(2.36+3.33)*1.25</f>
        <v>7.112499999999999</v>
      </c>
      <c r="F280" s="335"/>
      <c r="G280" s="335"/>
      <c r="H280" s="335"/>
      <c r="I280" s="336"/>
      <c r="J280" s="337"/>
      <c r="K280" s="672"/>
      <c r="L280" s="672"/>
      <c r="M280" s="672"/>
      <c r="N280" s="672"/>
      <c r="O280" s="672"/>
      <c r="P280" s="672"/>
      <c r="Q280" s="673"/>
      <c r="R280" s="508"/>
      <c r="S280" s="508"/>
    </row>
    <row r="281" spans="1:19" s="22" customFormat="1" ht="22.5" customHeight="1" thickBot="1">
      <c r="A281" s="255" t="s">
        <v>2586</v>
      </c>
      <c r="B281" s="256" t="s">
        <v>2587</v>
      </c>
      <c r="C281" s="264" t="s">
        <v>2588</v>
      </c>
      <c r="D281" s="906"/>
      <c r="E281" s="257" t="s">
        <v>1783</v>
      </c>
      <c r="F281" s="1120">
        <f>J252</f>
        <v>0.5073322819999999</v>
      </c>
      <c r="G281" s="368"/>
      <c r="H281" s="368">
        <f>F281*G281</f>
        <v>0</v>
      </c>
      <c r="I281" s="369">
        <v>0</v>
      </c>
      <c r="J281" s="370"/>
      <c r="K281" s="509"/>
      <c r="L281" s="509"/>
      <c r="M281" s="509"/>
      <c r="N281" s="509"/>
      <c r="O281" s="509"/>
      <c r="P281" s="509"/>
      <c r="Q281" s="509"/>
      <c r="R281" s="509"/>
      <c r="S281" s="509"/>
    </row>
    <row r="282" spans="1:19" ht="16.5" customHeight="1" thickBot="1">
      <c r="A282" s="266" t="s">
        <v>2589</v>
      </c>
      <c r="B282" s="175" t="s">
        <v>2590</v>
      </c>
      <c r="C282" s="176" t="s">
        <v>2591</v>
      </c>
      <c r="D282" s="175"/>
      <c r="E282" s="175"/>
      <c r="F282" s="341"/>
      <c r="G282" s="341"/>
      <c r="H282" s="342">
        <f>SUM(H283:H298)</f>
        <v>0</v>
      </c>
      <c r="I282" s="343"/>
      <c r="J282" s="344">
        <f>SUM(J283:J296)</f>
        <v>11.842127000000001</v>
      </c>
      <c r="K282" s="670"/>
      <c r="L282" s="670"/>
      <c r="M282" s="670"/>
      <c r="N282" s="670"/>
      <c r="O282" s="670"/>
      <c r="P282" s="670"/>
      <c r="Q282" s="670"/>
      <c r="R282" s="670"/>
      <c r="S282" s="670"/>
    </row>
    <row r="283" spans="1:19" s="22" customFormat="1" ht="30.75" customHeight="1">
      <c r="A283" s="190" t="s">
        <v>2592</v>
      </c>
      <c r="B283" s="191" t="s">
        <v>2593</v>
      </c>
      <c r="C283" s="265" t="s">
        <v>2594</v>
      </c>
      <c r="D283" s="896" t="s">
        <v>2811</v>
      </c>
      <c r="E283" s="192" t="s">
        <v>1748</v>
      </c>
      <c r="F283" s="345">
        <f>E284</f>
        <v>628.6</v>
      </c>
      <c r="G283" s="345"/>
      <c r="H283" s="345">
        <f>F283*G283</f>
        <v>0</v>
      </c>
      <c r="I283" s="346">
        <v>0</v>
      </c>
      <c r="J283" s="347">
        <f>F283*I283</f>
        <v>0</v>
      </c>
      <c r="K283" s="509"/>
      <c r="L283" s="509"/>
      <c r="M283" s="509"/>
      <c r="N283" s="509"/>
      <c r="O283" s="509"/>
      <c r="P283" s="509"/>
      <c r="Q283" s="509"/>
      <c r="R283" s="509"/>
      <c r="S283" s="509"/>
    </row>
    <row r="284" spans="1:19" s="130" customFormat="1" ht="18.75" customHeight="1">
      <c r="A284" s="204"/>
      <c r="B284" s="205" t="s">
        <v>985</v>
      </c>
      <c r="C284" s="206" t="s">
        <v>1065</v>
      </c>
      <c r="D284" s="898"/>
      <c r="E284" s="207">
        <v>628.6</v>
      </c>
      <c r="F284" s="335"/>
      <c r="G284" s="335"/>
      <c r="H284" s="335"/>
      <c r="I284" s="336"/>
      <c r="J284" s="337"/>
      <c r="K284" s="508"/>
      <c r="L284" s="508"/>
      <c r="M284" s="508"/>
      <c r="N284" s="508"/>
      <c r="O284" s="508"/>
      <c r="P284" s="508"/>
      <c r="Q284" s="508"/>
      <c r="R284" s="508"/>
      <c r="S284" s="508"/>
    </row>
    <row r="285" spans="1:19" s="22" customFormat="1" ht="12.75" customHeight="1">
      <c r="A285" s="196"/>
      <c r="B285" s="197"/>
      <c r="C285" s="199"/>
      <c r="D285" s="897"/>
      <c r="E285" s="198"/>
      <c r="F285" s="332"/>
      <c r="G285" s="332"/>
      <c r="H285" s="332"/>
      <c r="I285" s="333"/>
      <c r="J285" s="334"/>
      <c r="K285" s="693"/>
      <c r="L285" s="693"/>
      <c r="M285" s="693"/>
      <c r="N285" s="693"/>
      <c r="O285" s="693"/>
      <c r="P285" s="693"/>
      <c r="Q285" s="694"/>
      <c r="R285" s="509"/>
      <c r="S285" s="509"/>
    </row>
    <row r="286" spans="1:19" s="22" customFormat="1" ht="32.25" customHeight="1">
      <c r="A286" s="196" t="s">
        <v>2598</v>
      </c>
      <c r="B286" s="197" t="s">
        <v>2599</v>
      </c>
      <c r="C286" s="199" t="s">
        <v>986</v>
      </c>
      <c r="D286" s="897" t="s">
        <v>2811</v>
      </c>
      <c r="E286" s="198" t="s">
        <v>1748</v>
      </c>
      <c r="F286" s="332">
        <f>E287</f>
        <v>773.3</v>
      </c>
      <c r="G286" s="332"/>
      <c r="H286" s="332">
        <f aca="true" t="shared" si="27" ref="H286:H294">F286*G286</f>
        <v>0</v>
      </c>
      <c r="I286" s="333">
        <v>0</v>
      </c>
      <c r="J286" s="334">
        <f aca="true" t="shared" si="28" ref="J286:J294">F286*I286</f>
        <v>0</v>
      </c>
      <c r="K286" s="693"/>
      <c r="L286" s="693"/>
      <c r="M286" s="693"/>
      <c r="N286" s="693"/>
      <c r="O286" s="693"/>
      <c r="P286" s="693"/>
      <c r="Q286" s="694"/>
      <c r="R286" s="509"/>
      <c r="S286" s="509"/>
    </row>
    <row r="287" spans="1:19" s="130" customFormat="1" ht="24" customHeight="1">
      <c r="A287" s="204"/>
      <c r="B287" s="205" t="s">
        <v>987</v>
      </c>
      <c r="C287" s="206" t="s">
        <v>1117</v>
      </c>
      <c r="D287" s="898"/>
      <c r="E287" s="207">
        <f>709.3+64</f>
        <v>773.3</v>
      </c>
      <c r="F287" s="335"/>
      <c r="G287" s="335"/>
      <c r="H287" s="335"/>
      <c r="I287" s="336"/>
      <c r="J287" s="337"/>
      <c r="K287" s="508"/>
      <c r="L287" s="508"/>
      <c r="M287" s="508"/>
      <c r="N287" s="508"/>
      <c r="O287" s="508"/>
      <c r="P287" s="508"/>
      <c r="Q287" s="508"/>
      <c r="R287" s="508"/>
      <c r="S287" s="508"/>
    </row>
    <row r="288" spans="1:19" s="22" customFormat="1" ht="24" customHeight="1">
      <c r="A288" s="196" t="s">
        <v>2601</v>
      </c>
      <c r="B288" s="197" t="s">
        <v>2602</v>
      </c>
      <c r="C288" s="199" t="s">
        <v>2603</v>
      </c>
      <c r="D288" s="897" t="s">
        <v>2811</v>
      </c>
      <c r="E288" s="198" t="s">
        <v>1748</v>
      </c>
      <c r="F288" s="1028">
        <f>E289</f>
        <v>889.2949999999998</v>
      </c>
      <c r="G288" s="332"/>
      <c r="H288" s="332">
        <f t="shared" si="27"/>
        <v>0</v>
      </c>
      <c r="I288" s="333">
        <v>0.0047</v>
      </c>
      <c r="J288" s="334">
        <f t="shared" si="28"/>
        <v>4.1796865</v>
      </c>
      <c r="K288" s="693"/>
      <c r="L288" s="693"/>
      <c r="M288" s="693"/>
      <c r="N288" s="693"/>
      <c r="O288" s="693"/>
      <c r="P288" s="693"/>
      <c r="Q288" s="694"/>
      <c r="R288" s="509"/>
      <c r="S288" s="509"/>
    </row>
    <row r="289" spans="1:19" s="130" customFormat="1" ht="24" customHeight="1">
      <c r="A289" s="204"/>
      <c r="B289" s="205" t="s">
        <v>987</v>
      </c>
      <c r="C289" s="206" t="s">
        <v>2950</v>
      </c>
      <c r="D289" s="898"/>
      <c r="E289" s="207">
        <f>(709.3+64)*1.15</f>
        <v>889.2949999999998</v>
      </c>
      <c r="F289" s="335"/>
      <c r="G289" s="335"/>
      <c r="H289" s="335"/>
      <c r="I289" s="336"/>
      <c r="J289" s="337"/>
      <c r="K289" s="508"/>
      <c r="L289" s="508"/>
      <c r="M289" s="508"/>
      <c r="N289" s="508"/>
      <c r="O289" s="508"/>
      <c r="P289" s="508"/>
      <c r="Q289" s="508"/>
      <c r="R289" s="508"/>
      <c r="S289" s="508"/>
    </row>
    <row r="290" spans="1:19" s="22" customFormat="1" ht="24" customHeight="1">
      <c r="A290" s="196" t="s">
        <v>2607</v>
      </c>
      <c r="B290" s="197" t="s">
        <v>2611</v>
      </c>
      <c r="C290" s="199" t="s">
        <v>2612</v>
      </c>
      <c r="D290" s="897" t="s">
        <v>2811</v>
      </c>
      <c r="E290" s="198" t="s">
        <v>1748</v>
      </c>
      <c r="F290" s="332">
        <f>E291</f>
        <v>850.63</v>
      </c>
      <c r="G290" s="332"/>
      <c r="H290" s="332">
        <f t="shared" si="27"/>
        <v>0</v>
      </c>
      <c r="I290" s="333">
        <v>0.00035</v>
      </c>
      <c r="J290" s="334">
        <f t="shared" si="28"/>
        <v>0.2977205</v>
      </c>
      <c r="K290" s="693"/>
      <c r="L290" s="693"/>
      <c r="M290" s="693"/>
      <c r="N290" s="693"/>
      <c r="O290" s="693"/>
      <c r="P290" s="693"/>
      <c r="Q290" s="694"/>
      <c r="R290" s="509"/>
      <c r="S290" s="509"/>
    </row>
    <row r="291" spans="1:19" s="130" customFormat="1" ht="24" customHeight="1">
      <c r="A291" s="204"/>
      <c r="B291" s="205" t="s">
        <v>987</v>
      </c>
      <c r="C291" s="206" t="s">
        <v>1118</v>
      </c>
      <c r="D291" s="898"/>
      <c r="E291" s="207">
        <f>(709.3+64)*1.1</f>
        <v>850.63</v>
      </c>
      <c r="F291" s="335"/>
      <c r="G291" s="335"/>
      <c r="H291" s="335"/>
      <c r="I291" s="336"/>
      <c r="J291" s="337"/>
      <c r="K291" s="508"/>
      <c r="L291" s="508"/>
      <c r="M291" s="508"/>
      <c r="N291" s="508"/>
      <c r="O291" s="508"/>
      <c r="P291" s="508"/>
      <c r="Q291" s="508"/>
      <c r="R291" s="508"/>
      <c r="S291" s="508"/>
    </row>
    <row r="292" spans="1:19" s="22" customFormat="1" ht="24" customHeight="1">
      <c r="A292" s="196" t="s">
        <v>2610</v>
      </c>
      <c r="B292" s="197" t="s">
        <v>2614</v>
      </c>
      <c r="C292" s="199" t="s">
        <v>2615</v>
      </c>
      <c r="D292" s="897" t="s">
        <v>2811</v>
      </c>
      <c r="E292" s="198" t="s">
        <v>1748</v>
      </c>
      <c r="F292" s="1028">
        <f>E293</f>
        <v>966.625</v>
      </c>
      <c r="G292" s="332"/>
      <c r="H292" s="332">
        <f t="shared" si="27"/>
        <v>0</v>
      </c>
      <c r="I292" s="333">
        <v>0.0044</v>
      </c>
      <c r="J292" s="334">
        <f t="shared" si="28"/>
        <v>4.253150000000001</v>
      </c>
      <c r="K292" s="693"/>
      <c r="L292" s="693"/>
      <c r="M292" s="693"/>
      <c r="N292" s="693"/>
      <c r="O292" s="693"/>
      <c r="P292" s="693"/>
      <c r="Q292" s="694"/>
      <c r="R292" s="509"/>
      <c r="S292" s="509"/>
    </row>
    <row r="293" spans="1:19" s="130" customFormat="1" ht="24" customHeight="1">
      <c r="A293" s="204"/>
      <c r="B293" s="205" t="s">
        <v>987</v>
      </c>
      <c r="C293" s="206" t="s">
        <v>2954</v>
      </c>
      <c r="D293" s="898"/>
      <c r="E293" s="207">
        <f>(709.3+64)*1.25</f>
        <v>966.625</v>
      </c>
      <c r="F293" s="335"/>
      <c r="G293" s="335"/>
      <c r="H293" s="335"/>
      <c r="I293" s="336"/>
      <c r="J293" s="337"/>
      <c r="K293" s="508"/>
      <c r="L293" s="508"/>
      <c r="M293" s="508"/>
      <c r="N293" s="508"/>
      <c r="O293" s="508"/>
      <c r="P293" s="508"/>
      <c r="Q293" s="508"/>
      <c r="R293" s="508"/>
      <c r="S293" s="508"/>
    </row>
    <row r="294" spans="1:19" s="22" customFormat="1" ht="24" customHeight="1">
      <c r="A294" s="196" t="s">
        <v>2613</v>
      </c>
      <c r="B294" s="197" t="s">
        <v>2611</v>
      </c>
      <c r="C294" s="199" t="s">
        <v>2617</v>
      </c>
      <c r="D294" s="897" t="s">
        <v>2811</v>
      </c>
      <c r="E294" s="198" t="s">
        <v>1748</v>
      </c>
      <c r="F294" s="332">
        <f>SUM(E295:E295)</f>
        <v>628.6</v>
      </c>
      <c r="G294" s="332"/>
      <c r="H294" s="332">
        <f t="shared" si="27"/>
        <v>0</v>
      </c>
      <c r="I294" s="333">
        <v>0.00035</v>
      </c>
      <c r="J294" s="334">
        <f t="shared" si="28"/>
        <v>0.22001</v>
      </c>
      <c r="K294" s="693"/>
      <c r="L294" s="693"/>
      <c r="M294" s="693"/>
      <c r="N294" s="693"/>
      <c r="O294" s="693"/>
      <c r="P294" s="693"/>
      <c r="Q294" s="694"/>
      <c r="R294" s="509"/>
      <c r="S294" s="509"/>
    </row>
    <row r="295" spans="1:19" s="130" customFormat="1" ht="24" customHeight="1">
      <c r="A295" s="204"/>
      <c r="B295" s="205" t="s">
        <v>985</v>
      </c>
      <c r="C295" s="206" t="s">
        <v>1065</v>
      </c>
      <c r="D295" s="898"/>
      <c r="E295" s="207">
        <v>628.6</v>
      </c>
      <c r="F295" s="335"/>
      <c r="G295" s="335"/>
      <c r="H295" s="335"/>
      <c r="I295" s="336"/>
      <c r="J295" s="337"/>
      <c r="K295" s="508"/>
      <c r="L295" s="508"/>
      <c r="M295" s="508"/>
      <c r="N295" s="508"/>
      <c r="O295" s="508"/>
      <c r="P295" s="508"/>
      <c r="Q295" s="508"/>
      <c r="R295" s="508"/>
      <c r="S295" s="508"/>
    </row>
    <row r="296" spans="1:19" s="22" customFormat="1" ht="18.75" customHeight="1">
      <c r="A296" s="196" t="s">
        <v>2616</v>
      </c>
      <c r="B296" s="197" t="s">
        <v>2619</v>
      </c>
      <c r="C296" s="199" t="s">
        <v>2620</v>
      </c>
      <c r="D296" s="897" t="s">
        <v>2811</v>
      </c>
      <c r="E296" s="198" t="s">
        <v>1748</v>
      </c>
      <c r="F296" s="1028">
        <f>F294*1.15</f>
        <v>722.89</v>
      </c>
      <c r="G296" s="332"/>
      <c r="H296" s="332">
        <f>F296*G296</f>
        <v>0</v>
      </c>
      <c r="I296" s="333">
        <v>0.004</v>
      </c>
      <c r="J296" s="334">
        <f>F296*I296</f>
        <v>2.89156</v>
      </c>
      <c r="K296" s="693"/>
      <c r="L296" s="693"/>
      <c r="M296" s="693"/>
      <c r="N296" s="693"/>
      <c r="O296" s="693"/>
      <c r="P296" s="693"/>
      <c r="Q296" s="694"/>
      <c r="R296" s="509"/>
      <c r="S296" s="509"/>
    </row>
    <row r="297" spans="1:20" s="1034" customFormat="1" ht="17.25" customHeight="1">
      <c r="A297" s="1023" t="s">
        <v>2878</v>
      </c>
      <c r="B297" s="1024" t="s">
        <v>2876</v>
      </c>
      <c r="C297" s="1025" t="s">
        <v>2877</v>
      </c>
      <c r="D297" s="1177"/>
      <c r="E297" s="1027" t="s">
        <v>1748</v>
      </c>
      <c r="F297" s="1028">
        <f>F294</f>
        <v>628.6</v>
      </c>
      <c r="G297" s="1028"/>
      <c r="H297" s="1028">
        <f>F297*G297</f>
        <v>0</v>
      </c>
      <c r="I297" s="1029">
        <v>0.00013</v>
      </c>
      <c r="J297" s="1030">
        <f>F297*I297</f>
        <v>0.081718</v>
      </c>
      <c r="K297" s="1031"/>
      <c r="L297" s="1031"/>
      <c r="M297" s="1031"/>
      <c r="N297" s="1031"/>
      <c r="O297" s="1031"/>
      <c r="P297" s="1031"/>
      <c r="Q297" s="1032"/>
      <c r="R297" s="1033"/>
      <c r="S297" s="1033"/>
      <c r="T297" s="1033"/>
    </row>
    <row r="298" spans="1:19" s="22" customFormat="1" ht="24" customHeight="1" thickBot="1">
      <c r="A298" s="196" t="s">
        <v>2618</v>
      </c>
      <c r="B298" s="256" t="s">
        <v>2625</v>
      </c>
      <c r="C298" s="264" t="s">
        <v>2626</v>
      </c>
      <c r="D298" s="906"/>
      <c r="E298" s="257" t="s">
        <v>1783</v>
      </c>
      <c r="F298" s="1120">
        <f>J282</f>
        <v>11.842127000000001</v>
      </c>
      <c r="G298" s="368"/>
      <c r="H298" s="368">
        <f>F298*G298</f>
        <v>0</v>
      </c>
      <c r="I298" s="369">
        <v>0</v>
      </c>
      <c r="J298" s="370">
        <f>F298*I298</f>
        <v>0</v>
      </c>
      <c r="K298" s="509"/>
      <c r="L298" s="509"/>
      <c r="M298" s="509"/>
      <c r="N298" s="509"/>
      <c r="O298" s="509"/>
      <c r="P298" s="509"/>
      <c r="Q298" s="509"/>
      <c r="R298" s="509"/>
      <c r="S298" s="509"/>
    </row>
    <row r="299" spans="1:19" ht="16.5" customHeight="1" thickBot="1">
      <c r="A299" s="266" t="s">
        <v>2627</v>
      </c>
      <c r="B299" s="175" t="s">
        <v>2628</v>
      </c>
      <c r="C299" s="176" t="s">
        <v>2629</v>
      </c>
      <c r="D299" s="175"/>
      <c r="E299" s="175"/>
      <c r="F299" s="341"/>
      <c r="G299" s="341"/>
      <c r="H299" s="342">
        <f>SUM(H300:H312)</f>
        <v>0</v>
      </c>
      <c r="I299" s="343"/>
      <c r="J299" s="344">
        <f>SUM(J300:J311)</f>
        <v>3.4995923497</v>
      </c>
      <c r="K299" s="670"/>
      <c r="L299" s="670"/>
      <c r="M299" s="670"/>
      <c r="N299" s="670"/>
      <c r="O299" s="670"/>
      <c r="P299" s="670"/>
      <c r="Q299" s="670"/>
      <c r="R299" s="670"/>
      <c r="S299" s="670"/>
    </row>
    <row r="300" spans="1:19" s="22" customFormat="1" ht="18.75" customHeight="1">
      <c r="A300" s="190" t="s">
        <v>2630</v>
      </c>
      <c r="B300" s="191" t="s">
        <v>2631</v>
      </c>
      <c r="C300" s="265" t="s">
        <v>2632</v>
      </c>
      <c r="D300" s="896" t="s">
        <v>2812</v>
      </c>
      <c r="E300" s="192" t="s">
        <v>1748</v>
      </c>
      <c r="F300" s="345">
        <f>E301</f>
        <v>692.6</v>
      </c>
      <c r="G300" s="345"/>
      <c r="H300" s="345">
        <f>F300*G300</f>
        <v>0</v>
      </c>
      <c r="I300" s="346">
        <v>0</v>
      </c>
      <c r="J300" s="347">
        <f>F300*I300</f>
        <v>0</v>
      </c>
      <c r="K300" s="693"/>
      <c r="L300" s="693"/>
      <c r="M300" s="693"/>
      <c r="N300" s="693"/>
      <c r="O300" s="693"/>
      <c r="P300" s="693"/>
      <c r="Q300" s="694"/>
      <c r="R300" s="509"/>
      <c r="S300" s="509"/>
    </row>
    <row r="301" spans="1:19" s="130" customFormat="1" ht="20.25" customHeight="1">
      <c r="A301" s="204"/>
      <c r="B301" s="205" t="s">
        <v>993</v>
      </c>
      <c r="C301" s="205" t="s">
        <v>1119</v>
      </c>
      <c r="D301" s="898"/>
      <c r="E301" s="260">
        <f>628.6+64</f>
        <v>692.6</v>
      </c>
      <c r="F301" s="335"/>
      <c r="G301" s="335"/>
      <c r="H301" s="335"/>
      <c r="I301" s="336"/>
      <c r="J301" s="337"/>
      <c r="K301" s="672"/>
      <c r="L301" s="672"/>
      <c r="M301" s="672"/>
      <c r="N301" s="672"/>
      <c r="O301" s="672"/>
      <c r="P301" s="672"/>
      <c r="Q301" s="673"/>
      <c r="R301" s="508"/>
      <c r="S301" s="508"/>
    </row>
    <row r="302" spans="1:19" s="22" customFormat="1" ht="18.75" customHeight="1">
      <c r="A302" s="196" t="s">
        <v>2633</v>
      </c>
      <c r="B302" s="197" t="s">
        <v>2646</v>
      </c>
      <c r="C302" s="199" t="s">
        <v>2647</v>
      </c>
      <c r="D302" s="897" t="s">
        <v>2812</v>
      </c>
      <c r="E302" s="198" t="s">
        <v>1748</v>
      </c>
      <c r="F302" s="332">
        <f>E303</f>
        <v>1412.904</v>
      </c>
      <c r="G302" s="332"/>
      <c r="H302" s="332">
        <f>F302*G302</f>
        <v>0</v>
      </c>
      <c r="I302" s="333">
        <v>0.0024</v>
      </c>
      <c r="J302" s="334">
        <f>F302*I302</f>
        <v>3.3909695999999996</v>
      </c>
      <c r="K302" s="693"/>
      <c r="L302" s="693"/>
      <c r="M302" s="693"/>
      <c r="N302" s="693"/>
      <c r="O302" s="693"/>
      <c r="P302" s="693"/>
      <c r="Q302" s="694"/>
      <c r="R302" s="509"/>
      <c r="S302" s="509"/>
    </row>
    <row r="303" spans="1:19" s="130" customFormat="1" ht="20.25" customHeight="1">
      <c r="A303" s="204"/>
      <c r="B303" s="205" t="s">
        <v>993</v>
      </c>
      <c r="C303" s="205" t="s">
        <v>1120</v>
      </c>
      <c r="D303" s="898"/>
      <c r="E303" s="260">
        <f>(628.6+64)*2*1.02</f>
        <v>1412.904</v>
      </c>
      <c r="F303" s="335"/>
      <c r="G303" s="335"/>
      <c r="H303" s="335"/>
      <c r="I303" s="336"/>
      <c r="J303" s="337"/>
      <c r="K303" s="672"/>
      <c r="L303" s="672"/>
      <c r="M303" s="672"/>
      <c r="N303" s="672"/>
      <c r="O303" s="672"/>
      <c r="P303" s="672"/>
      <c r="Q303" s="673"/>
      <c r="R303" s="508"/>
      <c r="S303" s="508"/>
    </row>
    <row r="304" spans="1:19" s="22" customFormat="1" ht="18.75" customHeight="1">
      <c r="A304" s="196" t="s">
        <v>2637</v>
      </c>
      <c r="B304" s="197" t="s">
        <v>787</v>
      </c>
      <c r="C304" s="1025" t="s">
        <v>2946</v>
      </c>
      <c r="D304" s="897" t="s">
        <v>2812</v>
      </c>
      <c r="E304" s="198" t="s">
        <v>1748</v>
      </c>
      <c r="F304" s="332">
        <f>SUM(E305:E305)</f>
        <v>6.6899999999999995</v>
      </c>
      <c r="G304" s="332"/>
      <c r="H304" s="332">
        <f>F304*G304</f>
        <v>0</v>
      </c>
      <c r="I304" s="333">
        <v>0.001185</v>
      </c>
      <c r="J304" s="334">
        <f>F304*I304</f>
        <v>0.00792765</v>
      </c>
      <c r="K304" s="693"/>
      <c r="L304" s="693"/>
      <c r="M304" s="693"/>
      <c r="N304" s="693"/>
      <c r="O304" s="693"/>
      <c r="P304" s="693"/>
      <c r="Q304" s="694"/>
      <c r="R304" s="509"/>
      <c r="S304" s="509"/>
    </row>
    <row r="305" spans="1:19" s="130" customFormat="1" ht="22.5" customHeight="1">
      <c r="A305" s="204"/>
      <c r="B305" s="205" t="s">
        <v>878</v>
      </c>
      <c r="C305" s="206" t="s">
        <v>879</v>
      </c>
      <c r="D305" s="898" t="s">
        <v>995</v>
      </c>
      <c r="E305" s="207">
        <f>(2.86+3.83)</f>
        <v>6.6899999999999995</v>
      </c>
      <c r="F305" s="335"/>
      <c r="G305" s="335"/>
      <c r="H305" s="335"/>
      <c r="I305" s="336"/>
      <c r="J305" s="337"/>
      <c r="K305" s="672"/>
      <c r="L305" s="672"/>
      <c r="M305" s="672"/>
      <c r="N305" s="672"/>
      <c r="O305" s="672"/>
      <c r="P305" s="672"/>
      <c r="Q305" s="673"/>
      <c r="R305" s="508"/>
      <c r="S305" s="508"/>
    </row>
    <row r="306" spans="1:19" s="22" customFormat="1" ht="20.25" customHeight="1">
      <c r="A306" s="196" t="s">
        <v>2641</v>
      </c>
      <c r="B306" s="197" t="s">
        <v>996</v>
      </c>
      <c r="C306" s="197" t="s">
        <v>997</v>
      </c>
      <c r="D306" s="1204" t="s">
        <v>883</v>
      </c>
      <c r="E306" s="198" t="s">
        <v>1709</v>
      </c>
      <c r="F306" s="1028">
        <f>SUM(E307:E307)</f>
        <v>0.34119000000000005</v>
      </c>
      <c r="G306" s="332"/>
      <c r="H306" s="332">
        <f>F306*G306</f>
        <v>0</v>
      </c>
      <c r="I306" s="333">
        <v>0.00463</v>
      </c>
      <c r="J306" s="334">
        <f>F306*I306</f>
        <v>0.0015797097000000001</v>
      </c>
      <c r="K306" s="693"/>
      <c r="L306" s="693"/>
      <c r="M306" s="693"/>
      <c r="N306" s="693"/>
      <c r="O306" s="693"/>
      <c r="P306" s="693"/>
      <c r="Q306" s="694"/>
      <c r="R306" s="509"/>
      <c r="S306" s="509"/>
    </row>
    <row r="307" spans="1:19" s="130" customFormat="1" ht="22.5" customHeight="1">
      <c r="A307" s="204"/>
      <c r="B307" s="205" t="s">
        <v>878</v>
      </c>
      <c r="C307" s="206" t="s">
        <v>2862</v>
      </c>
      <c r="D307" s="1203" t="s">
        <v>995</v>
      </c>
      <c r="E307" s="207">
        <f>(2.86+3.83)*0.05*1.02</f>
        <v>0.34119000000000005</v>
      </c>
      <c r="F307" s="335"/>
      <c r="G307" s="335"/>
      <c r="H307" s="335"/>
      <c r="I307" s="336"/>
      <c r="J307" s="337"/>
      <c r="K307" s="672"/>
      <c r="L307" s="672"/>
      <c r="M307" s="672"/>
      <c r="N307" s="672"/>
      <c r="O307" s="672"/>
      <c r="P307" s="672"/>
      <c r="Q307" s="673"/>
      <c r="R307" s="508"/>
      <c r="S307" s="508"/>
    </row>
    <row r="308" spans="1:19" s="22" customFormat="1" ht="18.75" customHeight="1">
      <c r="A308" s="196" t="s">
        <v>2645</v>
      </c>
      <c r="B308" s="197" t="s">
        <v>998</v>
      </c>
      <c r="C308" s="199" t="s">
        <v>2955</v>
      </c>
      <c r="D308" s="897" t="s">
        <v>2812</v>
      </c>
      <c r="E308" s="198" t="s">
        <v>1748</v>
      </c>
      <c r="F308" s="332">
        <f>E309</f>
        <v>761.8600000000001</v>
      </c>
      <c r="G308" s="332"/>
      <c r="H308" s="332">
        <f>F308*G308</f>
        <v>0</v>
      </c>
      <c r="I308" s="333">
        <v>0.00013</v>
      </c>
      <c r="J308" s="334">
        <f>F308*I308</f>
        <v>0.09904180000000001</v>
      </c>
      <c r="K308" s="693"/>
      <c r="L308" s="693"/>
      <c r="M308" s="693"/>
      <c r="N308" s="693"/>
      <c r="O308" s="693"/>
      <c r="P308" s="693"/>
      <c r="Q308" s="694"/>
      <c r="R308" s="509"/>
      <c r="S308" s="509"/>
    </row>
    <row r="309" spans="1:19" s="130" customFormat="1" ht="20.25" customHeight="1">
      <c r="A309" s="204"/>
      <c r="B309" s="205" t="s">
        <v>993</v>
      </c>
      <c r="C309" s="205" t="s">
        <v>1121</v>
      </c>
      <c r="D309" s="898"/>
      <c r="E309" s="260">
        <f>(628.6+64)*1.1</f>
        <v>761.8600000000001</v>
      </c>
      <c r="F309" s="335"/>
      <c r="G309" s="335"/>
      <c r="H309" s="335"/>
      <c r="I309" s="336"/>
      <c r="J309" s="337"/>
      <c r="K309" s="672"/>
      <c r="L309" s="672"/>
      <c r="M309" s="672"/>
      <c r="N309" s="672"/>
      <c r="O309" s="672"/>
      <c r="P309" s="672"/>
      <c r="Q309" s="673"/>
      <c r="R309" s="508"/>
      <c r="S309" s="508"/>
    </row>
    <row r="310" spans="1:19" s="22" customFormat="1" ht="18.75" customHeight="1">
      <c r="A310" s="196" t="s">
        <v>2648</v>
      </c>
      <c r="B310" s="197" t="s">
        <v>2665</v>
      </c>
      <c r="C310" s="199" t="s">
        <v>2666</v>
      </c>
      <c r="D310" s="897" t="s">
        <v>2812</v>
      </c>
      <c r="E310" s="198" t="s">
        <v>1748</v>
      </c>
      <c r="F310" s="332">
        <f>SUM(E311:E311)</f>
        <v>7.359</v>
      </c>
      <c r="G310" s="332"/>
      <c r="H310" s="332">
        <f>F310*G310</f>
        <v>0</v>
      </c>
      <c r="I310" s="333">
        <v>1E-05</v>
      </c>
      <c r="J310" s="334">
        <f>F310*I310</f>
        <v>7.359E-05</v>
      </c>
      <c r="K310" s="693"/>
      <c r="L310" s="693"/>
      <c r="M310" s="693"/>
      <c r="N310" s="693"/>
      <c r="O310" s="693"/>
      <c r="P310" s="693"/>
      <c r="Q310" s="694"/>
      <c r="R310" s="509"/>
      <c r="S310" s="509"/>
    </row>
    <row r="311" spans="1:19" s="130" customFormat="1" ht="22.5" customHeight="1">
      <c r="A311" s="204"/>
      <c r="B311" s="205" t="s">
        <v>878</v>
      </c>
      <c r="C311" s="206" t="s">
        <v>1001</v>
      </c>
      <c r="D311" s="898"/>
      <c r="E311" s="207">
        <f>(2.86+3.83)*1.1</f>
        <v>7.359</v>
      </c>
      <c r="F311" s="335"/>
      <c r="G311" s="335"/>
      <c r="H311" s="335"/>
      <c r="I311" s="336"/>
      <c r="J311" s="337"/>
      <c r="K311" s="672"/>
      <c r="L311" s="672"/>
      <c r="M311" s="672"/>
      <c r="N311" s="672"/>
      <c r="O311" s="672"/>
      <c r="P311" s="672"/>
      <c r="Q311" s="673"/>
      <c r="R311" s="508"/>
      <c r="S311" s="508"/>
    </row>
    <row r="312" spans="1:19" s="22" customFormat="1" ht="18.75" customHeight="1" thickBot="1">
      <c r="A312" s="255" t="s">
        <v>2658</v>
      </c>
      <c r="B312" s="256" t="s">
        <v>2681</v>
      </c>
      <c r="C312" s="264" t="s">
        <v>2682</v>
      </c>
      <c r="D312" s="906"/>
      <c r="E312" s="257" t="s">
        <v>1783</v>
      </c>
      <c r="F312" s="368">
        <f>J299</f>
        <v>3.4995923497</v>
      </c>
      <c r="G312" s="368"/>
      <c r="H312" s="368">
        <f>F312*G312</f>
        <v>0</v>
      </c>
      <c r="I312" s="369">
        <v>0</v>
      </c>
      <c r="J312" s="370">
        <f>F312*I312</f>
        <v>0</v>
      </c>
      <c r="K312" s="509"/>
      <c r="L312" s="509"/>
      <c r="M312" s="509"/>
      <c r="N312" s="509"/>
      <c r="O312" s="509"/>
      <c r="P312" s="509"/>
      <c r="Q312" s="509"/>
      <c r="R312" s="509"/>
      <c r="S312" s="509"/>
    </row>
    <row r="313" spans="1:19" ht="16.5" customHeight="1" thickBot="1">
      <c r="A313" s="266" t="s">
        <v>2683</v>
      </c>
      <c r="B313" s="175" t="s">
        <v>2684</v>
      </c>
      <c r="C313" s="176" t="s">
        <v>2685</v>
      </c>
      <c r="D313" s="175"/>
      <c r="E313" s="175"/>
      <c r="F313" s="341"/>
      <c r="G313" s="341"/>
      <c r="H313" s="342">
        <f>SUM(H314)</f>
        <v>0</v>
      </c>
      <c r="I313" s="343"/>
      <c r="J313" s="344">
        <f>SUM(J314)</f>
        <v>0</v>
      </c>
      <c r="K313" s="670"/>
      <c r="L313" s="670"/>
      <c r="M313" s="670"/>
      <c r="N313" s="670"/>
      <c r="O313" s="670"/>
      <c r="P313" s="670"/>
      <c r="Q313" s="670"/>
      <c r="R313" s="670"/>
      <c r="S313" s="670"/>
    </row>
    <row r="314" spans="1:19" s="22" customFormat="1" ht="18.75" customHeight="1" thickBot="1">
      <c r="A314" s="196"/>
      <c r="B314" s="197"/>
      <c r="C314" s="199"/>
      <c r="D314" s="897"/>
      <c r="E314" s="198"/>
      <c r="F314" s="332"/>
      <c r="G314" s="332"/>
      <c r="H314" s="332"/>
      <c r="I314" s="333"/>
      <c r="J314" s="334"/>
      <c r="K314" s="693"/>
      <c r="L314" s="693"/>
      <c r="M314" s="693"/>
      <c r="N314" s="693"/>
      <c r="O314" s="693"/>
      <c r="P314" s="693"/>
      <c r="Q314" s="694"/>
      <c r="R314" s="509"/>
      <c r="S314" s="509"/>
    </row>
    <row r="315" spans="1:19" ht="16.5" customHeight="1" thickBot="1">
      <c r="A315" s="266" t="s">
        <v>2686</v>
      </c>
      <c r="B315" s="175" t="s">
        <v>2687</v>
      </c>
      <c r="C315" s="176" t="s">
        <v>2688</v>
      </c>
      <c r="D315" s="175"/>
      <c r="E315" s="175"/>
      <c r="F315" s="341"/>
      <c r="G315" s="341"/>
      <c r="H315" s="342">
        <f>SUM(H316:H319)</f>
        <v>0</v>
      </c>
      <c r="I315" s="343"/>
      <c r="J315" s="344">
        <f>SUM(J316:J319)</f>
        <v>0</v>
      </c>
      <c r="K315" s="670"/>
      <c r="L315" s="670"/>
      <c r="M315" s="670"/>
      <c r="N315" s="670"/>
      <c r="O315" s="670"/>
      <c r="P315" s="670"/>
      <c r="Q315" s="670"/>
      <c r="R315" s="670"/>
      <c r="S315" s="670"/>
    </row>
    <row r="316" spans="1:19" s="586" customFormat="1" ht="60.75" customHeight="1">
      <c r="A316" s="770"/>
      <c r="B316" s="771" t="s">
        <v>1676</v>
      </c>
      <c r="C316" s="772" t="s">
        <v>2689</v>
      </c>
      <c r="D316" s="957" t="s">
        <v>2749</v>
      </c>
      <c r="E316" s="773"/>
      <c r="F316" s="774"/>
      <c r="G316" s="774"/>
      <c r="H316" s="774"/>
      <c r="I316" s="775"/>
      <c r="J316" s="776"/>
      <c r="K316" s="597"/>
      <c r="L316" s="597"/>
      <c r="M316" s="597"/>
      <c r="N316" s="597"/>
      <c r="O316" s="597"/>
      <c r="P316" s="597"/>
      <c r="Q316" s="597"/>
      <c r="R316" s="597"/>
      <c r="S316" s="597"/>
    </row>
    <row r="317" spans="1:19" s="22" customFormat="1" ht="23.25" customHeight="1">
      <c r="A317" s="196" t="s">
        <v>2690</v>
      </c>
      <c r="B317" s="197" t="s">
        <v>2691</v>
      </c>
      <c r="C317" s="453" t="s">
        <v>1003</v>
      </c>
      <c r="D317" s="897" t="s">
        <v>2749</v>
      </c>
      <c r="E317" s="198" t="s">
        <v>1831</v>
      </c>
      <c r="F317" s="332">
        <v>83</v>
      </c>
      <c r="G317" s="332"/>
      <c r="H317" s="332">
        <f>F317*G317</f>
        <v>0</v>
      </c>
      <c r="I317" s="333">
        <v>0</v>
      </c>
      <c r="J317" s="334">
        <f>F317*I317</f>
        <v>0</v>
      </c>
      <c r="K317" s="693"/>
      <c r="L317" s="693"/>
      <c r="M317" s="693"/>
      <c r="N317" s="693"/>
      <c r="O317" s="693"/>
      <c r="P317" s="693"/>
      <c r="Q317" s="694"/>
      <c r="R317" s="509"/>
      <c r="S317" s="509"/>
    </row>
    <row r="318" spans="1:19" s="22" customFormat="1" ht="42" customHeight="1">
      <c r="A318" s="196" t="s">
        <v>2693</v>
      </c>
      <c r="B318" s="197" t="s">
        <v>2691</v>
      </c>
      <c r="C318" s="705" t="s">
        <v>2694</v>
      </c>
      <c r="D318" s="897" t="s">
        <v>2749</v>
      </c>
      <c r="E318" s="198" t="s">
        <v>2695</v>
      </c>
      <c r="F318" s="332">
        <v>1</v>
      </c>
      <c r="G318" s="828"/>
      <c r="H318" s="332">
        <f>F318*G318</f>
        <v>0</v>
      </c>
      <c r="I318" s="333">
        <v>0</v>
      </c>
      <c r="J318" s="334">
        <f>F318*I318</f>
        <v>0</v>
      </c>
      <c r="K318" s="693"/>
      <c r="L318" s="693"/>
      <c r="M318" s="693"/>
      <c r="N318" s="693"/>
      <c r="O318" s="693"/>
      <c r="P318" s="693"/>
      <c r="Q318" s="694"/>
      <c r="R318" s="509"/>
      <c r="S318" s="509"/>
    </row>
    <row r="319" spans="1:19" s="461" customFormat="1" ht="18.75" customHeight="1" thickBot="1">
      <c r="A319" s="454"/>
      <c r="B319" s="455"/>
      <c r="C319" s="456" t="s">
        <v>1217</v>
      </c>
      <c r="D319" s="898"/>
      <c r="E319" s="457">
        <f>83*500</f>
        <v>41500</v>
      </c>
      <c r="F319" s="458"/>
      <c r="G319" s="458"/>
      <c r="H319" s="458"/>
      <c r="I319" s="459"/>
      <c r="J319" s="460"/>
      <c r="K319" s="729"/>
      <c r="L319" s="729"/>
      <c r="M319" s="729"/>
      <c r="N319" s="729"/>
      <c r="O319" s="729"/>
      <c r="P319" s="729"/>
      <c r="Q319" s="729"/>
      <c r="R319" s="729"/>
      <c r="S319" s="729"/>
    </row>
    <row r="320" spans="1:19" ht="16.5" customHeight="1" thickBot="1">
      <c r="A320" s="266" t="s">
        <v>2697</v>
      </c>
      <c r="B320" s="175" t="s">
        <v>2698</v>
      </c>
      <c r="C320" s="176" t="s">
        <v>2699</v>
      </c>
      <c r="D320" s="895"/>
      <c r="E320" s="175"/>
      <c r="F320" s="341"/>
      <c r="G320" s="341"/>
      <c r="H320" s="342">
        <f>SUM(H321:H336)</f>
        <v>0</v>
      </c>
      <c r="I320" s="343"/>
      <c r="J320" s="344">
        <f>SUM(J321:J335)</f>
        <v>20.7668854</v>
      </c>
      <c r="K320" s="670"/>
      <c r="L320" s="670"/>
      <c r="M320" s="670"/>
      <c r="N320" s="670"/>
      <c r="O320" s="670"/>
      <c r="P320" s="670"/>
      <c r="Q320" s="670"/>
      <c r="R320" s="670"/>
      <c r="S320" s="670"/>
    </row>
    <row r="321" spans="1:19" s="22" customFormat="1" ht="18.75" customHeight="1">
      <c r="A321" s="190"/>
      <c r="B321" s="191"/>
      <c r="C321" s="265"/>
      <c r="D321" s="896"/>
      <c r="E321" s="192"/>
      <c r="F321" s="345"/>
      <c r="G321" s="345"/>
      <c r="H321" s="345"/>
      <c r="I321" s="346"/>
      <c r="J321" s="347"/>
      <c r="K321" s="509"/>
      <c r="L321" s="509"/>
      <c r="M321" s="509"/>
      <c r="N321" s="509"/>
      <c r="O321" s="509"/>
      <c r="P321" s="509"/>
      <c r="Q321" s="509"/>
      <c r="R321" s="509"/>
      <c r="S321" s="509"/>
    </row>
    <row r="322" spans="1:19" s="22" customFormat="1" ht="18.75" customHeight="1">
      <c r="A322" s="196" t="s">
        <v>2700</v>
      </c>
      <c r="B322" s="197" t="s">
        <v>2701</v>
      </c>
      <c r="C322" s="199" t="s">
        <v>2702</v>
      </c>
      <c r="D322" s="897" t="s">
        <v>2813</v>
      </c>
      <c r="E322" s="198" t="s">
        <v>1748</v>
      </c>
      <c r="F322" s="332">
        <f>E323</f>
        <v>709.3</v>
      </c>
      <c r="G322" s="332"/>
      <c r="H322" s="332">
        <f aca="true" t="shared" si="29" ref="H322:H336">F322*G322</f>
        <v>0</v>
      </c>
      <c r="I322" s="333">
        <v>0.015</v>
      </c>
      <c r="J322" s="334">
        <f aca="true" t="shared" si="30" ref="J322:J336">F322*I322</f>
        <v>10.639499999999998</v>
      </c>
      <c r="K322" s="693"/>
      <c r="L322" s="693"/>
      <c r="M322" s="693"/>
      <c r="N322" s="693"/>
      <c r="O322" s="693"/>
      <c r="P322" s="693"/>
      <c r="Q322" s="694"/>
      <c r="R322" s="509"/>
      <c r="S322" s="509"/>
    </row>
    <row r="323" spans="1:19" s="130" customFormat="1" ht="21.75" customHeight="1">
      <c r="A323" s="204"/>
      <c r="B323" s="205" t="s">
        <v>891</v>
      </c>
      <c r="C323" s="206" t="s">
        <v>1126</v>
      </c>
      <c r="D323" s="898"/>
      <c r="E323" s="207">
        <v>709.3</v>
      </c>
      <c r="F323" s="335"/>
      <c r="G323" s="335"/>
      <c r="H323" s="335"/>
      <c r="I323" s="336"/>
      <c r="J323" s="337"/>
      <c r="K323" s="508"/>
      <c r="L323" s="508"/>
      <c r="M323" s="508"/>
      <c r="N323" s="508"/>
      <c r="O323" s="508"/>
      <c r="P323" s="508"/>
      <c r="Q323" s="508"/>
      <c r="R323" s="508"/>
      <c r="S323" s="508"/>
    </row>
    <row r="324" spans="1:17" s="1119" customFormat="1" ht="18.75" customHeight="1">
      <c r="A324" s="1110" t="s">
        <v>2704</v>
      </c>
      <c r="B324" s="1111" t="s">
        <v>2705</v>
      </c>
      <c r="C324" s="1112" t="s">
        <v>2706</v>
      </c>
      <c r="D324" s="1191" t="s">
        <v>2839</v>
      </c>
      <c r="E324" s="1113" t="s">
        <v>1826</v>
      </c>
      <c r="F324" s="1114">
        <v>0</v>
      </c>
      <c r="G324" s="1114"/>
      <c r="H324" s="1114">
        <f t="shared" si="29"/>
        <v>0</v>
      </c>
      <c r="I324" s="1115">
        <v>0.00016</v>
      </c>
      <c r="J324" s="1116">
        <f t="shared" si="30"/>
        <v>0</v>
      </c>
      <c r="K324" s="1117"/>
      <c r="L324" s="1117"/>
      <c r="M324" s="1117"/>
      <c r="N324" s="1117"/>
      <c r="O324" s="1117"/>
      <c r="P324" s="1117"/>
      <c r="Q324" s="1118"/>
    </row>
    <row r="325" spans="1:10" s="1128" customFormat="1" ht="21.75" customHeight="1">
      <c r="A325" s="1122"/>
      <c r="B325" s="1123" t="s">
        <v>891</v>
      </c>
      <c r="C325" s="1124" t="s">
        <v>2951</v>
      </c>
      <c r="D325" s="1123"/>
      <c r="E325" s="1160">
        <f>709.3*0.1*4.8</f>
        <v>340.46399999999994</v>
      </c>
      <c r="F325" s="1125"/>
      <c r="G325" s="1125"/>
      <c r="H325" s="1125"/>
      <c r="I325" s="1126"/>
      <c r="J325" s="1127"/>
    </row>
    <row r="326" spans="1:17" s="1119" customFormat="1" ht="18.75" customHeight="1">
      <c r="A326" s="1110" t="s">
        <v>2708</v>
      </c>
      <c r="B326" s="1111" t="s">
        <v>2709</v>
      </c>
      <c r="C326" s="1112" t="s">
        <v>2710</v>
      </c>
      <c r="D326" s="1191" t="s">
        <v>2839</v>
      </c>
      <c r="E326" s="1113" t="s">
        <v>1826</v>
      </c>
      <c r="F326" s="1114">
        <v>0</v>
      </c>
      <c r="G326" s="1114"/>
      <c r="H326" s="1114">
        <f t="shared" si="29"/>
        <v>0</v>
      </c>
      <c r="I326" s="1115">
        <v>0.00099</v>
      </c>
      <c r="J326" s="1116">
        <f t="shared" si="30"/>
        <v>0</v>
      </c>
      <c r="K326" s="1117"/>
      <c r="L326" s="1117"/>
      <c r="M326" s="1117"/>
      <c r="N326" s="1117"/>
      <c r="O326" s="1117"/>
      <c r="P326" s="1117"/>
      <c r="Q326" s="1118"/>
    </row>
    <row r="327" spans="1:10" s="1128" customFormat="1" ht="21.75" customHeight="1">
      <c r="A327" s="1122"/>
      <c r="B327" s="1123" t="s">
        <v>891</v>
      </c>
      <c r="C327" s="1124" t="s">
        <v>2951</v>
      </c>
      <c r="D327" s="1123"/>
      <c r="E327" s="1160">
        <f>709.3*0.1*4.8</f>
        <v>340.46399999999994</v>
      </c>
      <c r="F327" s="1125"/>
      <c r="G327" s="1125"/>
      <c r="H327" s="1125"/>
      <c r="I327" s="1126"/>
      <c r="J327" s="1127"/>
    </row>
    <row r="328" spans="1:17" s="1119" customFormat="1" ht="18.75" customHeight="1">
      <c r="A328" s="1110" t="s">
        <v>2711</v>
      </c>
      <c r="B328" s="1111" t="s">
        <v>2712</v>
      </c>
      <c r="C328" s="1112" t="s">
        <v>2713</v>
      </c>
      <c r="D328" s="1191" t="s">
        <v>2839</v>
      </c>
      <c r="E328" s="1113" t="s">
        <v>1709</v>
      </c>
      <c r="F328" s="1114">
        <v>0</v>
      </c>
      <c r="G328" s="1114"/>
      <c r="H328" s="1114">
        <f t="shared" si="29"/>
        <v>0</v>
      </c>
      <c r="I328" s="1115">
        <v>0.55</v>
      </c>
      <c r="J328" s="1116">
        <f t="shared" si="30"/>
        <v>0</v>
      </c>
      <c r="K328" s="1117"/>
      <c r="L328" s="1117"/>
      <c r="M328" s="1117"/>
      <c r="N328" s="1117"/>
      <c r="O328" s="1117"/>
      <c r="P328" s="1117"/>
      <c r="Q328" s="1118"/>
    </row>
    <row r="329" spans="1:10" s="1128" customFormat="1" ht="21.75" customHeight="1">
      <c r="A329" s="1122"/>
      <c r="B329" s="1123" t="s">
        <v>891</v>
      </c>
      <c r="C329" s="1124" t="s">
        <v>2952</v>
      </c>
      <c r="D329" s="1123"/>
      <c r="E329" s="1160">
        <f>709.3*0.1*4.8*0.12*0.18</f>
        <v>7.354022399999998</v>
      </c>
      <c r="F329" s="1125"/>
      <c r="G329" s="1125"/>
      <c r="H329" s="1125"/>
      <c r="I329" s="1126"/>
      <c r="J329" s="1127"/>
    </row>
    <row r="330" spans="1:17" s="1119" customFormat="1" ht="18.75" customHeight="1">
      <c r="A330" s="1110" t="s">
        <v>2715</v>
      </c>
      <c r="B330" s="1111" t="s">
        <v>2716</v>
      </c>
      <c r="C330" s="1112" t="s">
        <v>2869</v>
      </c>
      <c r="D330" s="1111" t="s">
        <v>2813</v>
      </c>
      <c r="E330" s="1113" t="s">
        <v>1748</v>
      </c>
      <c r="F330" s="1114">
        <v>0</v>
      </c>
      <c r="G330" s="1114"/>
      <c r="H330" s="1114">
        <f t="shared" si="29"/>
        <v>0</v>
      </c>
      <c r="I330" s="1115">
        <v>0.00017</v>
      </c>
      <c r="J330" s="1116">
        <f t="shared" si="30"/>
        <v>0</v>
      </c>
      <c r="K330" s="1117"/>
      <c r="L330" s="1117"/>
      <c r="M330" s="1117"/>
      <c r="N330" s="1117"/>
      <c r="O330" s="1117"/>
      <c r="P330" s="1117"/>
      <c r="Q330" s="1118"/>
    </row>
    <row r="331" spans="1:10" s="1128" customFormat="1" ht="21.75" customHeight="1">
      <c r="A331" s="1122"/>
      <c r="B331" s="1123" t="s">
        <v>891</v>
      </c>
      <c r="C331" s="1124" t="s">
        <v>1126</v>
      </c>
      <c r="D331" s="1191" t="s">
        <v>2839</v>
      </c>
      <c r="E331" s="1160">
        <f>709.3</f>
        <v>709.3</v>
      </c>
      <c r="F331" s="1125"/>
      <c r="G331" s="1125"/>
      <c r="H331" s="1125"/>
      <c r="I331" s="1126"/>
      <c r="J331" s="1127"/>
    </row>
    <row r="332" spans="1:19" s="22" customFormat="1" ht="18.75" customHeight="1">
      <c r="A332" s="196" t="s">
        <v>2719</v>
      </c>
      <c r="B332" s="197" t="s">
        <v>2720</v>
      </c>
      <c r="C332" s="199" t="s">
        <v>2721</v>
      </c>
      <c r="D332" s="897" t="s">
        <v>2813</v>
      </c>
      <c r="E332" s="198" t="s">
        <v>1748</v>
      </c>
      <c r="F332" s="332">
        <f>E333</f>
        <v>709.3</v>
      </c>
      <c r="G332" s="332"/>
      <c r="H332" s="332">
        <f t="shared" si="29"/>
        <v>0</v>
      </c>
      <c r="I332" s="333">
        <v>0</v>
      </c>
      <c r="J332" s="334">
        <f t="shared" si="30"/>
        <v>0</v>
      </c>
      <c r="K332" s="693"/>
      <c r="L332" s="693"/>
      <c r="M332" s="693"/>
      <c r="N332" s="693"/>
      <c r="O332" s="693"/>
      <c r="P332" s="693"/>
      <c r="Q332" s="694"/>
      <c r="R332" s="509"/>
      <c r="S332" s="509"/>
    </row>
    <row r="333" spans="1:19" s="130" customFormat="1" ht="21.75" customHeight="1">
      <c r="A333" s="204"/>
      <c r="B333" s="205" t="s">
        <v>891</v>
      </c>
      <c r="C333" s="206" t="s">
        <v>1126</v>
      </c>
      <c r="D333" s="898"/>
      <c r="E333" s="207">
        <f>709.3</f>
        <v>709.3</v>
      </c>
      <c r="F333" s="335"/>
      <c r="G333" s="335"/>
      <c r="H333" s="335"/>
      <c r="I333" s="336"/>
      <c r="J333" s="337"/>
      <c r="K333" s="508"/>
      <c r="L333" s="508"/>
      <c r="M333" s="508"/>
      <c r="N333" s="508"/>
      <c r="O333" s="508"/>
      <c r="P333" s="508"/>
      <c r="Q333" s="508"/>
      <c r="R333" s="508"/>
      <c r="S333" s="508"/>
    </row>
    <row r="334" spans="1:19" s="1034" customFormat="1" ht="18.75" customHeight="1">
      <c r="A334" s="1023" t="s">
        <v>2722</v>
      </c>
      <c r="B334" s="1024" t="s">
        <v>2723</v>
      </c>
      <c r="C334" s="1025" t="s">
        <v>2724</v>
      </c>
      <c r="D334" s="1024" t="s">
        <v>2813</v>
      </c>
      <c r="E334" s="1027" t="s">
        <v>1748</v>
      </c>
      <c r="F334" s="1028">
        <f>E335</f>
        <v>780.23</v>
      </c>
      <c r="G334" s="1028"/>
      <c r="H334" s="1028">
        <f t="shared" si="29"/>
        <v>0</v>
      </c>
      <c r="I334" s="1029">
        <v>0.01298</v>
      </c>
      <c r="J334" s="1030">
        <f t="shared" si="30"/>
        <v>10.1273854</v>
      </c>
      <c r="K334" s="1031"/>
      <c r="L334" s="1031"/>
      <c r="M334" s="1031"/>
      <c r="N334" s="1031"/>
      <c r="O334" s="1031"/>
      <c r="P334" s="1031"/>
      <c r="Q334" s="1032"/>
      <c r="R334" s="1033"/>
      <c r="S334" s="1033"/>
    </row>
    <row r="335" spans="1:19" s="1059" customFormat="1" ht="16.5" customHeight="1">
      <c r="A335" s="1054"/>
      <c r="B335" s="1055" t="s">
        <v>891</v>
      </c>
      <c r="C335" s="1056" t="s">
        <v>2873</v>
      </c>
      <c r="D335" s="1055"/>
      <c r="E335" s="1051">
        <f>709.3*1.1</f>
        <v>780.23</v>
      </c>
      <c r="F335" s="1057"/>
      <c r="G335" s="1057"/>
      <c r="H335" s="1057"/>
      <c r="I335" s="1079"/>
      <c r="J335" s="1080"/>
      <c r="K335" s="1058"/>
      <c r="L335" s="1058"/>
      <c r="M335" s="1058"/>
      <c r="N335" s="1058"/>
      <c r="O335" s="1058"/>
      <c r="P335" s="1058"/>
      <c r="Q335" s="1058"/>
      <c r="R335" s="1058"/>
      <c r="S335" s="1058"/>
    </row>
    <row r="336" spans="1:19" s="22" customFormat="1" ht="18.75" customHeight="1" thickBot="1">
      <c r="A336" s="255" t="s">
        <v>2725</v>
      </c>
      <c r="B336" s="256" t="s">
        <v>2733</v>
      </c>
      <c r="C336" s="264" t="s">
        <v>2734</v>
      </c>
      <c r="D336" s="906"/>
      <c r="E336" s="257" t="s">
        <v>1783</v>
      </c>
      <c r="F336" s="1120">
        <f>SUM(J320)</f>
        <v>20.7668854</v>
      </c>
      <c r="G336" s="368"/>
      <c r="H336" s="368">
        <f t="shared" si="29"/>
        <v>0</v>
      </c>
      <c r="I336" s="369">
        <v>0</v>
      </c>
      <c r="J336" s="370">
        <f t="shared" si="30"/>
        <v>0</v>
      </c>
      <c r="K336" s="509"/>
      <c r="L336" s="509"/>
      <c r="M336" s="509"/>
      <c r="N336" s="509"/>
      <c r="O336" s="509"/>
      <c r="P336" s="509"/>
      <c r="Q336" s="509"/>
      <c r="R336" s="509"/>
      <c r="S336" s="509"/>
    </row>
    <row r="337" spans="1:19" ht="16.5" customHeight="1" thickBot="1">
      <c r="A337" s="266" t="s">
        <v>2735</v>
      </c>
      <c r="B337" s="175" t="s">
        <v>2736</v>
      </c>
      <c r="C337" s="176" t="s">
        <v>2737</v>
      </c>
      <c r="D337" s="1102"/>
      <c r="E337" s="175"/>
      <c r="F337" s="341"/>
      <c r="G337" s="341"/>
      <c r="H337" s="342">
        <f>SUM(H338:H361)</f>
        <v>0</v>
      </c>
      <c r="I337" s="343"/>
      <c r="J337" s="344">
        <f>SUM(J338:J360)</f>
        <v>3.9983310000000003</v>
      </c>
      <c r="K337" s="670"/>
      <c r="L337" s="670"/>
      <c r="M337" s="670"/>
      <c r="N337" s="670"/>
      <c r="O337" s="670"/>
      <c r="P337" s="670"/>
      <c r="Q337" s="670"/>
      <c r="R337" s="670"/>
      <c r="S337" s="670"/>
    </row>
    <row r="338" spans="1:19" s="22" customFormat="1" ht="42.75" customHeight="1">
      <c r="A338" s="190"/>
      <c r="B338" s="191"/>
      <c r="C338" s="316" t="s">
        <v>2738</v>
      </c>
      <c r="D338" s="896"/>
      <c r="E338" s="192"/>
      <c r="F338" s="345"/>
      <c r="G338" s="345"/>
      <c r="H338" s="345"/>
      <c r="I338" s="346"/>
      <c r="J338" s="347"/>
      <c r="K338" s="693"/>
      <c r="L338" s="693"/>
      <c r="M338" s="693"/>
      <c r="N338" s="693"/>
      <c r="O338" s="693"/>
      <c r="P338" s="693"/>
      <c r="Q338" s="694"/>
      <c r="R338" s="509"/>
      <c r="S338" s="509"/>
    </row>
    <row r="339" spans="1:19" s="22" customFormat="1" ht="18.75" customHeight="1">
      <c r="A339" s="196" t="s">
        <v>2739</v>
      </c>
      <c r="B339" s="197" t="s">
        <v>2740</v>
      </c>
      <c r="C339" s="199" t="s">
        <v>446</v>
      </c>
      <c r="D339" s="897" t="s">
        <v>447</v>
      </c>
      <c r="E339" s="198" t="s">
        <v>1826</v>
      </c>
      <c r="F339" s="332">
        <v>204.6</v>
      </c>
      <c r="G339" s="332"/>
      <c r="H339" s="332">
        <f aca="true" t="shared" si="31" ref="H339:H358">F339*G339</f>
        <v>0</v>
      </c>
      <c r="I339" s="333">
        <v>0.00301</v>
      </c>
      <c r="J339" s="334">
        <f aca="true" t="shared" si="32" ref="J339:J358">F339*I339</f>
        <v>0.615846</v>
      </c>
      <c r="K339" s="693"/>
      <c r="L339" s="693"/>
      <c r="M339" s="693"/>
      <c r="N339" s="509"/>
      <c r="O339" s="509"/>
      <c r="P339" s="509"/>
      <c r="Q339" s="509"/>
      <c r="R339" s="509"/>
      <c r="S339" s="509"/>
    </row>
    <row r="340" spans="1:19" s="22" customFormat="1" ht="18.75" customHeight="1">
      <c r="A340" s="196" t="s">
        <v>448</v>
      </c>
      <c r="B340" s="197" t="s">
        <v>513</v>
      </c>
      <c r="C340" s="199" t="s">
        <v>514</v>
      </c>
      <c r="D340" s="897" t="s">
        <v>447</v>
      </c>
      <c r="E340" s="198" t="s">
        <v>1826</v>
      </c>
      <c r="F340" s="332">
        <v>7.5</v>
      </c>
      <c r="G340" s="332"/>
      <c r="H340" s="332">
        <f t="shared" si="31"/>
        <v>0</v>
      </c>
      <c r="I340" s="333">
        <v>0.00383</v>
      </c>
      <c r="J340" s="334">
        <f t="shared" si="32"/>
        <v>0.028725</v>
      </c>
      <c r="K340" s="509"/>
      <c r="L340" s="509"/>
      <c r="M340" s="509"/>
      <c r="N340" s="509"/>
      <c r="O340" s="509"/>
      <c r="P340" s="509"/>
      <c r="Q340" s="509"/>
      <c r="R340" s="509"/>
      <c r="S340" s="509"/>
    </row>
    <row r="341" spans="1:19" s="22" customFormat="1" ht="18.75" customHeight="1">
      <c r="A341" s="196" t="s">
        <v>452</v>
      </c>
      <c r="B341" s="197" t="s">
        <v>1006</v>
      </c>
      <c r="C341" s="199" t="s">
        <v>1007</v>
      </c>
      <c r="D341" s="897" t="s">
        <v>1008</v>
      </c>
      <c r="E341" s="198" t="s">
        <v>1826</v>
      </c>
      <c r="F341" s="332">
        <v>9.2</v>
      </c>
      <c r="G341" s="332"/>
      <c r="H341" s="332">
        <f t="shared" si="31"/>
        <v>0</v>
      </c>
      <c r="I341" s="333">
        <v>0.00347</v>
      </c>
      <c r="J341" s="334">
        <f t="shared" si="32"/>
        <v>0.031923999999999994</v>
      </c>
      <c r="K341" s="509"/>
      <c r="L341" s="509"/>
      <c r="M341" s="509"/>
      <c r="N341" s="509"/>
      <c r="O341" s="509"/>
      <c r="P341" s="509"/>
      <c r="Q341" s="509"/>
      <c r="R341" s="509"/>
      <c r="S341" s="509"/>
    </row>
    <row r="342" spans="1:21" s="22" customFormat="1" ht="18.75" customHeight="1">
      <c r="A342" s="196" t="s">
        <v>456</v>
      </c>
      <c r="B342" s="197" t="s">
        <v>449</v>
      </c>
      <c r="C342" s="199" t="s">
        <v>790</v>
      </c>
      <c r="D342" s="897" t="s">
        <v>451</v>
      </c>
      <c r="E342" s="198" t="s">
        <v>1826</v>
      </c>
      <c r="F342" s="332">
        <v>123.6</v>
      </c>
      <c r="G342" s="332"/>
      <c r="H342" s="332">
        <f t="shared" si="31"/>
        <v>0</v>
      </c>
      <c r="I342" s="333">
        <v>0.00295</v>
      </c>
      <c r="J342" s="334">
        <f t="shared" si="32"/>
        <v>0.36462</v>
      </c>
      <c r="K342" s="509"/>
      <c r="L342" s="585"/>
      <c r="M342" s="585"/>
      <c r="N342" s="585"/>
      <c r="O342" s="585"/>
      <c r="P342" s="585"/>
      <c r="Q342" s="585"/>
      <c r="R342" s="585"/>
      <c r="S342" s="585"/>
      <c r="T342" s="777"/>
      <c r="U342" s="777"/>
    </row>
    <row r="343" spans="1:19" s="22" customFormat="1" ht="18.75" customHeight="1">
      <c r="A343" s="196" t="s">
        <v>460</v>
      </c>
      <c r="B343" s="197" t="s">
        <v>491</v>
      </c>
      <c r="C343" s="199" t="s">
        <v>492</v>
      </c>
      <c r="D343" s="897" t="s">
        <v>791</v>
      </c>
      <c r="E343" s="198" t="s">
        <v>1826</v>
      </c>
      <c r="F343" s="332">
        <v>119.6</v>
      </c>
      <c r="G343" s="332"/>
      <c r="H343" s="332">
        <f t="shared" si="31"/>
        <v>0</v>
      </c>
      <c r="I343" s="333">
        <v>0.00339</v>
      </c>
      <c r="J343" s="334">
        <f t="shared" si="32"/>
        <v>0.40544399999999997</v>
      </c>
      <c r="K343" s="509"/>
      <c r="L343" s="509"/>
      <c r="M343" s="509"/>
      <c r="N343" s="509"/>
      <c r="O343" s="509"/>
      <c r="P343" s="509"/>
      <c r="Q343" s="509"/>
      <c r="R343" s="509"/>
      <c r="S343" s="509"/>
    </row>
    <row r="344" spans="1:19" s="22" customFormat="1" ht="18.75" customHeight="1">
      <c r="A344" s="196" t="s">
        <v>464</v>
      </c>
      <c r="B344" s="197" t="s">
        <v>517</v>
      </c>
      <c r="C344" s="199" t="s">
        <v>518</v>
      </c>
      <c r="D344" s="897" t="s">
        <v>1009</v>
      </c>
      <c r="E344" s="198" t="s">
        <v>1826</v>
      </c>
      <c r="F344" s="332">
        <v>10</v>
      </c>
      <c r="G344" s="332"/>
      <c r="H344" s="332">
        <f t="shared" si="31"/>
        <v>0</v>
      </c>
      <c r="I344" s="333">
        <v>0.00267</v>
      </c>
      <c r="J344" s="334">
        <f t="shared" si="32"/>
        <v>0.0267</v>
      </c>
      <c r="K344" s="509"/>
      <c r="L344" s="509"/>
      <c r="M344" s="509"/>
      <c r="N344" s="509"/>
      <c r="O344" s="509"/>
      <c r="P344" s="509"/>
      <c r="Q344" s="509"/>
      <c r="R344" s="509"/>
      <c r="S344" s="509"/>
    </row>
    <row r="345" spans="1:19" s="22" customFormat="1" ht="18.75" customHeight="1">
      <c r="A345" s="196" t="s">
        <v>468</v>
      </c>
      <c r="B345" s="197" t="s">
        <v>1010</v>
      </c>
      <c r="C345" s="199" t="s">
        <v>1011</v>
      </c>
      <c r="D345" s="897" t="s">
        <v>1012</v>
      </c>
      <c r="E345" s="198" t="s">
        <v>1826</v>
      </c>
      <c r="F345" s="332">
        <v>135.5</v>
      </c>
      <c r="G345" s="332"/>
      <c r="H345" s="332">
        <f t="shared" si="31"/>
        <v>0</v>
      </c>
      <c r="I345" s="333">
        <v>0.00376</v>
      </c>
      <c r="J345" s="334">
        <f t="shared" si="32"/>
        <v>0.5094799999999999</v>
      </c>
      <c r="K345" s="509"/>
      <c r="L345" s="509"/>
      <c r="M345" s="509"/>
      <c r="N345" s="509"/>
      <c r="O345" s="509"/>
      <c r="P345" s="509"/>
      <c r="Q345" s="509"/>
      <c r="R345" s="509"/>
      <c r="S345" s="509"/>
    </row>
    <row r="346" spans="1:19" s="22" customFormat="1" ht="18.75" customHeight="1">
      <c r="A346" s="196" t="s">
        <v>471</v>
      </c>
      <c r="B346" s="197" t="s">
        <v>1013</v>
      </c>
      <c r="C346" s="246" t="s">
        <v>1180</v>
      </c>
      <c r="D346" s="897" t="s">
        <v>1015</v>
      </c>
      <c r="E346" s="198" t="s">
        <v>1826</v>
      </c>
      <c r="F346" s="332">
        <v>132.5</v>
      </c>
      <c r="G346" s="332"/>
      <c r="H346" s="332">
        <f t="shared" si="31"/>
        <v>0</v>
      </c>
      <c r="I346" s="333">
        <v>0.00435</v>
      </c>
      <c r="J346" s="334">
        <f t="shared" si="32"/>
        <v>0.576375</v>
      </c>
      <c r="K346" s="509"/>
      <c r="L346" s="509"/>
      <c r="M346" s="509"/>
      <c r="N346" s="509"/>
      <c r="O346" s="509"/>
      <c r="P346" s="509"/>
      <c r="Q346" s="509"/>
      <c r="R346" s="509"/>
      <c r="S346" s="509"/>
    </row>
    <row r="347" spans="1:19" s="22" customFormat="1" ht="18.75" customHeight="1">
      <c r="A347" s="196" t="s">
        <v>474</v>
      </c>
      <c r="B347" s="197" t="s">
        <v>521</v>
      </c>
      <c r="C347" s="246" t="s">
        <v>522</v>
      </c>
      <c r="D347" s="897" t="s">
        <v>1016</v>
      </c>
      <c r="E347" s="198" t="s">
        <v>1826</v>
      </c>
      <c r="F347" s="332">
        <v>90.5</v>
      </c>
      <c r="G347" s="332"/>
      <c r="H347" s="332">
        <f t="shared" si="31"/>
        <v>0</v>
      </c>
      <c r="I347" s="333">
        <v>0.0038</v>
      </c>
      <c r="J347" s="334">
        <f t="shared" si="32"/>
        <v>0.3439</v>
      </c>
      <c r="K347" s="509"/>
      <c r="L347" s="509"/>
      <c r="M347" s="509"/>
      <c r="N347" s="509"/>
      <c r="O347" s="509"/>
      <c r="P347" s="509"/>
      <c r="Q347" s="509"/>
      <c r="R347" s="509"/>
      <c r="S347" s="509"/>
    </row>
    <row r="348" spans="1:19" s="22" customFormat="1" ht="18.75" customHeight="1">
      <c r="A348" s="196" t="s">
        <v>478</v>
      </c>
      <c r="B348" s="197" t="s">
        <v>498</v>
      </c>
      <c r="C348" s="246" t="s">
        <v>1017</v>
      </c>
      <c r="D348" s="897" t="s">
        <v>1018</v>
      </c>
      <c r="E348" s="198" t="s">
        <v>1826</v>
      </c>
      <c r="F348" s="332">
        <v>32.5</v>
      </c>
      <c r="G348" s="332"/>
      <c r="H348" s="332">
        <f t="shared" si="31"/>
        <v>0</v>
      </c>
      <c r="I348" s="333">
        <v>0.00489</v>
      </c>
      <c r="J348" s="334">
        <f t="shared" si="32"/>
        <v>0.158925</v>
      </c>
      <c r="K348" s="509"/>
      <c r="L348" s="509"/>
      <c r="M348" s="509"/>
      <c r="N348" s="509"/>
      <c r="O348" s="509"/>
      <c r="P348" s="509"/>
      <c r="Q348" s="509"/>
      <c r="R348" s="509"/>
      <c r="S348" s="509"/>
    </row>
    <row r="349" spans="1:19" s="22" customFormat="1" ht="18.75" customHeight="1">
      <c r="A349" s="196" t="s">
        <v>482</v>
      </c>
      <c r="B349" s="197" t="s">
        <v>792</v>
      </c>
      <c r="C349" s="246" t="s">
        <v>793</v>
      </c>
      <c r="D349" s="897" t="s">
        <v>794</v>
      </c>
      <c r="E349" s="198" t="s">
        <v>1826</v>
      </c>
      <c r="F349" s="332">
        <v>93.5</v>
      </c>
      <c r="G349" s="332"/>
      <c r="H349" s="332">
        <f t="shared" si="31"/>
        <v>0</v>
      </c>
      <c r="I349" s="333">
        <v>0.00363</v>
      </c>
      <c r="J349" s="334">
        <f t="shared" si="32"/>
        <v>0.339405</v>
      </c>
      <c r="K349" s="509"/>
      <c r="L349" s="509"/>
      <c r="M349" s="509"/>
      <c r="N349" s="509"/>
      <c r="O349" s="509"/>
      <c r="P349" s="509"/>
      <c r="Q349" s="509"/>
      <c r="R349" s="509"/>
      <c r="S349" s="509"/>
    </row>
    <row r="350" spans="1:19" s="22" customFormat="1" ht="18.75" customHeight="1">
      <c r="A350" s="196" t="s">
        <v>486</v>
      </c>
      <c r="B350" s="197" t="s">
        <v>453</v>
      </c>
      <c r="C350" s="246" t="s">
        <v>454</v>
      </c>
      <c r="D350" s="897" t="s">
        <v>455</v>
      </c>
      <c r="E350" s="198" t="s">
        <v>1826</v>
      </c>
      <c r="F350" s="332">
        <v>49.7</v>
      </c>
      <c r="G350" s="332"/>
      <c r="H350" s="332">
        <f t="shared" si="31"/>
        <v>0</v>
      </c>
      <c r="I350" s="333">
        <v>0.00315</v>
      </c>
      <c r="J350" s="334">
        <f t="shared" si="32"/>
        <v>0.156555</v>
      </c>
      <c r="K350" s="509"/>
      <c r="L350" s="509"/>
      <c r="M350" s="509"/>
      <c r="N350" s="509"/>
      <c r="O350" s="509"/>
      <c r="P350" s="509"/>
      <c r="Q350" s="509"/>
      <c r="R350" s="509"/>
      <c r="S350" s="509"/>
    </row>
    <row r="351" spans="1:19" s="22" customFormat="1" ht="31.5" customHeight="1">
      <c r="A351" s="196" t="s">
        <v>490</v>
      </c>
      <c r="B351" s="197" t="s">
        <v>1127</v>
      </c>
      <c r="C351" s="246" t="s">
        <v>1218</v>
      </c>
      <c r="D351" s="897" t="s">
        <v>1219</v>
      </c>
      <c r="E351" s="198" t="s">
        <v>1826</v>
      </c>
      <c r="F351" s="332">
        <v>2.9</v>
      </c>
      <c r="G351" s="332"/>
      <c r="H351" s="332">
        <f t="shared" si="31"/>
        <v>0</v>
      </c>
      <c r="I351" s="333">
        <v>0.04433</v>
      </c>
      <c r="J351" s="334">
        <f t="shared" si="32"/>
        <v>0.128557</v>
      </c>
      <c r="K351" s="509"/>
      <c r="L351" s="509"/>
      <c r="M351" s="509"/>
      <c r="N351" s="509"/>
      <c r="O351" s="509"/>
      <c r="P351" s="509"/>
      <c r="Q351" s="509"/>
      <c r="R351" s="509"/>
      <c r="S351" s="509"/>
    </row>
    <row r="352" spans="1:19" s="22" customFormat="1" ht="18.75" customHeight="1">
      <c r="A352" s="196" t="s">
        <v>494</v>
      </c>
      <c r="B352" s="197" t="s">
        <v>1019</v>
      </c>
      <c r="C352" s="246" t="s">
        <v>1020</v>
      </c>
      <c r="D352" s="897" t="s">
        <v>1021</v>
      </c>
      <c r="E352" s="198" t="s">
        <v>1831</v>
      </c>
      <c r="F352" s="332">
        <v>1</v>
      </c>
      <c r="G352" s="332"/>
      <c r="H352" s="332">
        <f t="shared" si="31"/>
        <v>0</v>
      </c>
      <c r="I352" s="333">
        <v>0</v>
      </c>
      <c r="J352" s="334">
        <f t="shared" si="32"/>
        <v>0</v>
      </c>
      <c r="K352" s="693"/>
      <c r="L352" s="693"/>
      <c r="M352" s="693"/>
      <c r="N352" s="693"/>
      <c r="O352" s="693"/>
      <c r="P352" s="693"/>
      <c r="Q352" s="694"/>
      <c r="R352" s="509"/>
      <c r="S352" s="509"/>
    </row>
    <row r="353" spans="1:19" s="22" customFormat="1" ht="18.75" customHeight="1">
      <c r="A353" s="196" t="s">
        <v>497</v>
      </c>
      <c r="B353" s="197" t="s">
        <v>1022</v>
      </c>
      <c r="C353" s="246" t="s">
        <v>1023</v>
      </c>
      <c r="D353" s="897" t="s">
        <v>1021</v>
      </c>
      <c r="E353" s="198" t="s">
        <v>1831</v>
      </c>
      <c r="F353" s="332">
        <v>1</v>
      </c>
      <c r="G353" s="332"/>
      <c r="H353" s="332">
        <f t="shared" si="31"/>
        <v>0</v>
      </c>
      <c r="I353" s="333">
        <v>0.0165</v>
      </c>
      <c r="J353" s="334">
        <f t="shared" si="32"/>
        <v>0.0165</v>
      </c>
      <c r="K353" s="509"/>
      <c r="L353" s="585"/>
      <c r="M353" s="585"/>
      <c r="N353" s="585"/>
      <c r="O353" s="585"/>
      <c r="P353" s="585"/>
      <c r="Q353" s="585"/>
      <c r="R353" s="509"/>
      <c r="S353" s="509"/>
    </row>
    <row r="354" spans="1:19" s="22" customFormat="1" ht="18.75" customHeight="1">
      <c r="A354" s="196" t="s">
        <v>501</v>
      </c>
      <c r="B354" s="197" t="s">
        <v>457</v>
      </c>
      <c r="C354" s="246" t="s">
        <v>458</v>
      </c>
      <c r="D354" s="897" t="s">
        <v>459</v>
      </c>
      <c r="E354" s="198" t="s">
        <v>1826</v>
      </c>
      <c r="F354" s="332">
        <v>3</v>
      </c>
      <c r="G354" s="332"/>
      <c r="H354" s="332">
        <f t="shared" si="31"/>
        <v>0</v>
      </c>
      <c r="I354" s="333">
        <v>0.00376</v>
      </c>
      <c r="J354" s="334">
        <f t="shared" si="32"/>
        <v>0.01128</v>
      </c>
      <c r="K354" s="509"/>
      <c r="L354" s="585"/>
      <c r="M354" s="509"/>
      <c r="N354" s="509"/>
      <c r="O354" s="509"/>
      <c r="P354" s="509"/>
      <c r="Q354" s="509"/>
      <c r="R354" s="509"/>
      <c r="S354" s="509"/>
    </row>
    <row r="355" spans="1:19" s="22" customFormat="1" ht="18.75" customHeight="1">
      <c r="A355" s="196" t="s">
        <v>502</v>
      </c>
      <c r="B355" s="197" t="s">
        <v>461</v>
      </c>
      <c r="C355" s="246" t="s">
        <v>1024</v>
      </c>
      <c r="D355" s="897" t="s">
        <v>463</v>
      </c>
      <c r="E355" s="198" t="s">
        <v>1826</v>
      </c>
      <c r="F355" s="332">
        <v>35.2</v>
      </c>
      <c r="G355" s="332"/>
      <c r="H355" s="332">
        <f t="shared" si="31"/>
        <v>0</v>
      </c>
      <c r="I355" s="333">
        <v>0.00285</v>
      </c>
      <c r="J355" s="334">
        <f t="shared" si="32"/>
        <v>0.10032</v>
      </c>
      <c r="K355" s="509"/>
      <c r="L355" s="509"/>
      <c r="M355" s="509"/>
      <c r="N355" s="509"/>
      <c r="O355" s="509"/>
      <c r="P355" s="509"/>
      <c r="Q355" s="509"/>
      <c r="R355" s="509"/>
      <c r="S355" s="509"/>
    </row>
    <row r="356" spans="1:19" s="22" customFormat="1" ht="18.75" customHeight="1">
      <c r="A356" s="196" t="s">
        <v>505</v>
      </c>
      <c r="B356" s="197" t="s">
        <v>465</v>
      </c>
      <c r="C356" s="246" t="s">
        <v>466</v>
      </c>
      <c r="D356" s="897" t="s">
        <v>467</v>
      </c>
      <c r="E356" s="198" t="s">
        <v>1826</v>
      </c>
      <c r="F356" s="332">
        <v>16.3</v>
      </c>
      <c r="G356" s="332"/>
      <c r="H356" s="332">
        <f t="shared" si="31"/>
        <v>0</v>
      </c>
      <c r="I356" s="333">
        <v>0.00145</v>
      </c>
      <c r="J356" s="334">
        <f t="shared" si="32"/>
        <v>0.023635</v>
      </c>
      <c r="K356" s="509"/>
      <c r="L356" s="509"/>
      <c r="M356" s="509"/>
      <c r="N356" s="509"/>
      <c r="O356" s="509"/>
      <c r="P356" s="509"/>
      <c r="Q356" s="509"/>
      <c r="R356" s="509"/>
      <c r="S356" s="509"/>
    </row>
    <row r="357" spans="1:19" s="22" customFormat="1" ht="18.75" customHeight="1">
      <c r="A357" s="196" t="s">
        <v>508</v>
      </c>
      <c r="B357" s="197" t="s">
        <v>469</v>
      </c>
      <c r="C357" s="199" t="s">
        <v>470</v>
      </c>
      <c r="D357" s="897"/>
      <c r="E357" s="198" t="s">
        <v>1748</v>
      </c>
      <c r="F357" s="332">
        <v>10</v>
      </c>
      <c r="G357" s="332"/>
      <c r="H357" s="332">
        <f t="shared" si="31"/>
        <v>0</v>
      </c>
      <c r="I357" s="333">
        <v>0</v>
      </c>
      <c r="J357" s="334">
        <f t="shared" si="32"/>
        <v>0</v>
      </c>
      <c r="K357" s="509"/>
      <c r="L357" s="509"/>
      <c r="M357" s="509"/>
      <c r="N357" s="509"/>
      <c r="O357" s="509"/>
      <c r="P357" s="509"/>
      <c r="Q357" s="509"/>
      <c r="R357" s="509"/>
      <c r="S357" s="509"/>
    </row>
    <row r="358" spans="1:19" s="22" customFormat="1" ht="18.75" customHeight="1">
      <c r="A358" s="196" t="s">
        <v>512</v>
      </c>
      <c r="B358" s="197" t="s">
        <v>472</v>
      </c>
      <c r="C358" s="199" t="s">
        <v>473</v>
      </c>
      <c r="D358" s="897" t="s">
        <v>2636</v>
      </c>
      <c r="E358" s="198" t="s">
        <v>1748</v>
      </c>
      <c r="F358" s="332">
        <v>10</v>
      </c>
      <c r="G358" s="332"/>
      <c r="H358" s="332">
        <f t="shared" si="31"/>
        <v>0</v>
      </c>
      <c r="I358" s="333">
        <v>0.0048</v>
      </c>
      <c r="J358" s="334">
        <f t="shared" si="32"/>
        <v>0.047999999999999994</v>
      </c>
      <c r="K358" s="509"/>
      <c r="L358" s="509"/>
      <c r="M358" s="509"/>
      <c r="N358" s="509"/>
      <c r="O358" s="509"/>
      <c r="P358" s="509"/>
      <c r="Q358" s="509"/>
      <c r="R358" s="509"/>
      <c r="S358" s="509"/>
    </row>
    <row r="359" spans="1:19" s="22" customFormat="1" ht="18.75" customHeight="1">
      <c r="A359" s="196" t="s">
        <v>516</v>
      </c>
      <c r="B359" s="197" t="s">
        <v>525</v>
      </c>
      <c r="C359" s="199" t="s">
        <v>526</v>
      </c>
      <c r="D359" s="897" t="s">
        <v>2525</v>
      </c>
      <c r="E359" s="198" t="s">
        <v>1831</v>
      </c>
      <c r="F359" s="332">
        <v>14</v>
      </c>
      <c r="G359" s="332"/>
      <c r="H359" s="332">
        <f>F359*G359</f>
        <v>0</v>
      </c>
      <c r="I359" s="333">
        <v>0.00801</v>
      </c>
      <c r="J359" s="334">
        <f>F359*I359</f>
        <v>0.11213999999999999</v>
      </c>
      <c r="K359" s="509"/>
      <c r="L359" s="509"/>
      <c r="M359" s="509"/>
      <c r="N359" s="509"/>
      <c r="O359" s="509"/>
      <c r="P359" s="509"/>
      <c r="Q359" s="509"/>
      <c r="R359" s="509"/>
      <c r="S359" s="509"/>
    </row>
    <row r="360" spans="1:19" ht="12.75">
      <c r="A360" s="317"/>
      <c r="B360" s="318"/>
      <c r="C360" s="318"/>
      <c r="D360" s="958"/>
      <c r="E360" s="319"/>
      <c r="F360" s="424"/>
      <c r="G360" s="424"/>
      <c r="H360" s="424"/>
      <c r="I360" s="425"/>
      <c r="J360" s="426"/>
      <c r="K360" s="670"/>
      <c r="L360" s="670"/>
      <c r="M360" s="670"/>
      <c r="N360" s="670"/>
      <c r="O360" s="670"/>
      <c r="P360" s="670"/>
      <c r="Q360" s="670"/>
      <c r="R360" s="670"/>
      <c r="S360" s="670"/>
    </row>
    <row r="361" spans="1:19" s="22" customFormat="1" ht="18.75" customHeight="1" thickBot="1">
      <c r="A361" s="255" t="s">
        <v>520</v>
      </c>
      <c r="B361" s="256" t="s">
        <v>533</v>
      </c>
      <c r="C361" s="264" t="s">
        <v>534</v>
      </c>
      <c r="D361" s="906"/>
      <c r="E361" s="257" t="s">
        <v>1783</v>
      </c>
      <c r="F361" s="368">
        <f>J337</f>
        <v>3.9983310000000003</v>
      </c>
      <c r="G361" s="368"/>
      <c r="H361" s="368">
        <f>F361*G361</f>
        <v>0</v>
      </c>
      <c r="I361" s="369">
        <v>0</v>
      </c>
      <c r="J361" s="370">
        <f>F361*I361</f>
        <v>0</v>
      </c>
      <c r="K361" s="509"/>
      <c r="L361" s="509"/>
      <c r="M361" s="509"/>
      <c r="N361" s="509"/>
      <c r="O361" s="509"/>
      <c r="P361" s="509"/>
      <c r="Q361" s="509"/>
      <c r="R361" s="509"/>
      <c r="S361" s="509"/>
    </row>
    <row r="362" spans="1:19" ht="16.5" customHeight="1" thickBot="1">
      <c r="A362" s="266" t="s">
        <v>535</v>
      </c>
      <c r="B362" s="175" t="s">
        <v>536</v>
      </c>
      <c r="C362" s="176" t="s">
        <v>537</v>
      </c>
      <c r="D362" s="1102"/>
      <c r="E362" s="175"/>
      <c r="F362" s="341"/>
      <c r="G362" s="341"/>
      <c r="H362" s="342">
        <f>SUM(H363:H371)</f>
        <v>0</v>
      </c>
      <c r="I362" s="343"/>
      <c r="J362" s="344">
        <f>SUM(J363:J370)</f>
        <v>0.38289099999999987</v>
      </c>
      <c r="K362" s="670"/>
      <c r="L362" s="670"/>
      <c r="M362" s="670"/>
      <c r="N362" s="670"/>
      <c r="O362" s="670"/>
      <c r="P362" s="670"/>
      <c r="Q362" s="670"/>
      <c r="R362" s="670"/>
      <c r="S362" s="670"/>
    </row>
    <row r="363" spans="1:19" s="22" customFormat="1" ht="18.75" customHeight="1">
      <c r="A363" s="190"/>
      <c r="B363" s="191"/>
      <c r="C363" s="265"/>
      <c r="D363" s="896"/>
      <c r="E363" s="192"/>
      <c r="F363" s="345"/>
      <c r="G363" s="345"/>
      <c r="H363" s="345"/>
      <c r="I363" s="346"/>
      <c r="J363" s="347"/>
      <c r="K363" s="509"/>
      <c r="L363" s="509"/>
      <c r="M363" s="509"/>
      <c r="N363" s="509"/>
      <c r="O363" s="509"/>
      <c r="P363" s="509"/>
      <c r="Q363" s="509"/>
      <c r="R363" s="509"/>
      <c r="S363" s="509"/>
    </row>
    <row r="364" spans="1:19" s="22" customFormat="1" ht="18.75" customHeight="1">
      <c r="A364" s="196" t="s">
        <v>538</v>
      </c>
      <c r="B364" s="197" t="s">
        <v>1030</v>
      </c>
      <c r="C364" s="199" t="s">
        <v>1031</v>
      </c>
      <c r="D364" s="897"/>
      <c r="E364" s="198" t="s">
        <v>1826</v>
      </c>
      <c r="F364" s="332">
        <f>SUM(F365:F366)</f>
        <v>7.35</v>
      </c>
      <c r="G364" s="332"/>
      <c r="H364" s="332">
        <f aca="true" t="shared" si="33" ref="H364:H370">F364*G364</f>
        <v>0</v>
      </c>
      <c r="I364" s="333">
        <v>6E-05</v>
      </c>
      <c r="J364" s="334">
        <f aca="true" t="shared" si="34" ref="J364:J370">F364*I364</f>
        <v>0.000441</v>
      </c>
      <c r="K364" s="509"/>
      <c r="L364" s="509"/>
      <c r="M364" s="509"/>
      <c r="N364" s="509"/>
      <c r="O364" s="509"/>
      <c r="P364" s="509"/>
      <c r="Q364" s="509"/>
      <c r="R364" s="509"/>
      <c r="S364" s="509"/>
    </row>
    <row r="365" spans="1:19" s="22" customFormat="1" ht="26.25" customHeight="1">
      <c r="A365" s="196" t="s">
        <v>542</v>
      </c>
      <c r="B365" s="197" t="s">
        <v>1130</v>
      </c>
      <c r="C365" s="199" t="s">
        <v>1033</v>
      </c>
      <c r="D365" s="897" t="s">
        <v>1132</v>
      </c>
      <c r="E365" s="198" t="s">
        <v>1826</v>
      </c>
      <c r="F365" s="332">
        <v>4.35</v>
      </c>
      <c r="G365" s="332"/>
      <c r="H365" s="332">
        <f t="shared" si="33"/>
        <v>0</v>
      </c>
      <c r="I365" s="333">
        <v>0.03</v>
      </c>
      <c r="J365" s="334">
        <f t="shared" si="34"/>
        <v>0.13049999999999998</v>
      </c>
      <c r="K365" s="509"/>
      <c r="L365" s="509"/>
      <c r="M365" s="509"/>
      <c r="N365" s="509"/>
      <c r="O365" s="509"/>
      <c r="P365" s="509"/>
      <c r="Q365" s="509"/>
      <c r="R365" s="509"/>
      <c r="S365" s="509"/>
    </row>
    <row r="366" spans="1:19" s="22" customFormat="1" ht="26.25" customHeight="1">
      <c r="A366" s="196" t="s">
        <v>545</v>
      </c>
      <c r="B366" s="197" t="s">
        <v>1133</v>
      </c>
      <c r="C366" s="199" t="s">
        <v>1033</v>
      </c>
      <c r="D366" s="897" t="s">
        <v>1134</v>
      </c>
      <c r="E366" s="198" t="s">
        <v>1826</v>
      </c>
      <c r="F366" s="332">
        <v>3</v>
      </c>
      <c r="G366" s="332"/>
      <c r="H366" s="332">
        <f t="shared" si="33"/>
        <v>0</v>
      </c>
      <c r="I366" s="333">
        <v>0.03</v>
      </c>
      <c r="J366" s="334">
        <f t="shared" si="34"/>
        <v>0.09</v>
      </c>
      <c r="K366" s="509"/>
      <c r="L366" s="509"/>
      <c r="M366" s="509"/>
      <c r="N366" s="509"/>
      <c r="O366" s="509"/>
      <c r="P366" s="509"/>
      <c r="Q366" s="509"/>
      <c r="R366" s="509"/>
      <c r="S366" s="509"/>
    </row>
    <row r="367" spans="1:19" s="22" customFormat="1" ht="26.25" customHeight="1">
      <c r="A367" s="196" t="s">
        <v>547</v>
      </c>
      <c r="B367" s="197" t="s">
        <v>1043</v>
      </c>
      <c r="C367" s="199" t="s">
        <v>1044</v>
      </c>
      <c r="D367" s="897" t="s">
        <v>1045</v>
      </c>
      <c r="E367" s="198" t="s">
        <v>1826</v>
      </c>
      <c r="F367" s="594">
        <f>4*2.58+1*2.28</f>
        <v>12.6</v>
      </c>
      <c r="G367" s="332"/>
      <c r="H367" s="332">
        <f t="shared" si="33"/>
        <v>0</v>
      </c>
      <c r="I367" s="333">
        <v>0.01</v>
      </c>
      <c r="J367" s="334">
        <f t="shared" si="34"/>
        <v>0.126</v>
      </c>
      <c r="K367" s="509"/>
      <c r="L367" s="509"/>
      <c r="M367" s="509"/>
      <c r="N367" s="509"/>
      <c r="O367" s="509"/>
      <c r="P367" s="509"/>
      <c r="Q367" s="509"/>
      <c r="R367" s="509"/>
      <c r="S367" s="509"/>
    </row>
    <row r="368" spans="1:19" s="22" customFormat="1" ht="18.75" customHeight="1">
      <c r="A368" s="196" t="s">
        <v>550</v>
      </c>
      <c r="B368" s="197" t="s">
        <v>561</v>
      </c>
      <c r="C368" s="199" t="s">
        <v>562</v>
      </c>
      <c r="D368" s="897" t="s">
        <v>552</v>
      </c>
      <c r="E368" s="198" t="s">
        <v>1718</v>
      </c>
      <c r="F368" s="332">
        <v>5</v>
      </c>
      <c r="G368" s="332"/>
      <c r="H368" s="332">
        <f t="shared" si="33"/>
        <v>0</v>
      </c>
      <c r="I368" s="333">
        <v>0.00095</v>
      </c>
      <c r="J368" s="334">
        <f t="shared" si="34"/>
        <v>0.00475</v>
      </c>
      <c r="K368" s="509"/>
      <c r="L368" s="509"/>
      <c r="M368" s="509"/>
      <c r="N368" s="509"/>
      <c r="O368" s="509"/>
      <c r="P368" s="509"/>
      <c r="Q368" s="509"/>
      <c r="R368" s="509"/>
      <c r="S368" s="509"/>
    </row>
    <row r="369" spans="1:19" s="22" customFormat="1" ht="18.75" customHeight="1">
      <c r="A369" s="196" t="s">
        <v>553</v>
      </c>
      <c r="B369" s="197" t="s">
        <v>554</v>
      </c>
      <c r="C369" s="199" t="s">
        <v>555</v>
      </c>
      <c r="D369" s="897" t="s">
        <v>556</v>
      </c>
      <c r="E369" s="198" t="s">
        <v>1718</v>
      </c>
      <c r="F369" s="332">
        <v>3</v>
      </c>
      <c r="G369" s="332"/>
      <c r="H369" s="332">
        <f t="shared" si="33"/>
        <v>0</v>
      </c>
      <c r="I369" s="333">
        <v>0.0004</v>
      </c>
      <c r="J369" s="334">
        <f t="shared" si="34"/>
        <v>0.0012000000000000001</v>
      </c>
      <c r="K369" s="509"/>
      <c r="L369" s="509"/>
      <c r="M369" s="509"/>
      <c r="N369" s="509"/>
      <c r="O369" s="509"/>
      <c r="P369" s="509"/>
      <c r="Q369" s="509"/>
      <c r="R369" s="509"/>
      <c r="S369" s="509"/>
    </row>
    <row r="370" spans="1:19" s="22" customFormat="1" ht="18.75" customHeight="1">
      <c r="A370" s="196" t="s">
        <v>557</v>
      </c>
      <c r="B370" s="197" t="s">
        <v>558</v>
      </c>
      <c r="C370" s="199" t="s">
        <v>559</v>
      </c>
      <c r="D370" s="897" t="s">
        <v>556</v>
      </c>
      <c r="E370" s="198" t="s">
        <v>1718</v>
      </c>
      <c r="F370" s="332">
        <v>3</v>
      </c>
      <c r="G370" s="332"/>
      <c r="H370" s="332">
        <f t="shared" si="33"/>
        <v>0</v>
      </c>
      <c r="I370" s="333">
        <v>0.01</v>
      </c>
      <c r="J370" s="334">
        <f t="shared" si="34"/>
        <v>0.03</v>
      </c>
      <c r="K370" s="509"/>
      <c r="L370" s="509"/>
      <c r="M370" s="509"/>
      <c r="N370" s="509"/>
      <c r="O370" s="509"/>
      <c r="P370" s="509"/>
      <c r="Q370" s="509"/>
      <c r="R370" s="509"/>
      <c r="S370" s="509"/>
    </row>
    <row r="371" spans="1:19" s="22" customFormat="1" ht="18.75" customHeight="1" thickBot="1">
      <c r="A371" s="196" t="s">
        <v>560</v>
      </c>
      <c r="B371" s="256" t="s">
        <v>592</v>
      </c>
      <c r="C371" s="264" t="s">
        <v>593</v>
      </c>
      <c r="D371" s="906"/>
      <c r="E371" s="257" t="s">
        <v>1783</v>
      </c>
      <c r="F371" s="368">
        <f>J362</f>
        <v>0.38289099999999987</v>
      </c>
      <c r="G371" s="368"/>
      <c r="H371" s="368">
        <f>F371*G371</f>
        <v>0</v>
      </c>
      <c r="I371" s="369">
        <v>0</v>
      </c>
      <c r="J371" s="370">
        <f>F371*I371</f>
        <v>0</v>
      </c>
      <c r="K371" s="509"/>
      <c r="L371" s="509"/>
      <c r="M371" s="509"/>
      <c r="N371" s="509"/>
      <c r="O371" s="509"/>
      <c r="P371" s="509"/>
      <c r="Q371" s="509"/>
      <c r="R371" s="509"/>
      <c r="S371" s="509"/>
    </row>
    <row r="372" spans="1:19" ht="16.5" customHeight="1" thickBot="1">
      <c r="A372" s="266" t="s">
        <v>848</v>
      </c>
      <c r="B372" s="175" t="s">
        <v>594</v>
      </c>
      <c r="C372" s="176" t="s">
        <v>595</v>
      </c>
      <c r="D372" s="1102"/>
      <c r="E372" s="175"/>
      <c r="F372" s="341"/>
      <c r="G372" s="341"/>
      <c r="H372" s="342">
        <f>SUM(H374:H389)</f>
        <v>0</v>
      </c>
      <c r="I372" s="343"/>
      <c r="J372" s="344">
        <f>SUM(J374:J380)</f>
        <v>0.13395200000000002</v>
      </c>
      <c r="K372" s="670"/>
      <c r="L372" s="670"/>
      <c r="M372" s="670"/>
      <c r="N372" s="670"/>
      <c r="O372" s="670"/>
      <c r="P372" s="670"/>
      <c r="Q372" s="670"/>
      <c r="R372" s="670"/>
      <c r="S372" s="670"/>
    </row>
    <row r="373" spans="1:22" s="294" customFormat="1" ht="12.75">
      <c r="A373" s="309"/>
      <c r="B373" s="684"/>
      <c r="C373" s="310"/>
      <c r="D373" s="909"/>
      <c r="E373" s="148"/>
      <c r="F373" s="311"/>
      <c r="G373" s="311"/>
      <c r="H373" s="304"/>
      <c r="I373" s="304"/>
      <c r="J373" s="366"/>
      <c r="K373" s="143"/>
      <c r="L373" s="143"/>
      <c r="M373" s="735"/>
      <c r="N373" s="693"/>
      <c r="O373" s="293"/>
      <c r="P373" s="293"/>
      <c r="Q373" s="293"/>
      <c r="R373" s="293"/>
      <c r="S373" s="293"/>
      <c r="T373" s="293"/>
      <c r="U373" s="293"/>
      <c r="V373" s="293"/>
    </row>
    <row r="374" spans="1:19" s="288" customFormat="1" ht="24">
      <c r="A374" s="196" t="s">
        <v>596</v>
      </c>
      <c r="B374" s="285" t="s">
        <v>597</v>
      </c>
      <c r="C374" s="286" t="s">
        <v>598</v>
      </c>
      <c r="D374" s="910" t="s">
        <v>2814</v>
      </c>
      <c r="E374" s="287" t="s">
        <v>1748</v>
      </c>
      <c r="F374" s="734">
        <f>E375</f>
        <v>8.32</v>
      </c>
      <c r="G374" s="387"/>
      <c r="H374" s="332">
        <f>F374*G374</f>
        <v>0</v>
      </c>
      <c r="I374" s="388">
        <v>0.0161</v>
      </c>
      <c r="J374" s="334">
        <f>F374*I374</f>
        <v>0.13395200000000002</v>
      </c>
      <c r="K374" s="143"/>
      <c r="L374" s="143"/>
      <c r="M374" s="143"/>
      <c r="N374" s="735"/>
      <c r="O374" s="693"/>
      <c r="P374" s="144"/>
      <c r="Q374" s="144"/>
      <c r="R374" s="144"/>
      <c r="S374" s="144"/>
    </row>
    <row r="375" spans="1:19" s="130" customFormat="1" ht="18" customHeight="1">
      <c r="A375" s="204"/>
      <c r="B375" s="205"/>
      <c r="C375" s="206" t="s">
        <v>1109</v>
      </c>
      <c r="D375" s="898"/>
      <c r="E375" s="207">
        <f>2.4*0.3+3*0.4*2+5.2</f>
        <v>8.32</v>
      </c>
      <c r="F375" s="335"/>
      <c r="G375" s="335"/>
      <c r="H375" s="335"/>
      <c r="I375" s="336"/>
      <c r="J375" s="337"/>
      <c r="K375" s="672"/>
      <c r="L375" s="672"/>
      <c r="M375" s="672"/>
      <c r="N375" s="672"/>
      <c r="O375" s="672"/>
      <c r="P375" s="672"/>
      <c r="Q375" s="673"/>
      <c r="R375" s="508"/>
      <c r="S375" s="508"/>
    </row>
    <row r="376" spans="1:22" s="294" customFormat="1" ht="12.75">
      <c r="A376" s="289"/>
      <c r="B376" s="285"/>
      <c r="C376" s="290"/>
      <c r="D376" s="911"/>
      <c r="E376" s="283"/>
      <c r="F376" s="291"/>
      <c r="G376" s="291"/>
      <c r="H376" s="292"/>
      <c r="I376" s="292"/>
      <c r="J376" s="389"/>
      <c r="K376" s="143"/>
      <c r="L376" s="143"/>
      <c r="M376" s="735"/>
      <c r="N376" s="693"/>
      <c r="O376" s="293"/>
      <c r="P376" s="293"/>
      <c r="Q376" s="293"/>
      <c r="R376" s="293"/>
      <c r="S376" s="293"/>
      <c r="T376" s="293"/>
      <c r="U376" s="293"/>
      <c r="V376" s="293"/>
    </row>
    <row r="377" spans="1:60" s="288" customFormat="1" ht="24">
      <c r="A377" s="196" t="s">
        <v>599</v>
      </c>
      <c r="B377" s="285" t="s">
        <v>603</v>
      </c>
      <c r="C377" s="286" t="s">
        <v>604</v>
      </c>
      <c r="D377" s="910" t="s">
        <v>2814</v>
      </c>
      <c r="E377" s="287" t="s">
        <v>1748</v>
      </c>
      <c r="F377" s="1243">
        <f>SUM(E378:E378)</f>
        <v>8.32</v>
      </c>
      <c r="G377" s="387"/>
      <c r="H377" s="332">
        <f aca="true" t="shared" si="35" ref="H377:H384">F377*G377</f>
        <v>0</v>
      </c>
      <c r="I377" s="388">
        <v>0</v>
      </c>
      <c r="J377" s="334">
        <f>F377*I377</f>
        <v>0</v>
      </c>
      <c r="K377" s="143"/>
      <c r="L377" s="143"/>
      <c r="M377" s="143"/>
      <c r="N377" s="735"/>
      <c r="O377" s="693"/>
      <c r="P377" s="144"/>
      <c r="Q377" s="144"/>
      <c r="R377" s="144">
        <v>2</v>
      </c>
      <c r="S377" s="144"/>
      <c r="BC377" s="288">
        <v>2</v>
      </c>
      <c r="BD377" s="288">
        <f>IF(BC377=1,H377,0)</f>
        <v>0</v>
      </c>
      <c r="BE377" s="288">
        <f>IF(BC377=2,H377,0)</f>
        <v>0</v>
      </c>
      <c r="BF377" s="288">
        <f>IF(BC377=3,H377,0)</f>
        <v>0</v>
      </c>
      <c r="BG377" s="288">
        <f>IF(BC377=4,H377,0)</f>
        <v>0</v>
      </c>
      <c r="BH377" s="288">
        <f>IF(BC377=5,H377,0)</f>
        <v>0</v>
      </c>
    </row>
    <row r="378" spans="1:19" s="130" customFormat="1" ht="17.25" customHeight="1">
      <c r="A378" s="204"/>
      <c r="B378" s="205"/>
      <c r="C378" s="206" t="s">
        <v>1109</v>
      </c>
      <c r="D378" s="898"/>
      <c r="E378" s="207">
        <f>2.4*0.3+3*0.4*2+5.2</f>
        <v>8.32</v>
      </c>
      <c r="F378" s="335"/>
      <c r="G378" s="335"/>
      <c r="H378" s="335"/>
      <c r="I378" s="336"/>
      <c r="J378" s="337"/>
      <c r="K378" s="672"/>
      <c r="L378" s="672"/>
      <c r="M378" s="672"/>
      <c r="N378" s="672"/>
      <c r="O378" s="672"/>
      <c r="P378" s="672"/>
      <c r="Q378" s="673"/>
      <c r="R378" s="508"/>
      <c r="S378" s="508"/>
    </row>
    <row r="379" spans="1:19" s="299" customFormat="1" ht="15" customHeight="1">
      <c r="A379" s="295"/>
      <c r="B379" s="296"/>
      <c r="C379" s="297"/>
      <c r="D379" s="912"/>
      <c r="E379" s="298"/>
      <c r="F379" s="141"/>
      <c r="G379" s="141"/>
      <c r="H379" s="141"/>
      <c r="I379" s="390"/>
      <c r="J379" s="391"/>
      <c r="K379" s="736"/>
      <c r="L379" s="736"/>
      <c r="M379" s="736"/>
      <c r="N379" s="737"/>
      <c r="O379" s="580"/>
      <c r="P379" s="580"/>
      <c r="Q379" s="580"/>
      <c r="R379" s="580"/>
      <c r="S379" s="580"/>
    </row>
    <row r="380" spans="1:60" s="300" customFormat="1" ht="20.25" customHeight="1">
      <c r="A380" s="738" t="s">
        <v>602</v>
      </c>
      <c r="B380" s="739" t="s">
        <v>606</v>
      </c>
      <c r="C380" s="740" t="s">
        <v>607</v>
      </c>
      <c r="D380" s="910" t="s">
        <v>2814</v>
      </c>
      <c r="E380" s="741" t="s">
        <v>1748</v>
      </c>
      <c r="F380" s="1243">
        <f>SUM(E381:E382)</f>
        <v>10.08</v>
      </c>
      <c r="G380" s="742"/>
      <c r="H380" s="742">
        <f t="shared" si="35"/>
        <v>0</v>
      </c>
      <c r="I380" s="392"/>
      <c r="J380" s="393"/>
      <c r="K380" s="743"/>
      <c r="L380" s="743"/>
      <c r="M380" s="744"/>
      <c r="N380" s="744">
        <v>2</v>
      </c>
      <c r="O380" s="744"/>
      <c r="P380" s="744"/>
      <c r="Q380" s="744"/>
      <c r="R380" s="744"/>
      <c r="S380" s="745"/>
      <c r="T380" s="746"/>
      <c r="U380" s="746"/>
      <c r="V380" s="746"/>
      <c r="W380" s="746"/>
      <c r="X380" s="746"/>
      <c r="Y380" s="746"/>
      <c r="Z380" s="746"/>
      <c r="AA380" s="746"/>
      <c r="AB380" s="746"/>
      <c r="AC380" s="746"/>
      <c r="AD380" s="746"/>
      <c r="AE380" s="746"/>
      <c r="AF380" s="746"/>
      <c r="AG380" s="746"/>
      <c r="AH380" s="746"/>
      <c r="AI380" s="746"/>
      <c r="AJ380" s="746"/>
      <c r="AK380" s="746"/>
      <c r="AL380" s="746"/>
      <c r="AM380" s="746"/>
      <c r="AN380" s="746"/>
      <c r="AO380" s="746"/>
      <c r="AP380" s="746"/>
      <c r="AQ380" s="746"/>
      <c r="AR380" s="746"/>
      <c r="AS380" s="746"/>
      <c r="AT380" s="746"/>
      <c r="AU380" s="746"/>
      <c r="AV380" s="746"/>
      <c r="AW380" s="746"/>
      <c r="AX380" s="746"/>
      <c r="AY380" s="746">
        <v>2</v>
      </c>
      <c r="AZ380" s="746">
        <f>IF(AY380=1,H380,0)</f>
        <v>0</v>
      </c>
      <c r="BA380" s="746">
        <f>IF(AY380=2,H380,0)</f>
        <v>0</v>
      </c>
      <c r="BB380" s="746">
        <f>IF(AY380=3,H380,0)</f>
        <v>0</v>
      </c>
      <c r="BC380" s="746">
        <f>IF(AY380=4,H380,0)</f>
        <v>0</v>
      </c>
      <c r="BD380" s="746">
        <f>IF(AY380=5,H380,0)</f>
        <v>0</v>
      </c>
      <c r="BE380" s="746"/>
      <c r="BF380" s="746"/>
      <c r="BG380" s="746"/>
      <c r="BH380" s="746"/>
    </row>
    <row r="381" spans="1:19" s="130" customFormat="1" ht="22.5" customHeight="1">
      <c r="A381" s="204"/>
      <c r="B381" s="205"/>
      <c r="C381" s="206" t="s">
        <v>1109</v>
      </c>
      <c r="D381" s="898"/>
      <c r="E381" s="207">
        <f>2.4*0.3+3*0.4*2+5.2</f>
        <v>8.32</v>
      </c>
      <c r="F381" s="335"/>
      <c r="G381" s="335"/>
      <c r="H381" s="335"/>
      <c r="I381" s="336"/>
      <c r="J381" s="337"/>
      <c r="K381" s="672"/>
      <c r="L381" s="672"/>
      <c r="M381" s="672"/>
      <c r="N381" s="672"/>
      <c r="O381" s="672"/>
      <c r="P381" s="672"/>
      <c r="Q381" s="673"/>
      <c r="R381" s="508"/>
      <c r="S381" s="508"/>
    </row>
    <row r="382" spans="1:19" s="130" customFormat="1" ht="17.25" customHeight="1">
      <c r="A382" s="204"/>
      <c r="B382" s="1252" t="s">
        <v>1767</v>
      </c>
      <c r="C382" s="1253" t="s">
        <v>840</v>
      </c>
      <c r="D382" s="1252" t="s">
        <v>2758</v>
      </c>
      <c r="E382" s="1254">
        <f>1.76</f>
        <v>1.76</v>
      </c>
      <c r="F382" s="335"/>
      <c r="G382" s="335"/>
      <c r="H382" s="335"/>
      <c r="I382" s="336"/>
      <c r="J382" s="337"/>
      <c r="K382" s="672"/>
      <c r="L382" s="672"/>
      <c r="M382" s="672"/>
      <c r="N382" s="672"/>
      <c r="O382" s="672"/>
      <c r="P382" s="672"/>
      <c r="Q382" s="673"/>
      <c r="R382" s="508"/>
      <c r="S382" s="508"/>
    </row>
    <row r="383" spans="1:19" s="299" customFormat="1" ht="15" customHeight="1">
      <c r="A383" s="295"/>
      <c r="B383" s="296"/>
      <c r="C383" s="297"/>
      <c r="D383" s="912"/>
      <c r="E383" s="298"/>
      <c r="F383" s="141"/>
      <c r="G383" s="141"/>
      <c r="H383" s="141"/>
      <c r="I383" s="390"/>
      <c r="J383" s="391"/>
      <c r="K383" s="736"/>
      <c r="L383" s="736"/>
      <c r="M383" s="736"/>
      <c r="N383" s="737"/>
      <c r="O383" s="580"/>
      <c r="P383" s="580"/>
      <c r="Q383" s="580"/>
      <c r="R383" s="580"/>
      <c r="S383" s="580"/>
    </row>
    <row r="384" spans="1:60" s="300" customFormat="1" ht="26.25" customHeight="1">
      <c r="A384" s="738" t="s">
        <v>605</v>
      </c>
      <c r="B384" s="739" t="s">
        <v>609</v>
      </c>
      <c r="C384" s="740" t="s">
        <v>610</v>
      </c>
      <c r="D384" s="910" t="s">
        <v>2814</v>
      </c>
      <c r="E384" s="741" t="s">
        <v>1748</v>
      </c>
      <c r="F384" s="1267">
        <f>SUM(E385:E386)</f>
        <v>10.3344</v>
      </c>
      <c r="G384" s="742"/>
      <c r="H384" s="742">
        <f t="shared" si="35"/>
        <v>0</v>
      </c>
      <c r="I384" s="392"/>
      <c r="J384" s="393"/>
      <c r="K384" s="743"/>
      <c r="L384" s="743"/>
      <c r="M384" s="744"/>
      <c r="N384" s="744">
        <v>2</v>
      </c>
      <c r="O384" s="744"/>
      <c r="P384" s="744"/>
      <c r="Q384" s="744"/>
      <c r="R384" s="744"/>
      <c r="S384" s="745"/>
      <c r="T384" s="746"/>
      <c r="U384" s="746"/>
      <c r="V384" s="746"/>
      <c r="W384" s="746"/>
      <c r="X384" s="746"/>
      <c r="Y384" s="746"/>
      <c r="Z384" s="746"/>
      <c r="AA384" s="746"/>
      <c r="AB384" s="746"/>
      <c r="AC384" s="746"/>
      <c r="AD384" s="746"/>
      <c r="AE384" s="746"/>
      <c r="AF384" s="746"/>
      <c r="AG384" s="746"/>
      <c r="AH384" s="746"/>
      <c r="AI384" s="746"/>
      <c r="AJ384" s="746"/>
      <c r="AK384" s="746"/>
      <c r="AL384" s="746"/>
      <c r="AM384" s="746"/>
      <c r="AN384" s="746"/>
      <c r="AO384" s="746"/>
      <c r="AP384" s="746"/>
      <c r="AQ384" s="746"/>
      <c r="AR384" s="746"/>
      <c r="AS384" s="746"/>
      <c r="AT384" s="746"/>
      <c r="AU384" s="746"/>
      <c r="AV384" s="746"/>
      <c r="AW384" s="746"/>
      <c r="AX384" s="746"/>
      <c r="AY384" s="746">
        <v>2</v>
      </c>
      <c r="AZ384" s="746">
        <f>IF(AY384=1,H384,0)</f>
        <v>0</v>
      </c>
      <c r="BA384" s="746">
        <f>IF(AY384=2,H384,0)</f>
        <v>0</v>
      </c>
      <c r="BB384" s="746">
        <f>IF(AY384=3,H384,0)</f>
        <v>0</v>
      </c>
      <c r="BC384" s="746">
        <f>IF(AY384=4,H384,0)</f>
        <v>0</v>
      </c>
      <c r="BD384" s="746">
        <f>IF(AY384=5,H384,0)</f>
        <v>0</v>
      </c>
      <c r="BE384" s="746"/>
      <c r="BF384" s="746"/>
      <c r="BG384" s="746"/>
      <c r="BH384" s="746"/>
    </row>
    <row r="385" spans="1:19" s="130" customFormat="1" ht="22.5" customHeight="1">
      <c r="A385" s="204"/>
      <c r="B385" s="205"/>
      <c r="C385" s="206" t="s">
        <v>1136</v>
      </c>
      <c r="D385" s="898"/>
      <c r="E385" s="207">
        <f>(2.4*0.3+3*0.4*2+5.2)*1.02</f>
        <v>8.4864</v>
      </c>
      <c r="F385" s="335"/>
      <c r="G385" s="335"/>
      <c r="H385" s="335"/>
      <c r="I385" s="336"/>
      <c r="J385" s="337"/>
      <c r="K385" s="672"/>
      <c r="L385" s="672"/>
      <c r="M385" s="672"/>
      <c r="N385" s="672"/>
      <c r="O385" s="672"/>
      <c r="P385" s="672"/>
      <c r="Q385" s="673"/>
      <c r="R385" s="508"/>
      <c r="S385" s="508"/>
    </row>
    <row r="386" spans="1:19" s="130" customFormat="1" ht="17.25" customHeight="1">
      <c r="A386" s="204"/>
      <c r="B386" s="1252" t="s">
        <v>1767</v>
      </c>
      <c r="C386" s="1253" t="s">
        <v>2984</v>
      </c>
      <c r="D386" s="1252" t="s">
        <v>2758</v>
      </c>
      <c r="E386" s="1254">
        <f>1.76*1.05</f>
        <v>1.848</v>
      </c>
      <c r="F386" s="335"/>
      <c r="G386" s="335"/>
      <c r="H386" s="335"/>
      <c r="I386" s="336"/>
      <c r="J386" s="337"/>
      <c r="K386" s="672"/>
      <c r="L386" s="672"/>
      <c r="M386" s="672"/>
      <c r="N386" s="672"/>
      <c r="O386" s="672"/>
      <c r="P386" s="672"/>
      <c r="Q386" s="673"/>
      <c r="R386" s="508"/>
      <c r="S386" s="508"/>
    </row>
    <row r="387" spans="1:19" s="142" customFormat="1" ht="13.5" customHeight="1">
      <c r="A387" s="153"/>
      <c r="B387" s="154"/>
      <c r="C387" s="155"/>
      <c r="D387" s="914"/>
      <c r="E387" s="155"/>
      <c r="F387" s="141"/>
      <c r="G387" s="141"/>
      <c r="H387" s="141"/>
      <c r="I387" s="394"/>
      <c r="J387" s="395"/>
      <c r="K387" s="749"/>
      <c r="L387" s="749"/>
      <c r="M387" s="749"/>
      <c r="N387" s="749"/>
      <c r="O387" s="750"/>
      <c r="P387" s="750"/>
      <c r="Q387" s="750"/>
      <c r="R387" s="750"/>
      <c r="S387" s="215"/>
    </row>
    <row r="388" spans="1:60" s="145" customFormat="1" ht="17.25" customHeight="1">
      <c r="A388" s="196" t="s">
        <v>608</v>
      </c>
      <c r="B388" s="285" t="s">
        <v>626</v>
      </c>
      <c r="C388" s="286" t="s">
        <v>627</v>
      </c>
      <c r="D388" s="910"/>
      <c r="E388" s="287" t="s">
        <v>1665</v>
      </c>
      <c r="F388" s="387">
        <f>SUM(H374:H387)*0.01</f>
        <v>0</v>
      </c>
      <c r="G388" s="387"/>
      <c r="H388" s="387">
        <f>F388*G388</f>
        <v>0</v>
      </c>
      <c r="I388" s="292"/>
      <c r="J388" s="389"/>
      <c r="K388" s="143"/>
      <c r="L388" s="143"/>
      <c r="M388" s="143"/>
      <c r="N388" s="144"/>
      <c r="O388" s="144"/>
      <c r="P388" s="144"/>
      <c r="Q388" s="144"/>
      <c r="R388" s="144">
        <v>2</v>
      </c>
      <c r="S388" s="144"/>
      <c r="T388" s="288"/>
      <c r="U388" s="288"/>
      <c r="V388" s="288"/>
      <c r="W388" s="288"/>
      <c r="X388" s="288"/>
      <c r="Y388" s="288"/>
      <c r="Z388" s="288"/>
      <c r="AA388" s="288"/>
      <c r="AB388" s="288"/>
      <c r="AC388" s="288"/>
      <c r="AD388" s="288"/>
      <c r="AE388" s="288"/>
      <c r="AF388" s="288"/>
      <c r="AG388" s="288"/>
      <c r="AH388" s="288"/>
      <c r="AI388" s="288"/>
      <c r="AJ388" s="288"/>
      <c r="AK388" s="288"/>
      <c r="AL388" s="288"/>
      <c r="AM388" s="288"/>
      <c r="AN388" s="288"/>
      <c r="AO388" s="288"/>
      <c r="AP388" s="288"/>
      <c r="AQ388" s="288"/>
      <c r="AR388" s="288"/>
      <c r="AS388" s="288"/>
      <c r="AT388" s="288"/>
      <c r="AU388" s="288"/>
      <c r="AV388" s="288"/>
      <c r="AW388" s="288"/>
      <c r="AX388" s="288"/>
      <c r="AY388" s="288"/>
      <c r="AZ388" s="288"/>
      <c r="BA388" s="288"/>
      <c r="BB388" s="288"/>
      <c r="BC388" s="288">
        <v>2</v>
      </c>
      <c r="BD388" s="288">
        <f>IF(BC388=1,H388,0)</f>
        <v>0</v>
      </c>
      <c r="BE388" s="288">
        <f>IF(BC388=2,H388,0)</f>
        <v>0</v>
      </c>
      <c r="BF388" s="288">
        <f>IF(BC388=3,H388,0)</f>
        <v>0</v>
      </c>
      <c r="BG388" s="288">
        <f>IF(BC388=4,H388,0)</f>
        <v>0</v>
      </c>
      <c r="BH388" s="288">
        <f>IF(BC388=5,H388,0)</f>
        <v>0</v>
      </c>
    </row>
    <row r="389" spans="1:23" s="152" customFormat="1" ht="13.5" thickBot="1">
      <c r="A389" s="156"/>
      <c r="B389" s="751"/>
      <c r="C389" s="157"/>
      <c r="D389" s="915"/>
      <c r="E389" s="158"/>
      <c r="F389" s="396"/>
      <c r="G389" s="284"/>
      <c r="H389" s="284"/>
      <c r="I389" s="397"/>
      <c r="J389" s="398"/>
      <c r="K389" s="149"/>
      <c r="L389" s="149"/>
      <c r="M389" s="149"/>
      <c r="N389" s="150"/>
      <c r="O389" s="733"/>
      <c r="P389" s="151"/>
      <c r="Q389" s="151"/>
      <c r="R389" s="151"/>
      <c r="S389" s="151"/>
      <c r="T389" s="151"/>
      <c r="U389" s="151"/>
      <c r="V389" s="151"/>
      <c r="W389" s="151"/>
    </row>
    <row r="390" spans="1:19" ht="16.5" customHeight="1" thickBot="1">
      <c r="A390" s="266" t="s">
        <v>628</v>
      </c>
      <c r="B390" s="175" t="s">
        <v>629</v>
      </c>
      <c r="C390" s="176" t="s">
        <v>630</v>
      </c>
      <c r="D390" s="1102"/>
      <c r="E390" s="175"/>
      <c r="F390" s="341"/>
      <c r="G390" s="341"/>
      <c r="H390" s="342">
        <f>SUM(H391:H391)</f>
        <v>0</v>
      </c>
      <c r="I390" s="343"/>
      <c r="J390" s="344">
        <f>SUM(J391:J391)</f>
        <v>0</v>
      </c>
      <c r="K390" s="670"/>
      <c r="L390" s="670"/>
      <c r="M390" s="670"/>
      <c r="N390" s="670"/>
      <c r="O390" s="670"/>
      <c r="P390" s="670"/>
      <c r="Q390" s="670"/>
      <c r="R390" s="670"/>
      <c r="S390" s="670"/>
    </row>
    <row r="391" spans="1:60" s="300" customFormat="1" ht="18" customHeight="1" thickBot="1">
      <c r="A391" s="738"/>
      <c r="B391" s="739"/>
      <c r="C391" s="740"/>
      <c r="D391" s="913"/>
      <c r="E391" s="741"/>
      <c r="F391" s="742"/>
      <c r="G391" s="742"/>
      <c r="H391" s="742"/>
      <c r="I391" s="392"/>
      <c r="J391" s="393"/>
      <c r="K391" s="743"/>
      <c r="L391" s="743"/>
      <c r="M391" s="744"/>
      <c r="N391" s="744"/>
      <c r="O391" s="744"/>
      <c r="P391" s="744"/>
      <c r="Q391" s="744"/>
      <c r="R391" s="744"/>
      <c r="S391" s="745"/>
      <c r="T391" s="746"/>
      <c r="U391" s="746"/>
      <c r="V391" s="746"/>
      <c r="W391" s="746"/>
      <c r="X391" s="746"/>
      <c r="Y391" s="746"/>
      <c r="Z391" s="746"/>
      <c r="AA391" s="746"/>
      <c r="AB391" s="746"/>
      <c r="AC391" s="746"/>
      <c r="AD391" s="746"/>
      <c r="AE391" s="746"/>
      <c r="AF391" s="746"/>
      <c r="AG391" s="746"/>
      <c r="AH391" s="746"/>
      <c r="AI391" s="746"/>
      <c r="AJ391" s="746"/>
      <c r="AK391" s="746"/>
      <c r="AL391" s="746"/>
      <c r="AM391" s="746"/>
      <c r="AN391" s="746"/>
      <c r="AO391" s="746"/>
      <c r="AP391" s="746"/>
      <c r="AQ391" s="746"/>
      <c r="AR391" s="746"/>
      <c r="AS391" s="746"/>
      <c r="AT391" s="746"/>
      <c r="AU391" s="746"/>
      <c r="AV391" s="746"/>
      <c r="AW391" s="746"/>
      <c r="AX391" s="746"/>
      <c r="AY391" s="746"/>
      <c r="AZ391" s="746"/>
      <c r="BA391" s="746"/>
      <c r="BB391" s="746"/>
      <c r="BC391" s="746"/>
      <c r="BD391" s="746"/>
      <c r="BE391" s="746"/>
      <c r="BF391" s="746"/>
      <c r="BG391" s="746"/>
      <c r="BH391" s="746"/>
    </row>
    <row r="392" spans="1:19" ht="16.5" customHeight="1" thickBot="1">
      <c r="A392" s="266" t="s">
        <v>679</v>
      </c>
      <c r="B392" s="175" t="s">
        <v>680</v>
      </c>
      <c r="C392" s="176" t="s">
        <v>681</v>
      </c>
      <c r="D392" s="1102"/>
      <c r="E392" s="175"/>
      <c r="F392" s="341"/>
      <c r="G392" s="341"/>
      <c r="H392" s="1011">
        <f>SUM(H393:H395)</f>
        <v>0</v>
      </c>
      <c r="I392" s="343"/>
      <c r="J392" s="1012">
        <f>SUM(J393:J395)</f>
        <v>0.004056084</v>
      </c>
      <c r="K392" s="670"/>
      <c r="L392" s="670"/>
      <c r="M392" s="670"/>
      <c r="N392" s="670"/>
      <c r="O392" s="670"/>
      <c r="P392" s="670"/>
      <c r="Q392" s="670"/>
      <c r="R392" s="670"/>
      <c r="S392" s="670"/>
    </row>
    <row r="393" spans="1:60" s="300" customFormat="1" ht="26.25" customHeight="1">
      <c r="A393" s="738" t="s">
        <v>682</v>
      </c>
      <c r="B393" s="739" t="s">
        <v>1720</v>
      </c>
      <c r="C393" s="740" t="s">
        <v>693</v>
      </c>
      <c r="D393" s="913" t="s">
        <v>878</v>
      </c>
      <c r="E393" s="741" t="s">
        <v>1748</v>
      </c>
      <c r="F393" s="742">
        <f>SUM(E394:E394)</f>
        <v>6.259</v>
      </c>
      <c r="G393" s="742"/>
      <c r="H393" s="742">
        <f>F393*G393</f>
        <v>0</v>
      </c>
      <c r="I393" s="388">
        <v>0.0003</v>
      </c>
      <c r="J393" s="748">
        <f>F393*I393</f>
        <v>0.0018777</v>
      </c>
      <c r="K393" s="743"/>
      <c r="L393" s="743"/>
      <c r="M393" s="744"/>
      <c r="N393" s="744"/>
      <c r="O393" s="744"/>
      <c r="P393" s="744"/>
      <c r="Q393" s="744"/>
      <c r="R393" s="744"/>
      <c r="S393" s="745"/>
      <c r="T393" s="746"/>
      <c r="U393" s="746"/>
      <c r="V393" s="746"/>
      <c r="W393" s="746"/>
      <c r="X393" s="746"/>
      <c r="Y393" s="746"/>
      <c r="Z393" s="746"/>
      <c r="AA393" s="746"/>
      <c r="AB393" s="746"/>
      <c r="AC393" s="746"/>
      <c r="AD393" s="746"/>
      <c r="AE393" s="746"/>
      <c r="AF393" s="746"/>
      <c r="AG393" s="746"/>
      <c r="AH393" s="746"/>
      <c r="AI393" s="746"/>
      <c r="AJ393" s="746"/>
      <c r="AK393" s="746"/>
      <c r="AL393" s="746"/>
      <c r="AM393" s="746"/>
      <c r="AN393" s="746"/>
      <c r="AO393" s="746"/>
      <c r="AP393" s="746"/>
      <c r="AQ393" s="746"/>
      <c r="AR393" s="746"/>
      <c r="AS393" s="746"/>
      <c r="AT393" s="746"/>
      <c r="AU393" s="746"/>
      <c r="AV393" s="746"/>
      <c r="AW393" s="746"/>
      <c r="AX393" s="746"/>
      <c r="AY393" s="746"/>
      <c r="AZ393" s="746"/>
      <c r="BA393" s="746"/>
      <c r="BB393" s="746"/>
      <c r="BC393" s="746"/>
      <c r="BD393" s="746"/>
      <c r="BE393" s="746"/>
      <c r="BF393" s="746"/>
      <c r="BG393" s="746"/>
      <c r="BH393" s="746"/>
    </row>
    <row r="394" spans="1:19" s="130" customFormat="1" ht="18" customHeight="1">
      <c r="A394" s="204"/>
      <c r="B394" s="205" t="s">
        <v>878</v>
      </c>
      <c r="C394" s="206" t="s">
        <v>980</v>
      </c>
      <c r="D394" s="898"/>
      <c r="E394" s="207">
        <f>(2.36+3.33)*1.1</f>
        <v>6.259</v>
      </c>
      <c r="F394" s="335"/>
      <c r="G394" s="335"/>
      <c r="H394" s="335"/>
      <c r="I394" s="371"/>
      <c r="J394" s="372"/>
      <c r="K394" s="672"/>
      <c r="L394" s="672"/>
      <c r="M394" s="672"/>
      <c r="N394" s="672"/>
      <c r="O394" s="672"/>
      <c r="P394" s="672"/>
      <c r="Q394" s="673"/>
      <c r="R394" s="508"/>
      <c r="S394" s="508"/>
    </row>
    <row r="395" spans="1:20" s="22" customFormat="1" ht="18.75" customHeight="1" thickBot="1">
      <c r="A395" s="196" t="s">
        <v>689</v>
      </c>
      <c r="B395" s="197" t="s">
        <v>690</v>
      </c>
      <c r="C395" s="199" t="s">
        <v>691</v>
      </c>
      <c r="D395" s="897"/>
      <c r="E395" s="198" t="s">
        <v>1748</v>
      </c>
      <c r="F395" s="594">
        <f>3.2+2.58*0.28*2+0.18*0.28*2*2+2.28*0.28+0.18*0.28*2</f>
        <v>5.5855999999999995</v>
      </c>
      <c r="G395" s="332"/>
      <c r="H395" s="332">
        <f>F395*G395</f>
        <v>0</v>
      </c>
      <c r="I395" s="333">
        <v>0.00039</v>
      </c>
      <c r="J395" s="334">
        <f>F395*I395</f>
        <v>0.002178384</v>
      </c>
      <c r="K395" s="693"/>
      <c r="L395" s="693"/>
      <c r="M395" s="693"/>
      <c r="N395" s="693"/>
      <c r="O395" s="693"/>
      <c r="P395" s="693"/>
      <c r="Q395" s="694"/>
      <c r="R395" s="509"/>
      <c r="S395" s="509"/>
      <c r="T395" s="509"/>
    </row>
    <row r="396" spans="1:19" ht="16.5" customHeight="1" thickBot="1">
      <c r="A396" s="266" t="s">
        <v>695</v>
      </c>
      <c r="B396" s="175" t="s">
        <v>696</v>
      </c>
      <c r="C396" s="176" t="s">
        <v>697</v>
      </c>
      <c r="D396" s="1102"/>
      <c r="E396" s="175"/>
      <c r="F396" s="341"/>
      <c r="G396" s="341"/>
      <c r="H396" s="342">
        <f>SUM(H397:H399)</f>
        <v>0</v>
      </c>
      <c r="I396" s="343"/>
      <c r="J396" s="344">
        <f>SUM(J397:J399)</f>
        <v>0.287056</v>
      </c>
      <c r="K396" s="670"/>
      <c r="L396" s="670"/>
      <c r="M396" s="670"/>
      <c r="N396" s="670"/>
      <c r="O396" s="670"/>
      <c r="P396" s="670"/>
      <c r="Q396" s="670"/>
      <c r="R396" s="670"/>
      <c r="S396" s="670"/>
    </row>
    <row r="397" spans="1:60" s="145" customFormat="1" ht="17.25" customHeight="1">
      <c r="A397" s="196" t="s">
        <v>698</v>
      </c>
      <c r="B397" s="285" t="s">
        <v>699</v>
      </c>
      <c r="C397" s="286" t="s">
        <v>700</v>
      </c>
      <c r="D397" s="910" t="s">
        <v>2815</v>
      </c>
      <c r="E397" s="287" t="s">
        <v>1748</v>
      </c>
      <c r="F397" s="387">
        <f>1304.8*0.85</f>
        <v>1109.08</v>
      </c>
      <c r="G397" s="387"/>
      <c r="H397" s="387">
        <f>F397*G397</f>
        <v>0</v>
      </c>
      <c r="I397" s="292">
        <v>0</v>
      </c>
      <c r="J397" s="389">
        <f>F397*I397</f>
        <v>0</v>
      </c>
      <c r="K397" s="143"/>
      <c r="L397" s="143"/>
      <c r="M397" s="143"/>
      <c r="N397" s="144"/>
      <c r="O397" s="144"/>
      <c r="P397" s="144"/>
      <c r="Q397" s="144"/>
      <c r="R397" s="144"/>
      <c r="S397" s="144"/>
      <c r="T397" s="288"/>
      <c r="U397" s="288"/>
      <c r="V397" s="288"/>
      <c r="W397" s="288"/>
      <c r="X397" s="288"/>
      <c r="Y397" s="288"/>
      <c r="Z397" s="288"/>
      <c r="AA397" s="288"/>
      <c r="AB397" s="288"/>
      <c r="AC397" s="288"/>
      <c r="AD397" s="288"/>
      <c r="AE397" s="288"/>
      <c r="AF397" s="288"/>
      <c r="AG397" s="288"/>
      <c r="AH397" s="288"/>
      <c r="AI397" s="288"/>
      <c r="AJ397" s="288"/>
      <c r="AK397" s="288"/>
      <c r="AL397" s="288"/>
      <c r="AM397" s="288"/>
      <c r="AN397" s="288"/>
      <c r="AO397" s="288"/>
      <c r="AP397" s="288"/>
      <c r="AQ397" s="288"/>
      <c r="AR397" s="288"/>
      <c r="AS397" s="288"/>
      <c r="AT397" s="288"/>
      <c r="AU397" s="288"/>
      <c r="AV397" s="288"/>
      <c r="AW397" s="288"/>
      <c r="AX397" s="288"/>
      <c r="AY397" s="288"/>
      <c r="AZ397" s="288"/>
      <c r="BA397" s="288"/>
      <c r="BB397" s="288"/>
      <c r="BC397" s="288"/>
      <c r="BD397" s="288"/>
      <c r="BE397" s="288"/>
      <c r="BF397" s="288"/>
      <c r="BG397" s="288"/>
      <c r="BH397" s="288"/>
    </row>
    <row r="398" spans="1:60" s="145" customFormat="1" ht="17.25" customHeight="1">
      <c r="A398" s="196" t="s">
        <v>701</v>
      </c>
      <c r="B398" s="285" t="s">
        <v>702</v>
      </c>
      <c r="C398" s="286" t="s">
        <v>703</v>
      </c>
      <c r="D398" s="910" t="s">
        <v>2815</v>
      </c>
      <c r="E398" s="287" t="s">
        <v>1748</v>
      </c>
      <c r="F398" s="387">
        <f>1304.8</f>
        <v>1304.8</v>
      </c>
      <c r="G398" s="387"/>
      <c r="H398" s="387">
        <f>F398*G398</f>
        <v>0</v>
      </c>
      <c r="I398" s="292">
        <v>7E-05</v>
      </c>
      <c r="J398" s="389">
        <f>F398*I398</f>
        <v>0.09133599999999999</v>
      </c>
      <c r="K398" s="143"/>
      <c r="L398" s="143"/>
      <c r="M398" s="143"/>
      <c r="N398" s="144"/>
      <c r="O398" s="144"/>
      <c r="P398" s="144"/>
      <c r="Q398" s="144"/>
      <c r="R398" s="144"/>
      <c r="S398" s="144"/>
      <c r="T398" s="288"/>
      <c r="U398" s="288"/>
      <c r="V398" s="288"/>
      <c r="W398" s="288"/>
      <c r="X398" s="288"/>
      <c r="Y398" s="288"/>
      <c r="Z398" s="288"/>
      <c r="AA398" s="288"/>
      <c r="AB398" s="288"/>
      <c r="AC398" s="288"/>
      <c r="AD398" s="288"/>
      <c r="AE398" s="288"/>
      <c r="AF398" s="288"/>
      <c r="AG398" s="288"/>
      <c r="AH398" s="288"/>
      <c r="AI398" s="288"/>
      <c r="AJ398" s="288"/>
      <c r="AK398" s="288"/>
      <c r="AL398" s="288"/>
      <c r="AM398" s="288"/>
      <c r="AN398" s="288"/>
      <c r="AO398" s="288"/>
      <c r="AP398" s="288"/>
      <c r="AQ398" s="288"/>
      <c r="AR398" s="288"/>
      <c r="AS398" s="288"/>
      <c r="AT398" s="288"/>
      <c r="AU398" s="288"/>
      <c r="AV398" s="288"/>
      <c r="AW398" s="288"/>
      <c r="AX398" s="288"/>
      <c r="AY398" s="288"/>
      <c r="AZ398" s="288"/>
      <c r="BA398" s="288"/>
      <c r="BB398" s="288"/>
      <c r="BC398" s="288"/>
      <c r="BD398" s="288"/>
      <c r="BE398" s="288"/>
      <c r="BF398" s="288"/>
      <c r="BG398" s="288"/>
      <c r="BH398" s="288"/>
    </row>
    <row r="399" spans="1:60" s="145" customFormat="1" ht="17.25" customHeight="1" thickBot="1">
      <c r="A399" s="196" t="s">
        <v>704</v>
      </c>
      <c r="B399" s="285" t="s">
        <v>705</v>
      </c>
      <c r="C399" s="286" t="s">
        <v>706</v>
      </c>
      <c r="D399" s="910" t="s">
        <v>2815</v>
      </c>
      <c r="E399" s="287" t="s">
        <v>1748</v>
      </c>
      <c r="F399" s="387">
        <f>F398</f>
        <v>1304.8</v>
      </c>
      <c r="G399" s="387"/>
      <c r="H399" s="387">
        <f>F399*G399</f>
        <v>0</v>
      </c>
      <c r="I399" s="292">
        <v>0.00015</v>
      </c>
      <c r="J399" s="389">
        <f>F399*I399</f>
        <v>0.19571999999999998</v>
      </c>
      <c r="K399" s="143"/>
      <c r="L399" s="143"/>
      <c r="M399" s="143"/>
      <c r="N399" s="144"/>
      <c r="O399" s="144"/>
      <c r="P399" s="144"/>
      <c r="Q399" s="144"/>
      <c r="R399" s="144"/>
      <c r="S399" s="144"/>
      <c r="T399" s="288"/>
      <c r="U399" s="288"/>
      <c r="V399" s="288"/>
      <c r="W399" s="288"/>
      <c r="X399" s="288"/>
      <c r="Y399" s="288"/>
      <c r="Z399" s="288"/>
      <c r="AA399" s="288"/>
      <c r="AB399" s="288"/>
      <c r="AC399" s="288"/>
      <c r="AD399" s="288"/>
      <c r="AE399" s="288"/>
      <c r="AF399" s="288"/>
      <c r="AG399" s="288"/>
      <c r="AH399" s="288"/>
      <c r="AI399" s="288"/>
      <c r="AJ399" s="288"/>
      <c r="AK399" s="288"/>
      <c r="AL399" s="288"/>
      <c r="AM399" s="288"/>
      <c r="AN399" s="288"/>
      <c r="AO399" s="288"/>
      <c r="AP399" s="288"/>
      <c r="AQ399" s="288"/>
      <c r="AR399" s="288"/>
      <c r="AS399" s="288"/>
      <c r="AT399" s="288"/>
      <c r="AU399" s="288"/>
      <c r="AV399" s="288"/>
      <c r="AW399" s="288"/>
      <c r="AX399" s="288"/>
      <c r="AY399" s="288"/>
      <c r="AZ399" s="288"/>
      <c r="BA399" s="288"/>
      <c r="BB399" s="288"/>
      <c r="BC399" s="288"/>
      <c r="BD399" s="288"/>
      <c r="BE399" s="288"/>
      <c r="BF399" s="288"/>
      <c r="BG399" s="288"/>
      <c r="BH399" s="288"/>
    </row>
    <row r="400" spans="1:19" ht="16.5" customHeight="1" thickBot="1">
      <c r="A400" s="266" t="s">
        <v>1220</v>
      </c>
      <c r="B400" s="175" t="s">
        <v>708</v>
      </c>
      <c r="C400" s="176" t="s">
        <v>709</v>
      </c>
      <c r="D400" s="1102"/>
      <c r="E400" s="175"/>
      <c r="F400" s="341"/>
      <c r="G400" s="341"/>
      <c r="H400" s="342">
        <f>SUM(H401:H404)</f>
        <v>0</v>
      </c>
      <c r="I400" s="343"/>
      <c r="J400" s="344">
        <f>SUM(J401:J404)</f>
        <v>0</v>
      </c>
      <c r="K400" s="670"/>
      <c r="L400" s="670"/>
      <c r="M400" s="670"/>
      <c r="N400" s="670"/>
      <c r="O400" s="670"/>
      <c r="P400" s="670"/>
      <c r="Q400" s="670"/>
      <c r="R400" s="670"/>
      <c r="S400" s="670"/>
    </row>
    <row r="401" spans="1:19" s="22" customFormat="1" ht="18.75" customHeight="1">
      <c r="A401" s="190"/>
      <c r="B401" s="191"/>
      <c r="C401" s="265"/>
      <c r="D401" s="896"/>
      <c r="E401" s="192"/>
      <c r="F401" s="345"/>
      <c r="G401" s="345"/>
      <c r="H401" s="345"/>
      <c r="I401" s="346"/>
      <c r="J401" s="347"/>
      <c r="K401" s="509"/>
      <c r="L401" s="509"/>
      <c r="M401" s="509"/>
      <c r="N401" s="509"/>
      <c r="O401" s="509"/>
      <c r="P401" s="509"/>
      <c r="Q401" s="509"/>
      <c r="R401" s="509"/>
      <c r="S401" s="509"/>
    </row>
    <row r="402" spans="1:19" s="22" customFormat="1" ht="29.25" customHeight="1">
      <c r="A402" s="196" t="s">
        <v>710</v>
      </c>
      <c r="B402" s="197" t="s">
        <v>711</v>
      </c>
      <c r="C402" s="199" t="s">
        <v>712</v>
      </c>
      <c r="D402" s="897" t="s">
        <v>2761</v>
      </c>
      <c r="E402" s="198" t="s">
        <v>2695</v>
      </c>
      <c r="F402" s="332">
        <v>1</v>
      </c>
      <c r="G402" s="332"/>
      <c r="H402" s="332">
        <f>F402*G402</f>
        <v>0</v>
      </c>
      <c r="I402" s="333">
        <v>0</v>
      </c>
      <c r="J402" s="334">
        <f>F402*I402</f>
        <v>0</v>
      </c>
      <c r="K402" s="509"/>
      <c r="L402" s="509"/>
      <c r="M402" s="509"/>
      <c r="N402" s="509"/>
      <c r="O402" s="509"/>
      <c r="P402" s="509"/>
      <c r="Q402" s="509"/>
      <c r="R402" s="509"/>
      <c r="S402" s="509"/>
    </row>
    <row r="403" spans="1:19" s="22" customFormat="1" ht="22.5" customHeight="1">
      <c r="A403" s="196" t="s">
        <v>713</v>
      </c>
      <c r="B403" s="197" t="s">
        <v>714</v>
      </c>
      <c r="C403" s="199" t="s">
        <v>715</v>
      </c>
      <c r="D403" s="897" t="s">
        <v>2761</v>
      </c>
      <c r="E403" s="198" t="s">
        <v>2695</v>
      </c>
      <c r="F403" s="332">
        <v>1</v>
      </c>
      <c r="G403" s="332"/>
      <c r="H403" s="332">
        <f>F403*G403</f>
        <v>0</v>
      </c>
      <c r="I403" s="333">
        <v>0</v>
      </c>
      <c r="J403" s="334">
        <f>F403*I403</f>
        <v>0</v>
      </c>
      <c r="K403" s="509"/>
      <c r="L403" s="509"/>
      <c r="M403" s="509"/>
      <c r="N403" s="509"/>
      <c r="O403" s="509"/>
      <c r="P403" s="509"/>
      <c r="Q403" s="509"/>
      <c r="R403" s="509"/>
      <c r="S403" s="509"/>
    </row>
    <row r="404" spans="1:19" s="22" customFormat="1" ht="15.75" customHeight="1" thickBot="1">
      <c r="A404" s="255"/>
      <c r="B404" s="256"/>
      <c r="C404" s="264"/>
      <c r="D404" s="906"/>
      <c r="E404" s="257"/>
      <c r="F404" s="368"/>
      <c r="G404" s="368"/>
      <c r="H404" s="368"/>
      <c r="I404" s="369"/>
      <c r="J404" s="370"/>
      <c r="K404" s="509"/>
      <c r="L404" s="509"/>
      <c r="M404" s="509"/>
      <c r="N404" s="996"/>
      <c r="O404" s="509"/>
      <c r="P404" s="509"/>
      <c r="Q404" s="509"/>
      <c r="R404" s="509"/>
      <c r="S404" s="509"/>
    </row>
    <row r="405" spans="1:19" ht="16.5" customHeight="1" thickBot="1">
      <c r="A405" s="266"/>
      <c r="B405" s="175"/>
      <c r="C405" s="176"/>
      <c r="D405" s="1102"/>
      <c r="E405" s="175"/>
      <c r="F405" s="341"/>
      <c r="G405" s="341"/>
      <c r="H405" s="342"/>
      <c r="I405" s="343"/>
      <c r="J405" s="344"/>
      <c r="K405" s="670"/>
      <c r="L405" s="670"/>
      <c r="M405" s="670"/>
      <c r="N405" s="670"/>
      <c r="O405" s="670"/>
      <c r="P405" s="670"/>
      <c r="Q405" s="670"/>
      <c r="R405" s="670"/>
      <c r="S405" s="670"/>
    </row>
    <row r="406" spans="2:19" ht="15">
      <c r="B406" s="9"/>
      <c r="C406" s="9"/>
      <c r="D406" s="1202"/>
      <c r="E406" s="32"/>
      <c r="F406" s="427"/>
      <c r="G406" s="427"/>
      <c r="H406" s="427"/>
      <c r="I406" s="428"/>
      <c r="J406" s="428"/>
      <c r="K406" s="670"/>
      <c r="L406" s="670"/>
      <c r="M406" s="670"/>
      <c r="N406" s="670"/>
      <c r="O406" s="670"/>
      <c r="P406" s="670"/>
      <c r="Q406" s="670"/>
      <c r="R406" s="670"/>
      <c r="S406" s="670"/>
    </row>
    <row r="407" spans="1:20" s="577" customFormat="1" ht="24" customHeight="1" thickBot="1">
      <c r="A407" s="753"/>
      <c r="B407" s="754"/>
      <c r="C407" s="755" t="s">
        <v>716</v>
      </c>
      <c r="D407" s="756"/>
      <c r="E407" s="756"/>
      <c r="F407" s="754"/>
      <c r="G407" s="754"/>
      <c r="H407" s="757">
        <f>H400+H396+H392+H390+H372+H362+H337+H320+H315+H313+H299+H282+H252+H192+H181+H177+H137+H126+H91+H85+H71+H37+H35+H28+H18</f>
        <v>0</v>
      </c>
      <c r="I407" s="758"/>
      <c r="J407" s="759"/>
      <c r="K407" s="760"/>
      <c r="L407" s="760"/>
      <c r="M407" s="760"/>
      <c r="N407" s="760"/>
      <c r="O407" s="760"/>
      <c r="P407" s="760"/>
      <c r="Q407" s="760"/>
      <c r="R407" s="760"/>
      <c r="S407" s="760"/>
      <c r="T407" s="760"/>
    </row>
  </sheetData>
  <mergeCells count="21">
    <mergeCell ref="H8:J9"/>
    <mergeCell ref="I14:J14"/>
    <mergeCell ref="G2:G3"/>
    <mergeCell ref="G6:G7"/>
    <mergeCell ref="G14:H14"/>
    <mergeCell ref="G4:G5"/>
    <mergeCell ref="G8:G9"/>
    <mergeCell ref="H2:J3"/>
    <mergeCell ref="H4:J5"/>
    <mergeCell ref="H6:J7"/>
    <mergeCell ref="C8:C9"/>
    <mergeCell ref="D2:E3"/>
    <mergeCell ref="C2:C3"/>
    <mergeCell ref="C4:C5"/>
    <mergeCell ref="C6:C7"/>
    <mergeCell ref="D4:E5"/>
    <mergeCell ref="D6:E7"/>
    <mergeCell ref="D8:F9"/>
    <mergeCell ref="F2:F3"/>
    <mergeCell ref="F6:F7"/>
    <mergeCell ref="F4:F5"/>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G269"/>
  <sheetViews>
    <sheetView showGridLines="0" view="pageBreakPreview" zoomScaleSheetLayoutView="100" workbookViewId="0" topLeftCell="A1">
      <selection activeCell="E1" sqref="D1:E1"/>
    </sheetView>
  </sheetViews>
  <sheetFormatPr defaultColWidth="9.140625" defaultRowHeight="12.75"/>
  <cols>
    <col min="1" max="1" width="5.28125" style="28" customWidth="1"/>
    <col min="2" max="2" width="14.7109375" style="0" customWidth="1"/>
    <col min="3" max="3" width="43.8515625" style="0" customWidth="1"/>
    <col min="4" max="4" width="11.8515625" style="987" customWidth="1"/>
    <col min="5" max="5" width="9.28125" style="33" customWidth="1"/>
    <col min="6" max="6" width="9.7109375" style="0" customWidth="1"/>
    <col min="7" max="7" width="11.28125" style="0" customWidth="1"/>
    <col min="8" max="8" width="13.421875" style="0" customWidth="1"/>
    <col min="9" max="9" width="9.140625" style="12" customWidth="1"/>
    <col min="10" max="10" width="10.140625" style="12" customWidth="1"/>
    <col min="11" max="16" width="9.140625" style="579" customWidth="1"/>
    <col min="17" max="17" width="9.140625" style="601" customWidth="1"/>
    <col min="18" max="20" width="9.140625" style="579" customWidth="1"/>
  </cols>
  <sheetData>
    <row r="1" spans="1:20" ht="23.25">
      <c r="A1" s="23"/>
      <c r="B1" s="13"/>
      <c r="C1" s="14" t="s">
        <v>1683</v>
      </c>
      <c r="D1" s="13"/>
      <c r="E1" s="13"/>
      <c r="F1" s="13"/>
      <c r="G1" s="13"/>
      <c r="H1" s="13"/>
      <c r="I1" s="15"/>
      <c r="J1" s="16"/>
      <c r="K1" s="670"/>
      <c r="L1" s="670"/>
      <c r="M1" s="670"/>
      <c r="N1" s="670"/>
      <c r="O1" s="670"/>
      <c r="P1" s="670"/>
      <c r="Q1" s="787"/>
      <c r="R1" s="670"/>
      <c r="S1" s="670"/>
      <c r="T1" s="670"/>
    </row>
    <row r="2" spans="1:20" ht="12.75">
      <c r="A2" s="24"/>
      <c r="B2" s="653"/>
      <c r="C2" s="1310" t="s">
        <v>1684</v>
      </c>
      <c r="D2" s="1308" t="s">
        <v>1685</v>
      </c>
      <c r="E2" s="1308"/>
      <c r="F2" s="1308"/>
      <c r="G2" s="1320" t="s">
        <v>1686</v>
      </c>
      <c r="H2" s="1324" t="s">
        <v>1687</v>
      </c>
      <c r="I2" s="1325"/>
      <c r="J2" s="1326"/>
      <c r="K2" s="670"/>
      <c r="L2" s="670"/>
      <c r="M2" s="670"/>
      <c r="N2" s="670"/>
      <c r="O2" s="670"/>
      <c r="P2" s="670"/>
      <c r="Q2" s="787"/>
      <c r="R2" s="670"/>
      <c r="S2" s="670"/>
      <c r="T2" s="670"/>
    </row>
    <row r="3" spans="1:20" ht="12.75">
      <c r="A3" s="24"/>
      <c r="B3" s="652"/>
      <c r="C3" s="1311"/>
      <c r="D3" s="1309"/>
      <c r="E3" s="1309"/>
      <c r="F3" s="1309"/>
      <c r="G3" s="1321"/>
      <c r="H3" s="1316"/>
      <c r="I3" s="1316"/>
      <c r="J3" s="1317"/>
      <c r="K3" s="670"/>
      <c r="L3" s="670"/>
      <c r="M3" s="670"/>
      <c r="N3" s="670"/>
      <c r="O3" s="670"/>
      <c r="P3" s="670"/>
      <c r="Q3" s="787"/>
      <c r="R3" s="670"/>
      <c r="S3" s="670"/>
      <c r="T3" s="670"/>
    </row>
    <row r="4" spans="1:20" ht="12.75">
      <c r="A4" s="24"/>
      <c r="B4" s="652"/>
      <c r="C4" s="1309" t="s">
        <v>1688</v>
      </c>
      <c r="D4" s="1309" t="s">
        <v>1689</v>
      </c>
      <c r="E4" s="1309"/>
      <c r="F4" s="1327"/>
      <c r="G4" s="1321" t="s">
        <v>1690</v>
      </c>
      <c r="H4" s="1315" t="s">
        <v>1586</v>
      </c>
      <c r="I4" s="1315"/>
      <c r="J4" s="1328"/>
      <c r="K4" s="670"/>
      <c r="L4" s="670"/>
      <c r="M4" s="670"/>
      <c r="N4" s="670"/>
      <c r="O4" s="670"/>
      <c r="P4" s="670"/>
      <c r="Q4" s="787"/>
      <c r="R4" s="670"/>
      <c r="S4" s="670"/>
      <c r="T4" s="670"/>
    </row>
    <row r="5" spans="1:20" ht="12.75">
      <c r="A5" s="24"/>
      <c r="B5" s="652"/>
      <c r="C5" s="1312"/>
      <c r="D5" s="1309"/>
      <c r="E5" s="1309"/>
      <c r="F5" s="1327"/>
      <c r="G5" s="1321"/>
      <c r="H5" s="1315"/>
      <c r="I5" s="1315"/>
      <c r="J5" s="1328"/>
      <c r="K5" s="670"/>
      <c r="L5" s="670"/>
      <c r="M5" s="670"/>
      <c r="N5" s="670"/>
      <c r="O5" s="670"/>
      <c r="P5" s="670"/>
      <c r="Q5" s="787"/>
      <c r="R5" s="670"/>
      <c r="S5" s="670"/>
      <c r="T5" s="670"/>
    </row>
    <row r="6" spans="1:20" ht="12.75">
      <c r="A6" s="24"/>
      <c r="B6" s="652"/>
      <c r="C6" s="1309" t="s">
        <v>1580</v>
      </c>
      <c r="D6" s="1309" t="s">
        <v>1691</v>
      </c>
      <c r="E6" s="1309"/>
      <c r="F6" s="1327"/>
      <c r="G6" s="1321" t="s">
        <v>1692</v>
      </c>
      <c r="H6" s="1315"/>
      <c r="I6" s="1316"/>
      <c r="J6" s="1317"/>
      <c r="K6" s="670"/>
      <c r="L6" s="670"/>
      <c r="M6" s="670"/>
      <c r="N6" s="670"/>
      <c r="O6" s="670"/>
      <c r="P6" s="670"/>
      <c r="Q6" s="787"/>
      <c r="R6" s="670"/>
      <c r="S6" s="670"/>
      <c r="T6" s="670"/>
    </row>
    <row r="7" spans="1:20" ht="12.75">
      <c r="A7" s="24"/>
      <c r="B7" s="652"/>
      <c r="C7" s="1312"/>
      <c r="D7" s="1309"/>
      <c r="E7" s="1309"/>
      <c r="F7" s="1327"/>
      <c r="G7" s="1321"/>
      <c r="H7" s="1316"/>
      <c r="I7" s="1316"/>
      <c r="J7" s="1317"/>
      <c r="K7" s="670"/>
      <c r="L7" s="670"/>
      <c r="M7" s="670"/>
      <c r="N7" s="670"/>
      <c r="O7" s="670"/>
      <c r="P7" s="670"/>
      <c r="Q7" s="787"/>
      <c r="R7" s="670"/>
      <c r="S7" s="670"/>
      <c r="T7" s="670"/>
    </row>
    <row r="8" spans="1:20" ht="12.75">
      <c r="A8" s="24"/>
      <c r="B8" s="652"/>
      <c r="C8" s="1306" t="s">
        <v>1634</v>
      </c>
      <c r="D8" s="1313" t="s">
        <v>2830</v>
      </c>
      <c r="E8" s="1314"/>
      <c r="F8" s="1314"/>
      <c r="G8" s="1321" t="s">
        <v>1693</v>
      </c>
      <c r="H8" s="1315" t="s">
        <v>1586</v>
      </c>
      <c r="I8" s="1316"/>
      <c r="J8" s="1317"/>
      <c r="K8" s="670"/>
      <c r="L8" s="670"/>
      <c r="M8" s="670"/>
      <c r="N8" s="670"/>
      <c r="O8" s="670"/>
      <c r="P8" s="670"/>
      <c r="Q8" s="787"/>
      <c r="R8" s="670"/>
      <c r="S8" s="670"/>
      <c r="T8" s="670"/>
    </row>
    <row r="9" spans="1:20" ht="12.75">
      <c r="A9" s="24"/>
      <c r="B9" s="652"/>
      <c r="C9" s="1329"/>
      <c r="D9" s="1314"/>
      <c r="E9" s="1314"/>
      <c r="F9" s="1314"/>
      <c r="G9" s="1321"/>
      <c r="H9" s="1316"/>
      <c r="I9" s="1316"/>
      <c r="J9" s="1317"/>
      <c r="K9" s="670"/>
      <c r="L9" s="670"/>
      <c r="M9" s="670"/>
      <c r="N9" s="670"/>
      <c r="O9" s="670"/>
      <c r="P9" s="670"/>
      <c r="Q9" s="787"/>
      <c r="R9" s="670"/>
      <c r="S9" s="670"/>
      <c r="T9" s="670"/>
    </row>
    <row r="10" spans="1:20" s="18" customFormat="1" ht="15" customHeight="1">
      <c r="A10" s="25"/>
      <c r="B10" s="652"/>
      <c r="C10" s="1015"/>
      <c r="D10" s="1021" t="s">
        <v>2748</v>
      </c>
      <c r="E10" s="1018"/>
      <c r="F10" s="1018"/>
      <c r="G10" s="1000"/>
      <c r="H10" s="1001"/>
      <c r="I10" s="1001"/>
      <c r="J10" s="1002"/>
      <c r="K10" s="671"/>
      <c r="L10" s="671"/>
      <c r="M10" s="671"/>
      <c r="N10" s="671"/>
      <c r="O10" s="671"/>
      <c r="P10" s="671"/>
      <c r="Q10" s="671"/>
      <c r="R10" s="671"/>
      <c r="S10" s="671"/>
      <c r="T10" s="671"/>
    </row>
    <row r="11" spans="1:20" s="18" customFormat="1" ht="16.5" customHeight="1">
      <c r="A11" s="25"/>
      <c r="B11" s="652"/>
      <c r="C11" s="1015"/>
      <c r="D11" s="1035" t="s">
        <v>2828</v>
      </c>
      <c r="E11" s="1037"/>
      <c r="F11" s="1037"/>
      <c r="G11" s="1000"/>
      <c r="H11" s="1001"/>
      <c r="I11" s="1001"/>
      <c r="J11" s="1002"/>
      <c r="O11" s="512"/>
      <c r="P11" s="512"/>
      <c r="T11" s="671"/>
    </row>
    <row r="12" spans="1:20" s="18" customFormat="1" ht="16.5" customHeight="1" thickBot="1">
      <c r="A12" s="889"/>
      <c r="B12" s="890"/>
      <c r="C12" s="891"/>
      <c r="D12" s="1036" t="s">
        <v>2834</v>
      </c>
      <c r="E12" s="1036"/>
      <c r="F12" s="1036"/>
      <c r="G12" s="892"/>
      <c r="H12" s="893"/>
      <c r="I12" s="893"/>
      <c r="J12" s="894"/>
      <c r="O12" s="512"/>
      <c r="P12" s="512"/>
      <c r="T12" s="671"/>
    </row>
    <row r="13" spans="1:20" ht="13.5" thickBot="1">
      <c r="A13" s="160"/>
      <c r="B13" s="161"/>
      <c r="C13" s="162"/>
      <c r="D13" s="1129"/>
      <c r="E13" s="161"/>
      <c r="F13" s="161"/>
      <c r="G13" s="161"/>
      <c r="H13" s="161"/>
      <c r="I13" s="163"/>
      <c r="J13" s="164"/>
      <c r="K13" s="670"/>
      <c r="L13" s="670"/>
      <c r="M13" s="670"/>
      <c r="N13" s="670"/>
      <c r="O13" s="670"/>
      <c r="P13" s="670"/>
      <c r="Q13" s="670"/>
      <c r="R13" s="670"/>
      <c r="S13" s="670"/>
      <c r="T13" s="670"/>
    </row>
    <row r="14" spans="1:20" s="18" customFormat="1" ht="12.75">
      <c r="A14" s="25"/>
      <c r="B14" s="17" t="s">
        <v>1694</v>
      </c>
      <c r="C14" s="2" t="s">
        <v>1694</v>
      </c>
      <c r="D14" s="1180"/>
      <c r="E14" s="30" t="s">
        <v>1694</v>
      </c>
      <c r="F14" s="2" t="s">
        <v>1694</v>
      </c>
      <c r="G14" s="1322" t="s">
        <v>1695</v>
      </c>
      <c r="H14" s="1323"/>
      <c r="I14" s="1318" t="s">
        <v>1696</v>
      </c>
      <c r="J14" s="1319"/>
      <c r="K14" s="671"/>
      <c r="L14" s="671"/>
      <c r="M14" s="671"/>
      <c r="N14" s="671"/>
      <c r="O14" s="671"/>
      <c r="P14" s="671"/>
      <c r="Q14" s="671"/>
      <c r="R14" s="671"/>
      <c r="S14" s="671"/>
      <c r="T14" s="671"/>
    </row>
    <row r="15" spans="1:20" s="18" customFormat="1" ht="13.5" thickBot="1">
      <c r="A15" s="26"/>
      <c r="B15" s="19" t="s">
        <v>1697</v>
      </c>
      <c r="C15" s="4" t="s">
        <v>1698</v>
      </c>
      <c r="D15" s="924" t="s">
        <v>2751</v>
      </c>
      <c r="E15" s="6" t="s">
        <v>1699</v>
      </c>
      <c r="F15" s="6" t="s">
        <v>1700</v>
      </c>
      <c r="G15" s="7" t="s">
        <v>1701</v>
      </c>
      <c r="H15" s="8" t="s">
        <v>1702</v>
      </c>
      <c r="I15" s="10" t="s">
        <v>1701</v>
      </c>
      <c r="J15" s="11" t="s">
        <v>1702</v>
      </c>
      <c r="K15" s="671"/>
      <c r="L15" s="671"/>
      <c r="M15" s="671"/>
      <c r="N15" s="671"/>
      <c r="O15" s="671"/>
      <c r="P15" s="671"/>
      <c r="Q15" s="671"/>
      <c r="R15" s="671"/>
      <c r="S15" s="671"/>
      <c r="T15" s="671"/>
    </row>
    <row r="16" spans="1:20" ht="16.5" customHeight="1" thickBot="1">
      <c r="A16" s="266"/>
      <c r="B16" s="175"/>
      <c r="C16" s="176"/>
      <c r="D16" s="1008"/>
      <c r="E16" s="175"/>
      <c r="F16" s="175"/>
      <c r="G16" s="175"/>
      <c r="H16" s="185"/>
      <c r="I16" s="177"/>
      <c r="J16" s="178"/>
      <c r="K16" s="670"/>
      <c r="L16" s="670"/>
      <c r="M16" s="670"/>
      <c r="N16" s="670"/>
      <c r="O16" s="670"/>
      <c r="P16" s="670"/>
      <c r="Q16" s="670"/>
      <c r="R16" s="670"/>
      <c r="S16" s="670"/>
      <c r="T16" s="670"/>
    </row>
    <row r="17" spans="1:20" s="18" customFormat="1" ht="16.5" customHeight="1" thickBot="1">
      <c r="A17" s="27"/>
      <c r="B17" s="122"/>
      <c r="C17" s="122" t="s">
        <v>1703</v>
      </c>
      <c r="D17" s="1181"/>
      <c r="E17" s="123"/>
      <c r="F17" s="123"/>
      <c r="G17" s="124"/>
      <c r="H17" s="125">
        <f>H18+H20+H22+H24+H26+H28+H34+H55+H58+H90+H96+H107+H150+H152+H169+H177+H179+H184+H186+H204+H222+H254+H259+H263</f>
        <v>0</v>
      </c>
      <c r="I17" s="126"/>
      <c r="J17" s="127"/>
      <c r="K17" s="671"/>
      <c r="L17" s="671"/>
      <c r="M17" s="671"/>
      <c r="N17" s="671"/>
      <c r="O17" s="671"/>
      <c r="P17" s="671"/>
      <c r="Q17" s="788"/>
      <c r="R17" s="671"/>
      <c r="S17" s="671"/>
      <c r="T17" s="671"/>
    </row>
    <row r="18" spans="1:20" ht="16.5" customHeight="1" thickBot="1">
      <c r="A18" s="266" t="s">
        <v>1704</v>
      </c>
      <c r="B18" s="175" t="s">
        <v>1616</v>
      </c>
      <c r="C18" s="176" t="s">
        <v>1705</v>
      </c>
      <c r="D18" s="1008"/>
      <c r="E18" s="175"/>
      <c r="F18" s="175"/>
      <c r="G18" s="175"/>
      <c r="H18" s="185">
        <f>SUM(H19:H19)</f>
        <v>0</v>
      </c>
      <c r="I18" s="177"/>
      <c r="J18" s="178">
        <f>SUM(J19:J19)</f>
        <v>0</v>
      </c>
      <c r="K18" s="670"/>
      <c r="L18" s="670"/>
      <c r="M18" s="670"/>
      <c r="N18" s="670"/>
      <c r="O18" s="670"/>
      <c r="P18" s="670"/>
      <c r="Q18" s="670"/>
      <c r="R18" s="670"/>
      <c r="S18" s="670"/>
      <c r="T18" s="670"/>
    </row>
    <row r="19" spans="1:20" s="22" customFormat="1" ht="17.25" customHeight="1" thickBot="1">
      <c r="A19" s="190"/>
      <c r="B19" s="191"/>
      <c r="C19" s="191"/>
      <c r="D19" s="1205"/>
      <c r="E19" s="192"/>
      <c r="F19" s="193"/>
      <c r="G19" s="193"/>
      <c r="H19" s="193"/>
      <c r="I19" s="194"/>
      <c r="J19" s="195"/>
      <c r="K19" s="693"/>
      <c r="L19" s="693"/>
      <c r="M19" s="693"/>
      <c r="N19" s="693"/>
      <c r="O19" s="693"/>
      <c r="P19" s="693"/>
      <c r="Q19" s="694"/>
      <c r="R19" s="509"/>
      <c r="S19" s="509"/>
      <c r="T19" s="509"/>
    </row>
    <row r="20" spans="1:20" ht="16.5" customHeight="1" thickBot="1">
      <c r="A20" s="266" t="s">
        <v>1743</v>
      </c>
      <c r="B20" s="175" t="s">
        <v>1744</v>
      </c>
      <c r="C20" s="176" t="s">
        <v>1745</v>
      </c>
      <c r="D20" s="1008"/>
      <c r="E20" s="175"/>
      <c r="F20" s="175"/>
      <c r="G20" s="175"/>
      <c r="H20" s="185">
        <f>SUM(H21:H21)</f>
        <v>0</v>
      </c>
      <c r="I20" s="177"/>
      <c r="J20" s="178">
        <f>SUM(J21:J21)</f>
        <v>0</v>
      </c>
      <c r="K20" s="670"/>
      <c r="L20" s="670"/>
      <c r="M20" s="670"/>
      <c r="N20" s="670"/>
      <c r="O20" s="670"/>
      <c r="P20" s="670"/>
      <c r="Q20" s="670"/>
      <c r="R20" s="670"/>
      <c r="S20" s="670"/>
      <c r="T20" s="670"/>
    </row>
    <row r="21" spans="1:20" s="22" customFormat="1" ht="17.25" customHeight="1" thickBot="1">
      <c r="A21" s="190"/>
      <c r="B21" s="191"/>
      <c r="C21" s="191"/>
      <c r="D21" s="1205"/>
      <c r="E21" s="192"/>
      <c r="F21" s="193"/>
      <c r="G21" s="193"/>
      <c r="H21" s="193"/>
      <c r="I21" s="194"/>
      <c r="J21" s="195"/>
      <c r="K21" s="693"/>
      <c r="L21" s="693"/>
      <c r="M21" s="693"/>
      <c r="N21" s="693"/>
      <c r="O21" s="693"/>
      <c r="P21" s="693"/>
      <c r="Q21" s="694"/>
      <c r="R21" s="509"/>
      <c r="S21" s="509"/>
      <c r="T21" s="509"/>
    </row>
    <row r="22" spans="1:20" ht="16.5" customHeight="1" thickBot="1">
      <c r="A22" s="266" t="s">
        <v>1801</v>
      </c>
      <c r="B22" s="175" t="s">
        <v>1802</v>
      </c>
      <c r="C22" s="176" t="s">
        <v>1803</v>
      </c>
      <c r="D22" s="1008"/>
      <c r="E22" s="175"/>
      <c r="F22" s="175"/>
      <c r="G22" s="175"/>
      <c r="H22" s="185">
        <f>SUM(H23)</f>
        <v>0</v>
      </c>
      <c r="I22" s="177"/>
      <c r="J22" s="178">
        <f>SUM(J23)</f>
        <v>0</v>
      </c>
      <c r="K22" s="670"/>
      <c r="L22" s="670"/>
      <c r="M22" s="670"/>
      <c r="N22" s="670"/>
      <c r="O22" s="670"/>
      <c r="P22" s="670"/>
      <c r="Q22" s="670"/>
      <c r="R22" s="670"/>
      <c r="S22" s="670"/>
      <c r="T22" s="670"/>
    </row>
    <row r="23" spans="1:20" s="22" customFormat="1" ht="17.25" customHeight="1" thickBot="1">
      <c r="A23" s="190"/>
      <c r="B23" s="191"/>
      <c r="C23" s="191"/>
      <c r="D23" s="1205"/>
      <c r="E23" s="192"/>
      <c r="F23" s="193"/>
      <c r="G23" s="193"/>
      <c r="H23" s="193"/>
      <c r="I23" s="194"/>
      <c r="J23" s="195"/>
      <c r="K23" s="693"/>
      <c r="L23" s="693"/>
      <c r="M23" s="693"/>
      <c r="N23" s="693"/>
      <c r="O23" s="693"/>
      <c r="P23" s="693"/>
      <c r="Q23" s="694"/>
      <c r="R23" s="509"/>
      <c r="S23" s="509"/>
      <c r="T23" s="509"/>
    </row>
    <row r="24" spans="1:20" ht="16.5" customHeight="1" thickBot="1">
      <c r="A24" s="266" t="s">
        <v>1809</v>
      </c>
      <c r="B24" s="175" t="s">
        <v>1810</v>
      </c>
      <c r="C24" s="176" t="s">
        <v>1811</v>
      </c>
      <c r="D24" s="1008"/>
      <c r="E24" s="175"/>
      <c r="F24" s="175"/>
      <c r="G24" s="175"/>
      <c r="H24" s="185">
        <f>SUM(H25:H25)</f>
        <v>0</v>
      </c>
      <c r="I24" s="177"/>
      <c r="J24" s="178">
        <f>SUM(J25:J25)</f>
        <v>0</v>
      </c>
      <c r="K24" s="670"/>
      <c r="L24" s="670"/>
      <c r="M24" s="670"/>
      <c r="N24" s="670"/>
      <c r="O24" s="670"/>
      <c r="P24" s="670"/>
      <c r="Q24" s="670"/>
      <c r="R24" s="670"/>
      <c r="S24" s="670"/>
      <c r="T24" s="670"/>
    </row>
    <row r="25" spans="1:20" s="22" customFormat="1" ht="17.25" customHeight="1" thickBot="1">
      <c r="A25" s="190"/>
      <c r="B25" s="191"/>
      <c r="C25" s="191"/>
      <c r="D25" s="1205"/>
      <c r="E25" s="192"/>
      <c r="F25" s="193"/>
      <c r="G25" s="193"/>
      <c r="H25" s="193"/>
      <c r="I25" s="194"/>
      <c r="J25" s="195"/>
      <c r="K25" s="693"/>
      <c r="L25" s="693"/>
      <c r="M25" s="693"/>
      <c r="N25" s="693"/>
      <c r="O25" s="693"/>
      <c r="P25" s="693"/>
      <c r="Q25" s="694"/>
      <c r="R25" s="509"/>
      <c r="S25" s="509"/>
      <c r="T25" s="509"/>
    </row>
    <row r="26" spans="1:20" ht="16.5" customHeight="1" thickBot="1">
      <c r="A26" s="266" t="s">
        <v>1846</v>
      </c>
      <c r="B26" s="175" t="s">
        <v>1628</v>
      </c>
      <c r="C26" s="176" t="s">
        <v>1847</v>
      </c>
      <c r="D26" s="1008"/>
      <c r="E26" s="175"/>
      <c r="F26" s="175"/>
      <c r="G26" s="175"/>
      <c r="H26" s="185">
        <f>SUM(H27:H27)</f>
        <v>0</v>
      </c>
      <c r="I26" s="177"/>
      <c r="J26" s="178">
        <f>SUM(J27:J27)</f>
        <v>0</v>
      </c>
      <c r="K26" s="670"/>
      <c r="L26" s="670"/>
      <c r="M26" s="670"/>
      <c r="N26" s="670"/>
      <c r="O26" s="670"/>
      <c r="P26" s="670"/>
      <c r="Q26" s="670"/>
      <c r="R26" s="670"/>
      <c r="S26" s="670"/>
      <c r="T26" s="670"/>
    </row>
    <row r="27" spans="1:20" s="22" customFormat="1" ht="17.25" customHeight="1" thickBot="1">
      <c r="A27" s="190"/>
      <c r="B27" s="191"/>
      <c r="C27" s="191"/>
      <c r="D27" s="1205"/>
      <c r="E27" s="192"/>
      <c r="F27" s="193"/>
      <c r="G27" s="193"/>
      <c r="H27" s="193"/>
      <c r="I27" s="194"/>
      <c r="J27" s="195"/>
      <c r="K27" s="693"/>
      <c r="L27" s="693"/>
      <c r="M27" s="693"/>
      <c r="N27" s="693"/>
      <c r="O27" s="693"/>
      <c r="P27" s="693"/>
      <c r="Q27" s="694"/>
      <c r="R27" s="509"/>
      <c r="S27" s="509"/>
      <c r="T27" s="509"/>
    </row>
    <row r="28" spans="1:20" ht="16.5" customHeight="1" thickBot="1">
      <c r="A28" s="266" t="s">
        <v>1874</v>
      </c>
      <c r="B28" s="175" t="s">
        <v>1875</v>
      </c>
      <c r="C28" s="176" t="s">
        <v>1876</v>
      </c>
      <c r="D28" s="1008"/>
      <c r="E28" s="175"/>
      <c r="F28" s="175"/>
      <c r="G28" s="175"/>
      <c r="H28" s="185">
        <f>SUM(H29:H33)</f>
        <v>0</v>
      </c>
      <c r="I28" s="177"/>
      <c r="J28" s="178">
        <f>SUM(J29:J33)</f>
        <v>1.21346772</v>
      </c>
      <c r="K28" s="670"/>
      <c r="L28" s="670"/>
      <c r="M28" s="670"/>
      <c r="N28" s="670"/>
      <c r="O28" s="670"/>
      <c r="P28" s="670"/>
      <c r="Q28" s="670"/>
      <c r="R28" s="670"/>
      <c r="S28" s="670"/>
      <c r="T28" s="670"/>
    </row>
    <row r="29" spans="1:20" s="22" customFormat="1" ht="17.25" customHeight="1">
      <c r="A29" s="190" t="s">
        <v>1877</v>
      </c>
      <c r="B29" s="191" t="s">
        <v>1890</v>
      </c>
      <c r="C29" s="191" t="s">
        <v>1891</v>
      </c>
      <c r="D29" s="964" t="s">
        <v>2799</v>
      </c>
      <c r="E29" s="192" t="s">
        <v>1826</v>
      </c>
      <c r="F29" s="345">
        <f>E30</f>
        <v>190.02</v>
      </c>
      <c r="G29" s="345"/>
      <c r="H29" s="345">
        <f>F29*G29</f>
        <v>0</v>
      </c>
      <c r="I29" s="346">
        <v>0.00431</v>
      </c>
      <c r="J29" s="347">
        <f>F29*I29</f>
        <v>0.8189862</v>
      </c>
      <c r="K29" s="693"/>
      <c r="L29" s="693"/>
      <c r="M29" s="693"/>
      <c r="N29" s="693"/>
      <c r="O29" s="693"/>
      <c r="P29" s="693"/>
      <c r="Q29" s="694"/>
      <c r="R29" s="509"/>
      <c r="S29" s="509"/>
      <c r="T29" s="509"/>
    </row>
    <row r="30" spans="1:20" s="251" customFormat="1" ht="17.25" customHeight="1">
      <c r="A30" s="248"/>
      <c r="B30" s="249"/>
      <c r="C30" s="250">
        <v>190.02</v>
      </c>
      <c r="D30" s="969"/>
      <c r="E30" s="213">
        <v>190.02</v>
      </c>
      <c r="F30" s="367"/>
      <c r="G30" s="387"/>
      <c r="H30" s="387"/>
      <c r="I30" s="356"/>
      <c r="J30" s="357"/>
      <c r="K30" s="681"/>
      <c r="L30" s="681"/>
      <c r="M30" s="681"/>
      <c r="N30" s="682"/>
      <c r="O30" s="682"/>
      <c r="P30" s="682"/>
      <c r="Q30" s="682"/>
      <c r="R30" s="682"/>
      <c r="S30" s="682"/>
      <c r="T30" s="682"/>
    </row>
    <row r="31" spans="1:20" s="22" customFormat="1" ht="20.25" customHeight="1">
      <c r="A31" s="196" t="s">
        <v>1882</v>
      </c>
      <c r="B31" s="197" t="s">
        <v>1883</v>
      </c>
      <c r="C31" s="197" t="s">
        <v>1884</v>
      </c>
      <c r="D31" s="917" t="s">
        <v>2799</v>
      </c>
      <c r="E31" s="198" t="s">
        <v>1748</v>
      </c>
      <c r="F31" s="332">
        <f>E32</f>
        <v>57.006</v>
      </c>
      <c r="G31" s="332"/>
      <c r="H31" s="332">
        <f>F31*G31</f>
        <v>0</v>
      </c>
      <c r="I31" s="333">
        <v>0.00034</v>
      </c>
      <c r="J31" s="334">
        <f>F31*I31</f>
        <v>0.019382040000000003</v>
      </c>
      <c r="K31" s="693"/>
      <c r="L31" s="693"/>
      <c r="M31" s="693"/>
      <c r="N31" s="693"/>
      <c r="O31" s="693"/>
      <c r="P31" s="693"/>
      <c r="Q31" s="694"/>
      <c r="R31" s="509"/>
      <c r="S31" s="509"/>
      <c r="T31" s="509"/>
    </row>
    <row r="32" spans="1:20" s="251" customFormat="1" ht="17.25" customHeight="1">
      <c r="A32" s="248"/>
      <c r="B32" s="249"/>
      <c r="C32" s="250" t="s">
        <v>1221</v>
      </c>
      <c r="D32" s="969"/>
      <c r="E32" s="213">
        <f>(190.02)*0.3</f>
        <v>57.006</v>
      </c>
      <c r="F32" s="367"/>
      <c r="G32" s="387"/>
      <c r="H32" s="387"/>
      <c r="I32" s="356"/>
      <c r="J32" s="357"/>
      <c r="K32" s="681"/>
      <c r="L32" s="681"/>
      <c r="M32" s="681"/>
      <c r="N32" s="682"/>
      <c r="O32" s="682"/>
      <c r="P32" s="682"/>
      <c r="Q32" s="682"/>
      <c r="R32" s="682"/>
      <c r="S32" s="682"/>
      <c r="T32" s="682"/>
    </row>
    <row r="33" spans="1:20" s="22" customFormat="1" ht="20.25" customHeight="1" thickBot="1">
      <c r="A33" s="255" t="s">
        <v>1886</v>
      </c>
      <c r="B33" s="256" t="s">
        <v>1887</v>
      </c>
      <c r="C33" s="256" t="s">
        <v>1888</v>
      </c>
      <c r="D33" s="968" t="s">
        <v>2799</v>
      </c>
      <c r="E33" s="257" t="s">
        <v>1748</v>
      </c>
      <c r="F33" s="368">
        <f>F31</f>
        <v>57.006</v>
      </c>
      <c r="G33" s="368"/>
      <c r="H33" s="368">
        <f>F33*G33</f>
        <v>0</v>
      </c>
      <c r="I33" s="369">
        <v>0.00658</v>
      </c>
      <c r="J33" s="370">
        <f>F33*I33</f>
        <v>0.37509948</v>
      </c>
      <c r="K33" s="693"/>
      <c r="L33" s="693"/>
      <c r="M33" s="693"/>
      <c r="N33" s="693"/>
      <c r="O33" s="693"/>
      <c r="P33" s="693"/>
      <c r="Q33" s="694"/>
      <c r="R33" s="509"/>
      <c r="S33" s="509"/>
      <c r="T33" s="509"/>
    </row>
    <row r="34" spans="1:20" ht="16.5" customHeight="1" thickBot="1">
      <c r="A34" s="266" t="s">
        <v>1893</v>
      </c>
      <c r="B34" s="175" t="s">
        <v>1894</v>
      </c>
      <c r="C34" s="176" t="s">
        <v>1895</v>
      </c>
      <c r="D34" s="1008"/>
      <c r="E34" s="175"/>
      <c r="F34" s="341"/>
      <c r="G34" s="341"/>
      <c r="H34" s="342">
        <f>SUM(H35:H54)</f>
        <v>0</v>
      </c>
      <c r="I34" s="343"/>
      <c r="J34" s="344">
        <f>SUM(J35:J54)</f>
        <v>47.08579605600001</v>
      </c>
      <c r="K34" s="670"/>
      <c r="L34" s="670"/>
      <c r="M34" s="670"/>
      <c r="N34" s="670"/>
      <c r="O34" s="670"/>
      <c r="P34" s="670"/>
      <c r="Q34" s="670"/>
      <c r="R34" s="670"/>
      <c r="S34" s="670"/>
      <c r="T34" s="670"/>
    </row>
    <row r="35" spans="1:20" s="22" customFormat="1" ht="13.5" customHeight="1">
      <c r="A35" s="190"/>
      <c r="B35" s="191"/>
      <c r="C35" s="191"/>
      <c r="D35" s="964"/>
      <c r="E35" s="192"/>
      <c r="F35" s="345"/>
      <c r="G35" s="345"/>
      <c r="H35" s="345"/>
      <c r="I35" s="346"/>
      <c r="J35" s="347"/>
      <c r="K35" s="509"/>
      <c r="L35" s="509"/>
      <c r="M35" s="509"/>
      <c r="N35" s="509"/>
      <c r="O35" s="509"/>
      <c r="P35" s="509"/>
      <c r="Q35" s="704"/>
      <c r="R35" s="509"/>
      <c r="S35" s="509"/>
      <c r="T35" s="509"/>
    </row>
    <row r="36" spans="1:20" s="22" customFormat="1" ht="20.25" customHeight="1">
      <c r="A36" s="196" t="s">
        <v>1896</v>
      </c>
      <c r="B36" s="197" t="s">
        <v>1897</v>
      </c>
      <c r="C36" s="197" t="s">
        <v>1898</v>
      </c>
      <c r="D36" s="917"/>
      <c r="E36" s="198" t="s">
        <v>1748</v>
      </c>
      <c r="F36" s="332">
        <v>69.89</v>
      </c>
      <c r="G36" s="332"/>
      <c r="H36" s="332">
        <f aca="true" t="shared" si="0" ref="H36:H53">F36*G36</f>
        <v>0</v>
      </c>
      <c r="I36" s="333">
        <v>4E-05</v>
      </c>
      <c r="J36" s="334">
        <f aca="true" t="shared" si="1" ref="J36:J53">F36*I36</f>
        <v>0.0027956</v>
      </c>
      <c r="K36" s="693"/>
      <c r="L36" s="693"/>
      <c r="M36" s="693"/>
      <c r="N36" s="693"/>
      <c r="O36" s="693"/>
      <c r="P36" s="693"/>
      <c r="Q36" s="694"/>
      <c r="R36" s="509"/>
      <c r="S36" s="509"/>
      <c r="T36" s="509"/>
    </row>
    <row r="37" spans="1:20" s="22" customFormat="1" ht="20.25" customHeight="1">
      <c r="A37" s="196" t="s">
        <v>1900</v>
      </c>
      <c r="B37" s="197" t="s">
        <v>1901</v>
      </c>
      <c r="C37" s="197" t="s">
        <v>1902</v>
      </c>
      <c r="D37" s="917"/>
      <c r="E37" s="198" t="s">
        <v>1748</v>
      </c>
      <c r="F37" s="1236">
        <f>522+289</f>
        <v>811</v>
      </c>
      <c r="G37" s="332"/>
      <c r="H37" s="332">
        <f t="shared" si="0"/>
        <v>0</v>
      </c>
      <c r="I37" s="333">
        <v>2E-05</v>
      </c>
      <c r="J37" s="334">
        <f t="shared" si="1"/>
        <v>0.016220000000000002</v>
      </c>
      <c r="K37" s="693"/>
      <c r="L37" s="693"/>
      <c r="M37" s="693"/>
      <c r="N37" s="693"/>
      <c r="O37" s="693"/>
      <c r="P37" s="693"/>
      <c r="Q37" s="694"/>
      <c r="R37" s="509"/>
      <c r="S37" s="509"/>
      <c r="T37" s="509"/>
    </row>
    <row r="38" spans="1:20" s="22" customFormat="1" ht="20.25" customHeight="1">
      <c r="A38" s="196" t="s">
        <v>1904</v>
      </c>
      <c r="B38" s="197" t="s">
        <v>1905</v>
      </c>
      <c r="C38" s="197" t="s">
        <v>1906</v>
      </c>
      <c r="D38" s="917"/>
      <c r="E38" s="198" t="s">
        <v>1748</v>
      </c>
      <c r="F38" s="1236">
        <f>522+289</f>
        <v>811</v>
      </c>
      <c r="G38" s="332"/>
      <c r="H38" s="332">
        <f t="shared" si="0"/>
        <v>0</v>
      </c>
      <c r="I38" s="333">
        <v>0.04634</v>
      </c>
      <c r="J38" s="334">
        <f t="shared" si="1"/>
        <v>37.581739999999996</v>
      </c>
      <c r="K38" s="693"/>
      <c r="L38" s="693"/>
      <c r="M38" s="693"/>
      <c r="N38" s="693"/>
      <c r="O38" s="693"/>
      <c r="P38" s="693"/>
      <c r="Q38" s="694"/>
      <c r="R38" s="509"/>
      <c r="S38" s="509"/>
      <c r="T38" s="509"/>
    </row>
    <row r="39" spans="1:20" s="22" customFormat="1" ht="20.25" customHeight="1">
      <c r="A39" s="196" t="s">
        <v>1907</v>
      </c>
      <c r="B39" s="197" t="s">
        <v>1961</v>
      </c>
      <c r="C39" s="197" t="s">
        <v>1962</v>
      </c>
      <c r="D39" s="917" t="s">
        <v>1963</v>
      </c>
      <c r="E39" s="198" t="s">
        <v>1748</v>
      </c>
      <c r="F39" s="332">
        <f>SUM(E40:E40)</f>
        <v>522</v>
      </c>
      <c r="G39" s="332"/>
      <c r="H39" s="332">
        <f t="shared" si="0"/>
        <v>0</v>
      </c>
      <c r="I39" s="333">
        <v>0.01011</v>
      </c>
      <c r="J39" s="334">
        <f t="shared" si="1"/>
        <v>5.277419999999999</v>
      </c>
      <c r="K39" s="693"/>
      <c r="L39" s="693"/>
      <c r="M39" s="693"/>
      <c r="N39" s="693"/>
      <c r="O39" s="693"/>
      <c r="P39" s="693"/>
      <c r="Q39" s="694"/>
      <c r="R39" s="509"/>
      <c r="S39" s="509"/>
      <c r="T39" s="509"/>
    </row>
    <row r="40" spans="1:20" s="130" customFormat="1" ht="17.25" customHeight="1">
      <c r="A40" s="204"/>
      <c r="B40" s="205"/>
      <c r="C40" s="523">
        <v>522</v>
      </c>
      <c r="D40" s="916"/>
      <c r="E40" s="207">
        <v>522</v>
      </c>
      <c r="F40" s="335"/>
      <c r="G40" s="335"/>
      <c r="H40" s="335"/>
      <c r="I40" s="336"/>
      <c r="J40" s="337"/>
      <c r="K40" s="672"/>
      <c r="L40" s="672"/>
      <c r="M40" s="672"/>
      <c r="N40" s="672"/>
      <c r="O40" s="672"/>
      <c r="P40" s="672"/>
      <c r="Q40" s="673"/>
      <c r="R40" s="508"/>
      <c r="S40" s="508"/>
      <c r="T40" s="508"/>
    </row>
    <row r="41" spans="1:20" s="251" customFormat="1" ht="17.25" customHeight="1">
      <c r="A41" s="248"/>
      <c r="B41" s="249"/>
      <c r="C41" s="1139"/>
      <c r="D41" s="969"/>
      <c r="E41" s="213"/>
      <c r="F41" s="367"/>
      <c r="G41" s="387"/>
      <c r="H41" s="387"/>
      <c r="I41" s="356"/>
      <c r="J41" s="357"/>
      <c r="K41" s="681"/>
      <c r="L41" s="681"/>
      <c r="M41" s="681"/>
      <c r="N41" s="682"/>
      <c r="O41" s="682"/>
      <c r="P41" s="682"/>
      <c r="Q41" s="682"/>
      <c r="R41" s="682"/>
      <c r="S41" s="682"/>
      <c r="T41" s="682"/>
    </row>
    <row r="42" spans="1:20" s="22" customFormat="1" ht="20.25" customHeight="1">
      <c r="A42" s="196" t="s">
        <v>1914</v>
      </c>
      <c r="B42" s="197" t="s">
        <v>1966</v>
      </c>
      <c r="C42" s="197" t="s">
        <v>1967</v>
      </c>
      <c r="D42" s="917" t="s">
        <v>880</v>
      </c>
      <c r="E42" s="198" t="s">
        <v>1748</v>
      </c>
      <c r="F42" s="332">
        <f>156.46*0.15</f>
        <v>23.469</v>
      </c>
      <c r="G42" s="332"/>
      <c r="H42" s="332">
        <f t="shared" si="0"/>
        <v>0</v>
      </c>
      <c r="I42" s="333">
        <v>0</v>
      </c>
      <c r="J42" s="334">
        <f t="shared" si="1"/>
        <v>0</v>
      </c>
      <c r="K42" s="693"/>
      <c r="L42" s="693"/>
      <c r="M42" s="693"/>
      <c r="N42" s="693"/>
      <c r="O42" s="693"/>
      <c r="P42" s="693"/>
      <c r="Q42" s="694"/>
      <c r="R42" s="509"/>
      <c r="S42" s="509"/>
      <c r="T42" s="509"/>
    </row>
    <row r="43" spans="1:20" s="1240" customFormat="1" ht="31.5" customHeight="1">
      <c r="A43" s="1232" t="s">
        <v>2993</v>
      </c>
      <c r="B43" s="1233" t="s">
        <v>886</v>
      </c>
      <c r="C43" s="1234" t="s">
        <v>2949</v>
      </c>
      <c r="D43" s="1344" t="s">
        <v>888</v>
      </c>
      <c r="E43" s="1235" t="s">
        <v>1748</v>
      </c>
      <c r="F43" s="1236">
        <v>289</v>
      </c>
      <c r="G43" s="1236"/>
      <c r="H43" s="1236">
        <f>F43*G43</f>
        <v>0</v>
      </c>
      <c r="I43" s="1237">
        <v>0.00367</v>
      </c>
      <c r="J43" s="1238">
        <f>F43*I43</f>
        <v>1.06063</v>
      </c>
      <c r="K43" s="1263"/>
      <c r="L43" s="1263"/>
      <c r="M43" s="1263"/>
      <c r="N43" s="1263"/>
      <c r="O43" s="1263"/>
      <c r="P43" s="1263"/>
      <c r="Q43" s="1264"/>
      <c r="R43" s="1239"/>
      <c r="S43" s="1239"/>
      <c r="T43" s="1239"/>
    </row>
    <row r="44" spans="1:20" s="22" customFormat="1" ht="20.25" customHeight="1">
      <c r="A44" s="196" t="s">
        <v>1917</v>
      </c>
      <c r="B44" s="197" t="s">
        <v>1987</v>
      </c>
      <c r="C44" s="197" t="s">
        <v>1988</v>
      </c>
      <c r="D44" s="917" t="s">
        <v>2804</v>
      </c>
      <c r="E44" s="198" t="s">
        <v>1826</v>
      </c>
      <c r="F44" s="332">
        <v>20.2</v>
      </c>
      <c r="G44" s="332"/>
      <c r="H44" s="332">
        <f>F44*G44</f>
        <v>0</v>
      </c>
      <c r="I44" s="333">
        <v>0.0005</v>
      </c>
      <c r="J44" s="334">
        <f>F44*I44</f>
        <v>0.0101</v>
      </c>
      <c r="K44" s="509"/>
      <c r="L44" s="509"/>
      <c r="M44" s="509"/>
      <c r="N44" s="509"/>
      <c r="O44" s="509"/>
      <c r="P44" s="509"/>
      <c r="Q44" s="509"/>
      <c r="R44" s="509"/>
      <c r="S44" s="509"/>
      <c r="T44" s="509"/>
    </row>
    <row r="45" spans="1:20" s="22" customFormat="1" ht="20.25" customHeight="1">
      <c r="A45" s="196" t="s">
        <v>1922</v>
      </c>
      <c r="B45" s="197" t="s">
        <v>1990</v>
      </c>
      <c r="C45" s="197" t="s">
        <v>1991</v>
      </c>
      <c r="D45" s="917" t="s">
        <v>2804</v>
      </c>
      <c r="E45" s="198" t="s">
        <v>1826</v>
      </c>
      <c r="F45" s="332">
        <v>190.02</v>
      </c>
      <c r="G45" s="332"/>
      <c r="H45" s="332">
        <f t="shared" si="0"/>
        <v>0</v>
      </c>
      <c r="I45" s="333">
        <v>0</v>
      </c>
      <c r="J45" s="334">
        <f t="shared" si="1"/>
        <v>0</v>
      </c>
      <c r="K45" s="693"/>
      <c r="L45" s="693"/>
      <c r="M45" s="693"/>
      <c r="N45" s="693"/>
      <c r="O45" s="693"/>
      <c r="P45" s="693"/>
      <c r="Q45" s="694"/>
      <c r="R45" s="509"/>
      <c r="S45" s="509"/>
      <c r="T45" s="509"/>
    </row>
    <row r="46" spans="1:20" s="22" customFormat="1" ht="20.25" customHeight="1">
      <c r="A46" s="196" t="s">
        <v>1926</v>
      </c>
      <c r="B46" s="197" t="s">
        <v>1993</v>
      </c>
      <c r="C46" s="197" t="s">
        <v>1994</v>
      </c>
      <c r="D46" s="917" t="s">
        <v>2804</v>
      </c>
      <c r="E46" s="198" t="s">
        <v>1826</v>
      </c>
      <c r="F46" s="332">
        <f>E47</f>
        <v>84.99999999999999</v>
      </c>
      <c r="G46" s="332"/>
      <c r="H46" s="332">
        <f t="shared" si="0"/>
        <v>0</v>
      </c>
      <c r="I46" s="333">
        <v>0.00011</v>
      </c>
      <c r="J46" s="334">
        <f t="shared" si="1"/>
        <v>0.009349999999999999</v>
      </c>
      <c r="K46" s="693"/>
      <c r="L46" s="693"/>
      <c r="M46" s="693"/>
      <c r="N46" s="693"/>
      <c r="O46" s="693"/>
      <c r="P46" s="693"/>
      <c r="Q46" s="694"/>
      <c r="R46" s="509"/>
      <c r="S46" s="509"/>
      <c r="T46" s="509"/>
    </row>
    <row r="47" spans="1:20" s="251" customFormat="1" ht="17.25" customHeight="1">
      <c r="A47" s="248"/>
      <c r="B47" s="249"/>
      <c r="C47" s="205" t="s">
        <v>1193</v>
      </c>
      <c r="D47" s="969"/>
      <c r="E47" s="213">
        <f>(35.4+43.8)+(1.3+4.5)</f>
        <v>84.99999999999999</v>
      </c>
      <c r="F47" s="367"/>
      <c r="G47" s="387"/>
      <c r="H47" s="387"/>
      <c r="I47" s="356"/>
      <c r="J47" s="357"/>
      <c r="K47" s="681"/>
      <c r="L47" s="681"/>
      <c r="M47" s="681"/>
      <c r="N47" s="682"/>
      <c r="O47" s="682"/>
      <c r="P47" s="682"/>
      <c r="Q47" s="682"/>
      <c r="R47" s="682"/>
      <c r="S47" s="682"/>
      <c r="T47" s="682"/>
    </row>
    <row r="48" spans="1:20" s="1034" customFormat="1" ht="20.25" customHeight="1">
      <c r="A48" s="1023" t="s">
        <v>2948</v>
      </c>
      <c r="B48" s="1024" t="s">
        <v>2937</v>
      </c>
      <c r="C48" s="1024" t="s">
        <v>2936</v>
      </c>
      <c r="D48" s="917"/>
      <c r="E48" s="1027" t="s">
        <v>1748</v>
      </c>
      <c r="F48" s="1028">
        <f>SUM(E49)</f>
        <v>54.959999999999994</v>
      </c>
      <c r="G48" s="1028"/>
      <c r="H48" s="1028">
        <f>F48*G48</f>
        <v>0</v>
      </c>
      <c r="I48" s="1029">
        <v>0.0098511</v>
      </c>
      <c r="J48" s="1030">
        <f>F48*I48</f>
        <v>0.5414164559999999</v>
      </c>
      <c r="K48" s="1033"/>
      <c r="L48" s="1033"/>
      <c r="M48" s="1033"/>
      <c r="N48" s="1033"/>
      <c r="O48" s="1033"/>
      <c r="P48" s="1033"/>
      <c r="Q48" s="1033"/>
      <c r="R48" s="1033"/>
      <c r="S48" s="1033"/>
      <c r="T48" s="1033"/>
    </row>
    <row r="49" spans="1:20" s="1231" customFormat="1" ht="15.75" customHeight="1">
      <c r="A49" s="1223"/>
      <c r="B49" s="1224" t="s">
        <v>2935</v>
      </c>
      <c r="C49" s="1225" t="s">
        <v>2964</v>
      </c>
      <c r="D49" s="917"/>
      <c r="E49" s="1226">
        <f>(94.1+43.3)*0.4</f>
        <v>54.959999999999994</v>
      </c>
      <c r="F49" s="1226"/>
      <c r="G49" s="1226"/>
      <c r="H49" s="1227"/>
      <c r="I49" s="1227"/>
      <c r="J49" s="1228"/>
      <c r="K49" s="1229"/>
      <c r="L49" s="1229"/>
      <c r="M49" s="1230"/>
      <c r="N49" s="1230"/>
      <c r="O49" s="1230"/>
      <c r="P49" s="1230"/>
      <c r="Q49" s="1230"/>
      <c r="R49" s="1230"/>
      <c r="S49" s="1230"/>
      <c r="T49" s="1230"/>
    </row>
    <row r="50" spans="1:20" s="22" customFormat="1" ht="20.25" customHeight="1">
      <c r="A50" s="196" t="s">
        <v>1931</v>
      </c>
      <c r="B50" s="197" t="s">
        <v>1996</v>
      </c>
      <c r="C50" s="197" t="s">
        <v>1997</v>
      </c>
      <c r="D50" s="917" t="s">
        <v>2804</v>
      </c>
      <c r="E50" s="198" t="s">
        <v>1826</v>
      </c>
      <c r="F50" s="332">
        <v>212.4</v>
      </c>
      <c r="G50" s="332"/>
      <c r="H50" s="332">
        <f t="shared" si="0"/>
        <v>0</v>
      </c>
      <c r="I50" s="333">
        <v>0.00011</v>
      </c>
      <c r="J50" s="334">
        <f t="shared" si="1"/>
        <v>0.023364000000000003</v>
      </c>
      <c r="K50" s="693"/>
      <c r="L50" s="693"/>
      <c r="M50" s="693"/>
      <c r="N50" s="693"/>
      <c r="O50" s="693"/>
      <c r="P50" s="693"/>
      <c r="Q50" s="694"/>
      <c r="R50" s="509"/>
      <c r="S50" s="509"/>
      <c r="T50" s="509"/>
    </row>
    <row r="51" spans="1:20" s="22" customFormat="1" ht="20.25" customHeight="1">
      <c r="A51" s="196" t="s">
        <v>1935</v>
      </c>
      <c r="B51" s="197" t="s">
        <v>1999</v>
      </c>
      <c r="C51" s="197" t="s">
        <v>2000</v>
      </c>
      <c r="D51" s="917" t="s">
        <v>2804</v>
      </c>
      <c r="E51" s="198" t="s">
        <v>1826</v>
      </c>
      <c r="F51" s="332">
        <v>425.1</v>
      </c>
      <c r="G51" s="332"/>
      <c r="H51" s="332">
        <f t="shared" si="0"/>
        <v>0</v>
      </c>
      <c r="I51" s="333">
        <v>0</v>
      </c>
      <c r="J51" s="334">
        <f t="shared" si="1"/>
        <v>0</v>
      </c>
      <c r="K51" s="693"/>
      <c r="L51" s="509"/>
      <c r="M51" s="693"/>
      <c r="N51" s="693"/>
      <c r="O51" s="693"/>
      <c r="P51" s="693"/>
      <c r="Q51" s="694"/>
      <c r="R51" s="509"/>
      <c r="S51" s="509"/>
      <c r="T51" s="509"/>
    </row>
    <row r="52" spans="1:20" s="22" customFormat="1" ht="20.25" customHeight="1">
      <c r="A52" s="196" t="s">
        <v>1938</v>
      </c>
      <c r="B52" s="197" t="s">
        <v>2002</v>
      </c>
      <c r="C52" s="197" t="s">
        <v>2003</v>
      </c>
      <c r="D52" s="917" t="s">
        <v>2804</v>
      </c>
      <c r="E52" s="198" t="s">
        <v>1748</v>
      </c>
      <c r="F52" s="1236">
        <f>522+F43</f>
        <v>811</v>
      </c>
      <c r="G52" s="332"/>
      <c r="H52" s="332">
        <f t="shared" si="0"/>
        <v>0</v>
      </c>
      <c r="I52" s="333">
        <v>0.00032</v>
      </c>
      <c r="J52" s="334">
        <f t="shared" si="1"/>
        <v>0.25952000000000003</v>
      </c>
      <c r="K52" s="693"/>
      <c r="L52" s="509"/>
      <c r="M52" s="693"/>
      <c r="N52" s="693"/>
      <c r="O52" s="693"/>
      <c r="P52" s="693"/>
      <c r="Q52" s="694"/>
      <c r="R52" s="509"/>
      <c r="S52" s="509"/>
      <c r="T52" s="509"/>
    </row>
    <row r="53" spans="1:20" s="22" customFormat="1" ht="20.25" customHeight="1">
      <c r="A53" s="196" t="s">
        <v>1942</v>
      </c>
      <c r="B53" s="197" t="s">
        <v>2005</v>
      </c>
      <c r="C53" s="197" t="s">
        <v>2006</v>
      </c>
      <c r="D53" s="917" t="s">
        <v>2805</v>
      </c>
      <c r="E53" s="198" t="s">
        <v>1748</v>
      </c>
      <c r="F53" s="1236">
        <f>F52</f>
        <v>811</v>
      </c>
      <c r="G53" s="332"/>
      <c r="H53" s="332">
        <f t="shared" si="0"/>
        <v>0</v>
      </c>
      <c r="I53" s="333">
        <v>0.00284</v>
      </c>
      <c r="J53" s="334">
        <f t="shared" si="1"/>
        <v>2.30324</v>
      </c>
      <c r="K53" s="693"/>
      <c r="L53" s="693"/>
      <c r="M53" s="693"/>
      <c r="N53" s="693"/>
      <c r="O53" s="693"/>
      <c r="P53" s="693"/>
      <c r="Q53" s="694"/>
      <c r="R53" s="509"/>
      <c r="S53" s="509"/>
      <c r="T53" s="509"/>
    </row>
    <row r="54" spans="1:20" s="22" customFormat="1" ht="15" customHeight="1" thickBot="1">
      <c r="A54" s="255"/>
      <c r="B54" s="256"/>
      <c r="C54" s="256"/>
      <c r="D54" s="968"/>
      <c r="E54" s="257"/>
      <c r="F54" s="368"/>
      <c r="G54" s="368"/>
      <c r="H54" s="368"/>
      <c r="I54" s="369"/>
      <c r="J54" s="370"/>
      <c r="K54" s="509"/>
      <c r="L54" s="509"/>
      <c r="M54" s="509"/>
      <c r="N54" s="509"/>
      <c r="O54" s="509"/>
      <c r="P54" s="509"/>
      <c r="Q54" s="704"/>
      <c r="R54" s="509"/>
      <c r="S54" s="509"/>
      <c r="T54" s="509"/>
    </row>
    <row r="55" spans="1:20" ht="16.5" customHeight="1" thickBot="1">
      <c r="A55" s="266" t="s">
        <v>2011</v>
      </c>
      <c r="B55" s="175" t="s">
        <v>2012</v>
      </c>
      <c r="C55" s="176" t="s">
        <v>2013</v>
      </c>
      <c r="D55" s="1008"/>
      <c r="E55" s="175"/>
      <c r="F55" s="341"/>
      <c r="G55" s="341"/>
      <c r="H55" s="342">
        <f>SUM(H56:H57)</f>
        <v>0</v>
      </c>
      <c r="I55" s="343"/>
      <c r="J55" s="344">
        <f>SUM(J56:J57)</f>
        <v>13.081245000000001</v>
      </c>
      <c r="K55" s="670"/>
      <c r="L55" s="670"/>
      <c r="M55" s="670"/>
      <c r="N55" s="670"/>
      <c r="O55" s="670"/>
      <c r="P55" s="670"/>
      <c r="Q55" s="670"/>
      <c r="R55" s="670"/>
      <c r="S55" s="670"/>
      <c r="T55" s="670"/>
    </row>
    <row r="56" spans="1:20" s="22" customFormat="1" ht="20.25" customHeight="1">
      <c r="A56" s="196" t="s">
        <v>2014</v>
      </c>
      <c r="B56" s="197" t="s">
        <v>2015</v>
      </c>
      <c r="C56" s="1097" t="s">
        <v>2856</v>
      </c>
      <c r="D56" s="917" t="s">
        <v>2802</v>
      </c>
      <c r="E56" s="198" t="s">
        <v>1748</v>
      </c>
      <c r="F56" s="332">
        <f>SUM(E57:E58)</f>
        <v>596.5</v>
      </c>
      <c r="G56" s="332"/>
      <c r="H56" s="332">
        <f>F56*G56</f>
        <v>0</v>
      </c>
      <c r="I56" s="333">
        <v>0.02193</v>
      </c>
      <c r="J56" s="334">
        <f>F56*I56</f>
        <v>13.081245000000001</v>
      </c>
      <c r="K56" s="693"/>
      <c r="L56" s="693"/>
      <c r="M56" s="693"/>
      <c r="N56" s="693"/>
      <c r="O56" s="693"/>
      <c r="P56" s="693"/>
      <c r="Q56" s="694"/>
      <c r="R56" s="509"/>
      <c r="S56" s="509"/>
      <c r="T56" s="509"/>
    </row>
    <row r="57" spans="1:20" s="251" customFormat="1" ht="17.25" customHeight="1" thickBot="1">
      <c r="A57" s="248"/>
      <c r="B57" s="249" t="s">
        <v>735</v>
      </c>
      <c r="C57" s="205" t="s">
        <v>1222</v>
      </c>
      <c r="D57" s="969"/>
      <c r="E57" s="213">
        <v>596.5</v>
      </c>
      <c r="F57" s="367"/>
      <c r="G57" s="387"/>
      <c r="H57" s="387"/>
      <c r="I57" s="356"/>
      <c r="J57" s="357"/>
      <c r="K57" s="681"/>
      <c r="L57" s="681"/>
      <c r="M57" s="681"/>
      <c r="N57" s="682"/>
      <c r="O57" s="682"/>
      <c r="P57" s="682"/>
      <c r="Q57" s="682"/>
      <c r="R57" s="682"/>
      <c r="S57" s="682"/>
      <c r="T57" s="682"/>
    </row>
    <row r="58" spans="1:20" ht="16.5" customHeight="1" thickBot="1">
      <c r="A58" s="266" t="s">
        <v>2036</v>
      </c>
      <c r="B58" s="175" t="s">
        <v>2037</v>
      </c>
      <c r="C58" s="176" t="s">
        <v>2038</v>
      </c>
      <c r="D58" s="1008"/>
      <c r="E58" s="175"/>
      <c r="F58" s="341"/>
      <c r="G58" s="341"/>
      <c r="H58" s="342">
        <f>SUM(H59:H89)</f>
        <v>0</v>
      </c>
      <c r="I58" s="343"/>
      <c r="J58" s="344">
        <f>SUM(J59:J89)</f>
        <v>0.41554440000000004</v>
      </c>
      <c r="K58" s="670"/>
      <c r="L58" s="670"/>
      <c r="M58" s="670"/>
      <c r="N58" s="670"/>
      <c r="O58" s="670"/>
      <c r="P58" s="670"/>
      <c r="Q58" s="670"/>
      <c r="R58" s="670"/>
      <c r="S58" s="670"/>
      <c r="T58" s="670"/>
    </row>
    <row r="59" spans="1:20" s="22" customFormat="1" ht="20.25" customHeight="1">
      <c r="A59" s="190"/>
      <c r="B59" s="191"/>
      <c r="C59" s="191"/>
      <c r="D59" s="964"/>
      <c r="E59" s="192"/>
      <c r="F59" s="345"/>
      <c r="G59" s="345"/>
      <c r="H59" s="345"/>
      <c r="I59" s="346"/>
      <c r="J59" s="347"/>
      <c r="K59" s="509"/>
      <c r="L59" s="509"/>
      <c r="M59" s="509"/>
      <c r="N59" s="509"/>
      <c r="O59" s="509"/>
      <c r="P59" s="509"/>
      <c r="Q59" s="704"/>
      <c r="R59" s="509"/>
      <c r="S59" s="509"/>
      <c r="T59" s="509"/>
    </row>
    <row r="60" spans="1:20" s="22" customFormat="1" ht="20.25" customHeight="1">
      <c r="A60" s="196" t="s">
        <v>2039</v>
      </c>
      <c r="B60" s="197" t="s">
        <v>2040</v>
      </c>
      <c r="C60" s="197" t="s">
        <v>2041</v>
      </c>
      <c r="D60" s="917" t="s">
        <v>2805</v>
      </c>
      <c r="E60" s="198" t="s">
        <v>1831</v>
      </c>
      <c r="F60" s="332">
        <v>15</v>
      </c>
      <c r="G60" s="332"/>
      <c r="H60" s="332">
        <f>F60*G60</f>
        <v>0</v>
      </c>
      <c r="I60" s="333">
        <v>0.0009</v>
      </c>
      <c r="J60" s="334">
        <f>F60*I60</f>
        <v>0.0135</v>
      </c>
      <c r="K60" s="509"/>
      <c r="L60" s="509"/>
      <c r="M60" s="509"/>
      <c r="N60" s="509"/>
      <c r="O60" s="509"/>
      <c r="P60" s="509"/>
      <c r="Q60" s="509"/>
      <c r="R60" s="509"/>
      <c r="S60" s="509"/>
      <c r="T60" s="509"/>
    </row>
    <row r="61" spans="1:20" s="22" customFormat="1" ht="20.25" customHeight="1">
      <c r="A61" s="196" t="s">
        <v>2042</v>
      </c>
      <c r="B61" s="197" t="s">
        <v>2043</v>
      </c>
      <c r="C61" s="197" t="s">
        <v>2044</v>
      </c>
      <c r="D61" s="917" t="s">
        <v>2805</v>
      </c>
      <c r="E61" s="198" t="s">
        <v>1831</v>
      </c>
      <c r="F61" s="332">
        <v>12</v>
      </c>
      <c r="G61" s="332"/>
      <c r="H61" s="332">
        <f>F61*G61</f>
        <v>0</v>
      </c>
      <c r="I61" s="333">
        <v>0.0012</v>
      </c>
      <c r="J61" s="334">
        <f>F61*I61</f>
        <v>0.0144</v>
      </c>
      <c r="K61" s="509"/>
      <c r="L61" s="509"/>
      <c r="M61" s="509"/>
      <c r="N61" s="509"/>
      <c r="O61" s="509"/>
      <c r="P61" s="509"/>
      <c r="Q61" s="509"/>
      <c r="R61" s="509"/>
      <c r="S61" s="509"/>
      <c r="T61" s="509"/>
    </row>
    <row r="62" spans="1:20" s="22" customFormat="1" ht="20.25" customHeight="1">
      <c r="A62" s="196" t="s">
        <v>2045</v>
      </c>
      <c r="B62" s="197" t="s">
        <v>2046</v>
      </c>
      <c r="C62" s="197" t="s">
        <v>2047</v>
      </c>
      <c r="D62" s="917" t="s">
        <v>2805</v>
      </c>
      <c r="E62" s="198" t="s">
        <v>1831</v>
      </c>
      <c r="F62" s="332">
        <v>6</v>
      </c>
      <c r="G62" s="332"/>
      <c r="H62" s="332">
        <f>F62*G62</f>
        <v>0</v>
      </c>
      <c r="I62" s="333">
        <v>0.00165</v>
      </c>
      <c r="J62" s="334">
        <f>F62*I62</f>
        <v>0.009899999999999999</v>
      </c>
      <c r="K62" s="509"/>
      <c r="L62" s="509"/>
      <c r="M62" s="509"/>
      <c r="N62" s="509"/>
      <c r="O62" s="509"/>
      <c r="P62" s="509"/>
      <c r="Q62" s="509"/>
      <c r="R62" s="509"/>
      <c r="S62" s="509"/>
      <c r="T62" s="509"/>
    </row>
    <row r="63" spans="1:20" s="22" customFormat="1" ht="62.25" customHeight="1">
      <c r="A63" s="196"/>
      <c r="B63" s="197"/>
      <c r="C63" s="199" t="s">
        <v>2048</v>
      </c>
      <c r="D63" s="917" t="s">
        <v>2805</v>
      </c>
      <c r="E63" s="198"/>
      <c r="F63" s="332"/>
      <c r="G63" s="332"/>
      <c r="H63" s="332"/>
      <c r="I63" s="333"/>
      <c r="J63" s="334"/>
      <c r="K63" s="672" t="s">
        <v>2049</v>
      </c>
      <c r="L63" s="672" t="s">
        <v>2050</v>
      </c>
      <c r="M63" s="672" t="s">
        <v>1748</v>
      </c>
      <c r="N63" s="672" t="s">
        <v>2051</v>
      </c>
      <c r="O63" s="672" t="s">
        <v>2052</v>
      </c>
      <c r="P63" s="672" t="s">
        <v>2053</v>
      </c>
      <c r="Q63" s="673"/>
      <c r="R63" s="509"/>
      <c r="S63" s="509"/>
      <c r="T63" s="509"/>
    </row>
    <row r="64" spans="1:20" s="22" customFormat="1" ht="20.25" customHeight="1">
      <c r="A64" s="196" t="s">
        <v>2054</v>
      </c>
      <c r="B64" s="197" t="s">
        <v>900</v>
      </c>
      <c r="C64" s="197" t="s">
        <v>748</v>
      </c>
      <c r="D64" s="917" t="s">
        <v>901</v>
      </c>
      <c r="E64" s="198" t="s">
        <v>1831</v>
      </c>
      <c r="F64" s="332">
        <v>7</v>
      </c>
      <c r="G64" s="332"/>
      <c r="H64" s="332">
        <f aca="true" t="shared" si="2" ref="H64:H71">F64*G64</f>
        <v>0</v>
      </c>
      <c r="I64" s="333">
        <v>0.00168</v>
      </c>
      <c r="J64" s="334">
        <f aca="true" t="shared" si="3" ref="J64:J71">F64*I64</f>
        <v>0.01176</v>
      </c>
      <c r="K64" s="693">
        <v>0.6</v>
      </c>
      <c r="L64" s="693">
        <v>0.45</v>
      </c>
      <c r="M64" s="693">
        <f aca="true" t="shared" si="4" ref="M64:M71">K64*L64</f>
        <v>0.27</v>
      </c>
      <c r="N64" s="693">
        <f aca="true" t="shared" si="5" ref="N64:N71">F64*M64</f>
        <v>1.8900000000000001</v>
      </c>
      <c r="O64" s="693">
        <f aca="true" t="shared" si="6" ref="O64:O71">(K64+L64*2)*F64</f>
        <v>10.5</v>
      </c>
      <c r="P64" s="693">
        <f aca="true" t="shared" si="7" ref="P64:P71">F64*K64</f>
        <v>4.2</v>
      </c>
      <c r="Q64" s="694" t="s">
        <v>2109</v>
      </c>
      <c r="R64" s="509"/>
      <c r="S64" s="509"/>
      <c r="T64" s="509"/>
    </row>
    <row r="65" spans="1:20" s="22" customFormat="1" ht="20.25" customHeight="1">
      <c r="A65" s="196" t="s">
        <v>2059</v>
      </c>
      <c r="B65" s="197" t="s">
        <v>902</v>
      </c>
      <c r="C65" s="197" t="s">
        <v>748</v>
      </c>
      <c r="D65" s="917" t="s">
        <v>901</v>
      </c>
      <c r="E65" s="198" t="s">
        <v>1831</v>
      </c>
      <c r="F65" s="332">
        <v>2</v>
      </c>
      <c r="G65" s="332"/>
      <c r="H65" s="332">
        <f t="shared" si="2"/>
        <v>0</v>
      </c>
      <c r="I65" s="333">
        <v>0.00168</v>
      </c>
      <c r="J65" s="334">
        <f t="shared" si="3"/>
        <v>0.00336</v>
      </c>
      <c r="K65" s="693">
        <v>0.6</v>
      </c>
      <c r="L65" s="693">
        <v>0.45</v>
      </c>
      <c r="M65" s="693">
        <f t="shared" si="4"/>
        <v>0.27</v>
      </c>
      <c r="N65" s="693">
        <f t="shared" si="5"/>
        <v>0.54</v>
      </c>
      <c r="O65" s="693">
        <f t="shared" si="6"/>
        <v>3</v>
      </c>
      <c r="P65" s="693">
        <f t="shared" si="7"/>
        <v>1.2</v>
      </c>
      <c r="Q65" s="694" t="s">
        <v>2109</v>
      </c>
      <c r="R65" s="509"/>
      <c r="S65" s="509"/>
      <c r="T65" s="509"/>
    </row>
    <row r="66" spans="1:20" s="22" customFormat="1" ht="20.25" customHeight="1">
      <c r="A66" s="196" t="s">
        <v>2065</v>
      </c>
      <c r="B66" s="197" t="s">
        <v>1223</v>
      </c>
      <c r="C66" s="197" t="s">
        <v>742</v>
      </c>
      <c r="D66" s="917" t="s">
        <v>1224</v>
      </c>
      <c r="E66" s="198" t="s">
        <v>1831</v>
      </c>
      <c r="F66" s="332">
        <v>4</v>
      </c>
      <c r="G66" s="332"/>
      <c r="H66" s="332">
        <f t="shared" si="2"/>
        <v>0</v>
      </c>
      <c r="I66" s="333">
        <v>0.00168</v>
      </c>
      <c r="J66" s="334">
        <f t="shared" si="3"/>
        <v>0.00672</v>
      </c>
      <c r="K66" s="693">
        <v>0.57</v>
      </c>
      <c r="L66" s="693">
        <v>1.1</v>
      </c>
      <c r="M66" s="693">
        <f t="shared" si="4"/>
        <v>0.627</v>
      </c>
      <c r="N66" s="693">
        <f t="shared" si="5"/>
        <v>2.508</v>
      </c>
      <c r="O66" s="693">
        <f t="shared" si="6"/>
        <v>11.08</v>
      </c>
      <c r="P66" s="693">
        <f t="shared" si="7"/>
        <v>2.28</v>
      </c>
      <c r="Q66" s="694" t="s">
        <v>1196</v>
      </c>
      <c r="R66" s="509"/>
      <c r="S66" s="509"/>
      <c r="T66" s="509"/>
    </row>
    <row r="67" spans="1:20" s="22" customFormat="1" ht="20.25" customHeight="1">
      <c r="A67" s="196" t="s">
        <v>2069</v>
      </c>
      <c r="B67" s="197" t="s">
        <v>1225</v>
      </c>
      <c r="C67" s="197" t="s">
        <v>908</v>
      </c>
      <c r="D67" s="917" t="s">
        <v>1076</v>
      </c>
      <c r="E67" s="198" t="s">
        <v>1831</v>
      </c>
      <c r="F67" s="332">
        <v>4</v>
      </c>
      <c r="G67" s="332"/>
      <c r="H67" s="332">
        <f t="shared" si="2"/>
        <v>0</v>
      </c>
      <c r="I67" s="333">
        <v>0.00168</v>
      </c>
      <c r="J67" s="334">
        <f t="shared" si="3"/>
        <v>0.00672</v>
      </c>
      <c r="K67" s="693">
        <v>1.35</v>
      </c>
      <c r="L67" s="693">
        <v>1.5</v>
      </c>
      <c r="M67" s="693">
        <f t="shared" si="4"/>
        <v>2.0250000000000004</v>
      </c>
      <c r="N67" s="693">
        <f t="shared" si="5"/>
        <v>8.100000000000001</v>
      </c>
      <c r="O67" s="693">
        <f t="shared" si="6"/>
        <v>17.4</v>
      </c>
      <c r="P67" s="693">
        <f t="shared" si="7"/>
        <v>5.4</v>
      </c>
      <c r="Q67" s="694" t="s">
        <v>740</v>
      </c>
      <c r="R67" s="509"/>
      <c r="S67" s="509"/>
      <c r="T67" s="509"/>
    </row>
    <row r="68" spans="1:20" s="22" customFormat="1" ht="30" customHeight="1">
      <c r="A68" s="196" t="s">
        <v>2074</v>
      </c>
      <c r="B68" s="197" t="s">
        <v>1194</v>
      </c>
      <c r="C68" s="199" t="s">
        <v>1195</v>
      </c>
      <c r="D68" s="917" t="s">
        <v>739</v>
      </c>
      <c r="E68" s="198" t="s">
        <v>1831</v>
      </c>
      <c r="F68" s="332">
        <v>6</v>
      </c>
      <c r="G68" s="332"/>
      <c r="H68" s="332">
        <f t="shared" si="2"/>
        <v>0</v>
      </c>
      <c r="I68" s="333">
        <v>0.00168</v>
      </c>
      <c r="J68" s="334">
        <f t="shared" si="3"/>
        <v>0.01008</v>
      </c>
      <c r="K68" s="693">
        <v>1.35</v>
      </c>
      <c r="L68" s="693">
        <v>1.8</v>
      </c>
      <c r="M68" s="693">
        <f t="shared" si="4"/>
        <v>2.43</v>
      </c>
      <c r="N68" s="693">
        <f t="shared" si="5"/>
        <v>14.580000000000002</v>
      </c>
      <c r="O68" s="693">
        <f t="shared" si="6"/>
        <v>29.700000000000003</v>
      </c>
      <c r="P68" s="693">
        <f t="shared" si="7"/>
        <v>8.100000000000001</v>
      </c>
      <c r="Q68" s="694" t="s">
        <v>740</v>
      </c>
      <c r="R68" s="509"/>
      <c r="S68" s="509"/>
      <c r="T68" s="509"/>
    </row>
    <row r="69" spans="1:20" s="22" customFormat="1" ht="27" customHeight="1">
      <c r="A69" s="196" t="s">
        <v>2078</v>
      </c>
      <c r="B69" s="197" t="s">
        <v>1226</v>
      </c>
      <c r="C69" s="199" t="s">
        <v>1195</v>
      </c>
      <c r="D69" s="917" t="s">
        <v>1227</v>
      </c>
      <c r="E69" s="198" t="s">
        <v>1831</v>
      </c>
      <c r="F69" s="332">
        <v>2</v>
      </c>
      <c r="G69" s="332"/>
      <c r="H69" s="332">
        <f t="shared" si="2"/>
        <v>0</v>
      </c>
      <c r="I69" s="333">
        <v>0.00168</v>
      </c>
      <c r="J69" s="334">
        <f t="shared" si="3"/>
        <v>0.00336</v>
      </c>
      <c r="K69" s="693">
        <v>0.9</v>
      </c>
      <c r="L69" s="693">
        <v>1.8</v>
      </c>
      <c r="M69" s="693">
        <f t="shared" si="4"/>
        <v>1.62</v>
      </c>
      <c r="N69" s="693">
        <f t="shared" si="5"/>
        <v>3.24</v>
      </c>
      <c r="O69" s="693">
        <f t="shared" si="6"/>
        <v>9</v>
      </c>
      <c r="P69" s="693">
        <f t="shared" si="7"/>
        <v>1.8</v>
      </c>
      <c r="Q69" s="694" t="s">
        <v>740</v>
      </c>
      <c r="R69" s="509"/>
      <c r="S69" s="509"/>
      <c r="T69" s="509"/>
    </row>
    <row r="70" spans="1:20" s="22" customFormat="1" ht="20.25" customHeight="1">
      <c r="A70" s="196" t="s">
        <v>2081</v>
      </c>
      <c r="B70" s="197" t="s">
        <v>903</v>
      </c>
      <c r="C70" s="197" t="s">
        <v>742</v>
      </c>
      <c r="D70" s="917" t="s">
        <v>904</v>
      </c>
      <c r="E70" s="198" t="s">
        <v>1831</v>
      </c>
      <c r="F70" s="332">
        <v>2</v>
      </c>
      <c r="G70" s="332"/>
      <c r="H70" s="332">
        <f t="shared" si="2"/>
        <v>0</v>
      </c>
      <c r="I70" s="333">
        <v>0.00168</v>
      </c>
      <c r="J70" s="334">
        <f t="shared" si="3"/>
        <v>0.00336</v>
      </c>
      <c r="K70" s="693">
        <v>0.9</v>
      </c>
      <c r="L70" s="693">
        <v>1.5</v>
      </c>
      <c r="M70" s="693">
        <f t="shared" si="4"/>
        <v>1.35</v>
      </c>
      <c r="N70" s="693">
        <f t="shared" si="5"/>
        <v>2.7</v>
      </c>
      <c r="O70" s="693">
        <f t="shared" si="6"/>
        <v>7.8</v>
      </c>
      <c r="P70" s="693">
        <f t="shared" si="7"/>
        <v>1.8</v>
      </c>
      <c r="Q70" s="694" t="s">
        <v>1196</v>
      </c>
      <c r="R70" s="509"/>
      <c r="S70" s="509"/>
      <c r="T70" s="509"/>
    </row>
    <row r="71" spans="1:20" s="22" customFormat="1" ht="20.25" customHeight="1">
      <c r="A71" s="196" t="s">
        <v>2085</v>
      </c>
      <c r="B71" s="197" t="s">
        <v>1228</v>
      </c>
      <c r="C71" s="197" t="s">
        <v>913</v>
      </c>
      <c r="D71" s="917" t="s">
        <v>914</v>
      </c>
      <c r="E71" s="198" t="s">
        <v>1831</v>
      </c>
      <c r="F71" s="332">
        <v>6</v>
      </c>
      <c r="G71" s="332"/>
      <c r="H71" s="332">
        <f t="shared" si="2"/>
        <v>0</v>
      </c>
      <c r="I71" s="333">
        <v>0.00168</v>
      </c>
      <c r="J71" s="334">
        <f t="shared" si="3"/>
        <v>0.01008</v>
      </c>
      <c r="K71" s="693">
        <v>2.1</v>
      </c>
      <c r="L71" s="693">
        <v>1.5</v>
      </c>
      <c r="M71" s="693">
        <f t="shared" si="4"/>
        <v>3.1500000000000004</v>
      </c>
      <c r="N71" s="693">
        <f t="shared" si="5"/>
        <v>18.900000000000002</v>
      </c>
      <c r="O71" s="693">
        <f t="shared" si="6"/>
        <v>30.599999999999998</v>
      </c>
      <c r="P71" s="693">
        <f t="shared" si="7"/>
        <v>12.600000000000001</v>
      </c>
      <c r="Q71" s="694" t="s">
        <v>1196</v>
      </c>
      <c r="R71" s="509"/>
      <c r="S71" s="509"/>
      <c r="T71" s="509"/>
    </row>
    <row r="72" spans="1:20" s="22" customFormat="1" ht="21.75" customHeight="1">
      <c r="A72" s="196"/>
      <c r="B72" s="197"/>
      <c r="C72" s="199"/>
      <c r="D72" s="917"/>
      <c r="E72" s="198"/>
      <c r="F72" s="332"/>
      <c r="G72" s="332"/>
      <c r="H72" s="332"/>
      <c r="I72" s="333"/>
      <c r="J72" s="334"/>
      <c r="K72" s="509"/>
      <c r="L72" s="509"/>
      <c r="M72" s="509"/>
      <c r="N72" s="509"/>
      <c r="O72" s="509"/>
      <c r="P72" s="509"/>
      <c r="Q72" s="704"/>
      <c r="R72" s="509"/>
      <c r="S72" s="509"/>
      <c r="T72" s="509"/>
    </row>
    <row r="73" spans="1:20" s="22" customFormat="1" ht="20.25" customHeight="1">
      <c r="A73" s="196" t="s">
        <v>2089</v>
      </c>
      <c r="B73" s="197" t="s">
        <v>2250</v>
      </c>
      <c r="C73" s="197" t="s">
        <v>750</v>
      </c>
      <c r="D73" s="917" t="s">
        <v>2802</v>
      </c>
      <c r="E73" s="198" t="s">
        <v>1826</v>
      </c>
      <c r="F73" s="332">
        <f>E74</f>
        <v>37.38</v>
      </c>
      <c r="G73" s="332"/>
      <c r="H73" s="332">
        <f>F73*G73</f>
        <v>0</v>
      </c>
      <c r="I73" s="333">
        <v>0.00222</v>
      </c>
      <c r="J73" s="334">
        <f>F73*I73</f>
        <v>0.08298360000000002</v>
      </c>
      <c r="K73" s="693"/>
      <c r="L73" s="693"/>
      <c r="M73" s="693"/>
      <c r="N73" s="693"/>
      <c r="O73" s="693"/>
      <c r="P73" s="693"/>
      <c r="Q73" s="694"/>
      <c r="R73" s="509"/>
      <c r="S73" s="509"/>
      <c r="T73" s="509"/>
    </row>
    <row r="74" spans="1:20" s="130" customFormat="1" ht="28.5" customHeight="1">
      <c r="A74" s="204"/>
      <c r="B74" s="205"/>
      <c r="C74" s="206" t="s">
        <v>1229</v>
      </c>
      <c r="D74" s="916"/>
      <c r="E74" s="207">
        <f>(0.6*7+0.6*2+0.57*4+1.35*4+1.35*6+0.9*2+0.9*2+2.1*6)</f>
        <v>37.38</v>
      </c>
      <c r="F74" s="335"/>
      <c r="G74" s="335"/>
      <c r="H74" s="335"/>
      <c r="I74" s="336"/>
      <c r="J74" s="337"/>
      <c r="K74" s="672"/>
      <c r="L74" s="672"/>
      <c r="M74" s="672"/>
      <c r="N74" s="672"/>
      <c r="O74" s="672"/>
      <c r="P74" s="672"/>
      <c r="Q74" s="673"/>
      <c r="R74" s="508"/>
      <c r="S74" s="508"/>
      <c r="T74" s="508"/>
    </row>
    <row r="75" spans="1:20" s="22" customFormat="1" ht="24" customHeight="1">
      <c r="A75" s="196"/>
      <c r="B75" s="197"/>
      <c r="C75" s="199" t="s">
        <v>2258</v>
      </c>
      <c r="D75" s="917" t="s">
        <v>2802</v>
      </c>
      <c r="E75" s="198"/>
      <c r="F75" s="332"/>
      <c r="G75" s="332"/>
      <c r="H75" s="332"/>
      <c r="I75" s="333"/>
      <c r="J75" s="334"/>
      <c r="K75" s="693"/>
      <c r="L75" s="693"/>
      <c r="M75" s="693"/>
      <c r="N75" s="693"/>
      <c r="O75" s="693"/>
      <c r="P75" s="693"/>
      <c r="Q75" s="694"/>
      <c r="R75" s="509"/>
      <c r="S75" s="509"/>
      <c r="T75" s="509"/>
    </row>
    <row r="76" spans="1:20" s="22" customFormat="1" ht="20.25" customHeight="1">
      <c r="A76" s="196" t="s">
        <v>2093</v>
      </c>
      <c r="B76" s="197" t="s">
        <v>2260</v>
      </c>
      <c r="C76" s="197" t="s">
        <v>2269</v>
      </c>
      <c r="D76" s="917"/>
      <c r="E76" s="198" t="s">
        <v>1826</v>
      </c>
      <c r="F76" s="332">
        <f>E77</f>
        <v>41.11800000000001</v>
      </c>
      <c r="G76" s="332"/>
      <c r="H76" s="332">
        <f>F76*G76</f>
        <v>0</v>
      </c>
      <c r="I76" s="333">
        <v>0.0052</v>
      </c>
      <c r="J76" s="334">
        <f>F76*I76</f>
        <v>0.21381360000000005</v>
      </c>
      <c r="K76" s="693"/>
      <c r="L76" s="693"/>
      <c r="M76" s="693"/>
      <c r="N76" s="693"/>
      <c r="O76" s="693"/>
      <c r="P76" s="693"/>
      <c r="Q76" s="694"/>
      <c r="R76" s="509"/>
      <c r="S76" s="509"/>
      <c r="T76" s="509"/>
    </row>
    <row r="77" spans="1:20" s="130" customFormat="1" ht="28.5" customHeight="1">
      <c r="A77" s="204"/>
      <c r="B77" s="205"/>
      <c r="C77" s="206" t="s">
        <v>1230</v>
      </c>
      <c r="D77" s="916"/>
      <c r="E77" s="207">
        <f>(0.6*7+0.6*2+0.57*4+1.35*4+1.35*6+0.9*2+0.9*2+2.1*6)*1.1</f>
        <v>41.11800000000001</v>
      </c>
      <c r="F77" s="335"/>
      <c r="G77" s="335"/>
      <c r="H77" s="335"/>
      <c r="I77" s="336"/>
      <c r="J77" s="337"/>
      <c r="K77" s="672"/>
      <c r="L77" s="672"/>
      <c r="M77" s="672"/>
      <c r="N77" s="672"/>
      <c r="O77" s="672"/>
      <c r="P77" s="672"/>
      <c r="Q77" s="673"/>
      <c r="R77" s="508"/>
      <c r="S77" s="508"/>
      <c r="T77" s="508"/>
    </row>
    <row r="78" spans="1:20" s="130" customFormat="1" ht="20.25" customHeight="1">
      <c r="A78" s="204"/>
      <c r="B78" s="205"/>
      <c r="C78" s="205"/>
      <c r="D78" s="916"/>
      <c r="E78" s="207"/>
      <c r="F78" s="335"/>
      <c r="G78" s="335"/>
      <c r="H78" s="335"/>
      <c r="I78" s="336"/>
      <c r="J78" s="337"/>
      <c r="K78" s="672"/>
      <c r="L78" s="672"/>
      <c r="M78" s="672"/>
      <c r="N78" s="672"/>
      <c r="O78" s="672"/>
      <c r="P78" s="672"/>
      <c r="Q78" s="673"/>
      <c r="R78" s="508"/>
      <c r="S78" s="508"/>
      <c r="T78" s="508"/>
    </row>
    <row r="79" spans="1:20" s="22" customFormat="1" ht="20.25" customHeight="1">
      <c r="A79" s="196" t="s">
        <v>2122</v>
      </c>
      <c r="B79" s="197" t="s">
        <v>2296</v>
      </c>
      <c r="C79" s="197" t="s">
        <v>2297</v>
      </c>
      <c r="D79" s="917"/>
      <c r="E79" s="198" t="s">
        <v>1826</v>
      </c>
      <c r="F79" s="332">
        <f>E80</f>
        <v>41.76</v>
      </c>
      <c r="G79" s="332"/>
      <c r="H79" s="332">
        <f>F79*G79</f>
        <v>0</v>
      </c>
      <c r="I79" s="333">
        <v>8E-05</v>
      </c>
      <c r="J79" s="334">
        <f>F79*I79</f>
        <v>0.0033408</v>
      </c>
      <c r="K79" s="509"/>
      <c r="L79" s="509"/>
      <c r="M79" s="509"/>
      <c r="N79" s="509"/>
      <c r="O79" s="509"/>
      <c r="P79" s="509"/>
      <c r="Q79" s="704"/>
      <c r="R79" s="509"/>
      <c r="S79" s="509"/>
      <c r="T79" s="509"/>
    </row>
    <row r="80" spans="1:20" s="130" customFormat="1" ht="28.5" customHeight="1">
      <c r="A80" s="204"/>
      <c r="B80" s="205"/>
      <c r="C80" s="206" t="s">
        <v>1231</v>
      </c>
      <c r="D80" s="916"/>
      <c r="E80" s="207">
        <f>(1.6+2.15)*2*4+(0.9+2.04)*2*2</f>
        <v>41.76</v>
      </c>
      <c r="F80" s="335"/>
      <c r="G80" s="335"/>
      <c r="H80" s="335"/>
      <c r="I80" s="336"/>
      <c r="J80" s="337"/>
      <c r="K80" s="672"/>
      <c r="L80" s="672"/>
      <c r="M80" s="672"/>
      <c r="N80" s="672"/>
      <c r="O80" s="672"/>
      <c r="P80" s="672"/>
      <c r="Q80" s="673"/>
      <c r="R80" s="508"/>
      <c r="S80" s="508"/>
      <c r="T80" s="508"/>
    </row>
    <row r="81" spans="1:20" s="22" customFormat="1" ht="49.5" customHeight="1">
      <c r="A81" s="196"/>
      <c r="B81" s="197"/>
      <c r="C81" s="199" t="s">
        <v>2299</v>
      </c>
      <c r="D81" s="917" t="s">
        <v>2802</v>
      </c>
      <c r="E81" s="198"/>
      <c r="F81" s="332"/>
      <c r="G81" s="332"/>
      <c r="H81" s="332"/>
      <c r="I81" s="333"/>
      <c r="J81" s="334"/>
      <c r="K81" s="693"/>
      <c r="L81" s="693"/>
      <c r="M81" s="693"/>
      <c r="N81" s="693"/>
      <c r="O81" s="693"/>
      <c r="P81" s="693"/>
      <c r="Q81" s="694"/>
      <c r="R81" s="509"/>
      <c r="S81" s="509"/>
      <c r="T81" s="509"/>
    </row>
    <row r="82" spans="1:20" s="22" customFormat="1" ht="28.5" customHeight="1">
      <c r="A82" s="196" t="s">
        <v>2127</v>
      </c>
      <c r="B82" s="197" t="s">
        <v>1232</v>
      </c>
      <c r="C82" s="199" t="s">
        <v>1233</v>
      </c>
      <c r="D82" s="917" t="s">
        <v>1234</v>
      </c>
      <c r="E82" s="198" t="s">
        <v>1831</v>
      </c>
      <c r="F82" s="332">
        <v>4</v>
      </c>
      <c r="G82" s="332"/>
      <c r="H82" s="332">
        <f>F82*G82</f>
        <v>0</v>
      </c>
      <c r="I82" s="333">
        <v>0.00168</v>
      </c>
      <c r="J82" s="334">
        <f>F82*I82</f>
        <v>0.00672</v>
      </c>
      <c r="K82" s="693">
        <v>1.6</v>
      </c>
      <c r="L82" s="693">
        <v>2.15</v>
      </c>
      <c r="M82" s="693">
        <f>K82*L82</f>
        <v>3.44</v>
      </c>
      <c r="N82" s="693">
        <f>F82*M82</f>
        <v>13.76</v>
      </c>
      <c r="O82" s="693">
        <f>(K82+L82*2)*F82</f>
        <v>23.6</v>
      </c>
      <c r="P82" s="693">
        <v>0</v>
      </c>
      <c r="Q82" s="694" t="s">
        <v>1196</v>
      </c>
      <c r="R82" s="509"/>
      <c r="S82" s="509"/>
      <c r="T82" s="509"/>
    </row>
    <row r="83" spans="1:20" s="22" customFormat="1" ht="28.5" customHeight="1">
      <c r="A83" s="196" t="s">
        <v>2131</v>
      </c>
      <c r="B83" s="197" t="s">
        <v>1235</v>
      </c>
      <c r="C83" s="199" t="s">
        <v>1236</v>
      </c>
      <c r="D83" s="917" t="s">
        <v>1237</v>
      </c>
      <c r="E83" s="198" t="s">
        <v>1831</v>
      </c>
      <c r="F83" s="332">
        <v>2</v>
      </c>
      <c r="G83" s="332"/>
      <c r="H83" s="332">
        <f>F83*G83</f>
        <v>0</v>
      </c>
      <c r="I83" s="333">
        <v>0.00168</v>
      </c>
      <c r="J83" s="334">
        <f>F83*I83</f>
        <v>0.00336</v>
      </c>
      <c r="K83" s="693">
        <v>0.9</v>
      </c>
      <c r="L83" s="693">
        <v>2.04</v>
      </c>
      <c r="M83" s="693">
        <f>K83*L83</f>
        <v>1.836</v>
      </c>
      <c r="N83" s="693">
        <f>F83*M83</f>
        <v>3.672</v>
      </c>
      <c r="O83" s="693">
        <f>(K83+L83*2)*F83</f>
        <v>9.96</v>
      </c>
      <c r="P83" s="693">
        <v>0</v>
      </c>
      <c r="Q83" s="694" t="s">
        <v>1196</v>
      </c>
      <c r="R83" s="509"/>
      <c r="S83" s="509"/>
      <c r="T83" s="509"/>
    </row>
    <row r="84" spans="1:20" s="22" customFormat="1" ht="20.25" customHeight="1">
      <c r="A84" s="196"/>
      <c r="B84" s="197"/>
      <c r="C84" s="197"/>
      <c r="D84" s="917"/>
      <c r="E84" s="198"/>
      <c r="F84" s="332"/>
      <c r="G84" s="332"/>
      <c r="H84" s="332"/>
      <c r="I84" s="333"/>
      <c r="J84" s="334"/>
      <c r="K84" s="693"/>
      <c r="L84" s="693"/>
      <c r="M84" s="693"/>
      <c r="N84" s="693"/>
      <c r="O84" s="693"/>
      <c r="P84" s="693"/>
      <c r="Q84" s="694"/>
      <c r="R84" s="509"/>
      <c r="S84" s="509"/>
      <c r="T84" s="509"/>
    </row>
    <row r="85" spans="1:20" s="22" customFormat="1" ht="30" customHeight="1">
      <c r="A85" s="196" t="s">
        <v>2134</v>
      </c>
      <c r="B85" s="197" t="s">
        <v>2280</v>
      </c>
      <c r="C85" s="199" t="s">
        <v>2281</v>
      </c>
      <c r="D85" s="917" t="s">
        <v>2805</v>
      </c>
      <c r="E85" s="198" t="s">
        <v>1826</v>
      </c>
      <c r="F85" s="332">
        <f>E86</f>
        <v>152.64</v>
      </c>
      <c r="G85" s="332"/>
      <c r="H85" s="332">
        <f>F85*G85</f>
        <v>0</v>
      </c>
      <c r="I85" s="333">
        <v>4E-05</v>
      </c>
      <c r="J85" s="334">
        <f>F85*I85</f>
        <v>0.0061056</v>
      </c>
      <c r="K85" s="693"/>
      <c r="L85" s="693"/>
      <c r="M85" s="693"/>
      <c r="N85" s="693"/>
      <c r="O85" s="693"/>
      <c r="P85" s="693"/>
      <c r="Q85" s="694"/>
      <c r="R85" s="509"/>
      <c r="S85" s="509"/>
      <c r="T85" s="509"/>
    </row>
    <row r="86" spans="1:20" s="130" customFormat="1" ht="30" customHeight="1">
      <c r="A86" s="204"/>
      <c r="B86" s="205"/>
      <c r="C86" s="206" t="s">
        <v>1238</v>
      </c>
      <c r="D86" s="916"/>
      <c r="E86" s="207">
        <f>10.5+3+11.08+17.4+29.7+9+7.8+30.6+23.6+9.96</f>
        <v>152.64</v>
      </c>
      <c r="F86" s="335"/>
      <c r="G86" s="335"/>
      <c r="H86" s="335"/>
      <c r="I86" s="336"/>
      <c r="J86" s="337"/>
      <c r="K86" s="672"/>
      <c r="L86" s="672"/>
      <c r="M86" s="672"/>
      <c r="N86" s="672"/>
      <c r="O86" s="672"/>
      <c r="P86" s="672"/>
      <c r="Q86" s="673"/>
      <c r="R86" s="508"/>
      <c r="S86" s="508"/>
      <c r="T86" s="508"/>
    </row>
    <row r="87" spans="1:20" s="22" customFormat="1" ht="30" customHeight="1">
      <c r="A87" s="196" t="s">
        <v>2139</v>
      </c>
      <c r="B87" s="197" t="s">
        <v>2284</v>
      </c>
      <c r="C87" s="199" t="s">
        <v>2285</v>
      </c>
      <c r="D87" s="917" t="s">
        <v>2805</v>
      </c>
      <c r="E87" s="198" t="s">
        <v>1826</v>
      </c>
      <c r="F87" s="332">
        <f>E88</f>
        <v>37.38</v>
      </c>
      <c r="G87" s="332"/>
      <c r="H87" s="332">
        <f>F87*G87</f>
        <v>0</v>
      </c>
      <c r="I87" s="333">
        <v>0.00016</v>
      </c>
      <c r="J87" s="334">
        <f>F87*I87</f>
        <v>0.0059808000000000005</v>
      </c>
      <c r="K87" s="693"/>
      <c r="L87" s="693"/>
      <c r="M87" s="693"/>
      <c r="N87" s="693"/>
      <c r="O87" s="693"/>
      <c r="P87" s="693"/>
      <c r="Q87" s="694"/>
      <c r="R87" s="509"/>
      <c r="S87" s="509"/>
      <c r="T87" s="509"/>
    </row>
    <row r="88" spans="1:20" s="130" customFormat="1" ht="22.5" customHeight="1">
      <c r="A88" s="204"/>
      <c r="B88" s="205"/>
      <c r="C88" s="206" t="s">
        <v>1239</v>
      </c>
      <c r="D88" s="916"/>
      <c r="E88" s="207">
        <f>4.2+1.2+2.28+5.4+8.1+1.8+1.8+12.6</f>
        <v>37.38</v>
      </c>
      <c r="F88" s="335"/>
      <c r="G88" s="335"/>
      <c r="H88" s="335"/>
      <c r="I88" s="336"/>
      <c r="J88" s="337"/>
      <c r="K88" s="672"/>
      <c r="L88" s="672"/>
      <c r="M88" s="672"/>
      <c r="N88" s="672"/>
      <c r="O88" s="672"/>
      <c r="P88" s="672"/>
      <c r="Q88" s="673"/>
      <c r="R88" s="508"/>
      <c r="S88" s="508"/>
      <c r="T88" s="508"/>
    </row>
    <row r="89" spans="1:20" s="22" customFormat="1" ht="20.25" customHeight="1" thickBot="1">
      <c r="A89" s="255"/>
      <c r="B89" s="256"/>
      <c r="C89" s="256"/>
      <c r="D89" s="968"/>
      <c r="E89" s="257"/>
      <c r="F89" s="368"/>
      <c r="G89" s="368"/>
      <c r="H89" s="368"/>
      <c r="I89" s="369"/>
      <c r="J89" s="370"/>
      <c r="K89" s="509"/>
      <c r="L89" s="509"/>
      <c r="M89" s="509"/>
      <c r="N89" s="509"/>
      <c r="O89" s="509"/>
      <c r="P89" s="509"/>
      <c r="Q89" s="704"/>
      <c r="R89" s="509"/>
      <c r="S89" s="509"/>
      <c r="T89" s="509"/>
    </row>
    <row r="90" spans="1:20" ht="16.5" customHeight="1" thickBot="1">
      <c r="A90" s="266" t="s">
        <v>2322</v>
      </c>
      <c r="B90" s="175" t="s">
        <v>2323</v>
      </c>
      <c r="C90" s="176" t="s">
        <v>2324</v>
      </c>
      <c r="D90" s="1008"/>
      <c r="E90" s="175"/>
      <c r="F90" s="341"/>
      <c r="G90" s="341"/>
      <c r="H90" s="1011">
        <f>SUM(H91:H95)</f>
        <v>0</v>
      </c>
      <c r="I90" s="343"/>
      <c r="J90" s="1216">
        <f>SUM(J91:J95)</f>
        <v>0.07643</v>
      </c>
      <c r="K90" s="670"/>
      <c r="L90" s="670"/>
      <c r="M90" s="670"/>
      <c r="N90" s="670"/>
      <c r="O90" s="670"/>
      <c r="P90" s="670"/>
      <c r="Q90" s="670"/>
      <c r="R90" s="670"/>
      <c r="S90" s="670"/>
      <c r="T90" s="670"/>
    </row>
    <row r="91" spans="1:20" s="22" customFormat="1" ht="22.5" customHeight="1">
      <c r="A91" s="196" t="s">
        <v>2325</v>
      </c>
      <c r="B91" s="197" t="s">
        <v>2329</v>
      </c>
      <c r="C91" s="199" t="s">
        <v>763</v>
      </c>
      <c r="D91" s="917" t="s">
        <v>2749</v>
      </c>
      <c r="E91" s="198" t="s">
        <v>2331</v>
      </c>
      <c r="F91" s="332">
        <v>4</v>
      </c>
      <c r="G91" s="332"/>
      <c r="H91" s="332">
        <f>F91*G91</f>
        <v>0</v>
      </c>
      <c r="I91" s="333"/>
      <c r="J91" s="334"/>
      <c r="K91" s="693"/>
      <c r="L91" s="693"/>
      <c r="M91" s="693"/>
      <c r="N91" s="693"/>
      <c r="O91" s="693"/>
      <c r="P91" s="693"/>
      <c r="Q91" s="694"/>
      <c r="R91" s="509"/>
      <c r="S91" s="509"/>
      <c r="T91" s="509"/>
    </row>
    <row r="92" spans="1:59" s="22" customFormat="1" ht="30" customHeight="1">
      <c r="A92" s="196" t="s">
        <v>2328</v>
      </c>
      <c r="B92" s="197" t="s">
        <v>2333</v>
      </c>
      <c r="C92" s="199" t="s">
        <v>2334</v>
      </c>
      <c r="D92" s="917" t="s">
        <v>2749</v>
      </c>
      <c r="E92" s="198" t="s">
        <v>1718</v>
      </c>
      <c r="F92" s="332">
        <v>1</v>
      </c>
      <c r="G92" s="332"/>
      <c r="H92" s="332">
        <f>F92*G92</f>
        <v>0</v>
      </c>
      <c r="I92" s="333">
        <v>0.07643</v>
      </c>
      <c r="J92" s="334">
        <f>F92*I92</f>
        <v>0.07643</v>
      </c>
      <c r="K92" s="693"/>
      <c r="L92" s="693"/>
      <c r="M92" s="693"/>
      <c r="N92" s="693"/>
      <c r="O92" s="693"/>
      <c r="P92" s="693"/>
      <c r="Q92" s="694">
        <v>2</v>
      </c>
      <c r="R92" s="509"/>
      <c r="S92" s="509"/>
      <c r="T92" s="509"/>
      <c r="AA92" s="22">
        <v>12</v>
      </c>
      <c r="AB92" s="22">
        <v>0</v>
      </c>
      <c r="AC92" s="22">
        <v>30</v>
      </c>
      <c r="BB92" s="22">
        <v>1</v>
      </c>
      <c r="BC92" s="22">
        <f>IF(BB92=1,G92,0)</f>
        <v>0</v>
      </c>
      <c r="BD92" s="22">
        <f>IF(BB92=2,G92,0)</f>
        <v>0</v>
      </c>
      <c r="BE92" s="22">
        <f>IF(BB92=3,G92,0)</f>
        <v>0</v>
      </c>
      <c r="BF92" s="22">
        <f>IF(BB92=4,G92,0)</f>
        <v>0</v>
      </c>
      <c r="BG92" s="22">
        <f>IF(BB92=5,G92,0)</f>
        <v>0</v>
      </c>
    </row>
    <row r="93" spans="1:20" s="22" customFormat="1" ht="30" customHeight="1">
      <c r="A93" s="196" t="s">
        <v>2332</v>
      </c>
      <c r="B93" s="197" t="s">
        <v>2336</v>
      </c>
      <c r="C93" s="199" t="s">
        <v>2337</v>
      </c>
      <c r="D93" s="917" t="s">
        <v>2749</v>
      </c>
      <c r="E93" s="198" t="s">
        <v>1826</v>
      </c>
      <c r="F93" s="332">
        <v>25</v>
      </c>
      <c r="G93" s="332"/>
      <c r="H93" s="332">
        <f>F93*G93</f>
        <v>0</v>
      </c>
      <c r="I93" s="333"/>
      <c r="J93" s="334"/>
      <c r="K93" s="693"/>
      <c r="L93" s="693"/>
      <c r="M93" s="693"/>
      <c r="N93" s="693"/>
      <c r="O93" s="693"/>
      <c r="P93" s="693"/>
      <c r="Q93" s="694"/>
      <c r="R93" s="509"/>
      <c r="S93" s="509"/>
      <c r="T93" s="509"/>
    </row>
    <row r="94" spans="1:20" s="22" customFormat="1" ht="21" customHeight="1">
      <c r="A94" s="196" t="s">
        <v>2335</v>
      </c>
      <c r="B94" s="197" t="s">
        <v>1240</v>
      </c>
      <c r="C94" s="199" t="s">
        <v>1241</v>
      </c>
      <c r="D94" s="917" t="s">
        <v>2803</v>
      </c>
      <c r="E94" s="198" t="s">
        <v>1718</v>
      </c>
      <c r="F94" s="332">
        <v>2</v>
      </c>
      <c r="G94" s="332"/>
      <c r="H94" s="332">
        <f>F94*G94</f>
        <v>0</v>
      </c>
      <c r="I94" s="333"/>
      <c r="J94" s="334"/>
      <c r="K94" s="693"/>
      <c r="L94" s="693"/>
      <c r="M94" s="693"/>
      <c r="N94" s="693"/>
      <c r="O94" s="693"/>
      <c r="P94" s="693"/>
      <c r="Q94" s="694"/>
      <c r="R94" s="509"/>
      <c r="S94" s="509"/>
      <c r="T94" s="509"/>
    </row>
    <row r="95" spans="1:20" s="22" customFormat="1" ht="12.75" customHeight="1" thickBot="1">
      <c r="A95" s="196"/>
      <c r="B95" s="197"/>
      <c r="C95" s="199"/>
      <c r="D95" s="917"/>
      <c r="E95" s="198"/>
      <c r="F95" s="332"/>
      <c r="G95" s="332"/>
      <c r="H95" s="332"/>
      <c r="I95" s="333"/>
      <c r="J95" s="334"/>
      <c r="K95" s="693"/>
      <c r="L95" s="693"/>
      <c r="M95" s="693"/>
      <c r="N95" s="693"/>
      <c r="O95" s="693"/>
      <c r="P95" s="693"/>
      <c r="Q95" s="694"/>
      <c r="R95" s="509"/>
      <c r="S95" s="509"/>
      <c r="T95" s="509"/>
    </row>
    <row r="96" spans="1:20" ht="16.5" customHeight="1" thickBot="1">
      <c r="A96" s="266" t="s">
        <v>2338</v>
      </c>
      <c r="B96" s="175" t="s">
        <v>2339</v>
      </c>
      <c r="C96" s="176" t="s">
        <v>2340</v>
      </c>
      <c r="D96" s="1008"/>
      <c r="E96" s="175"/>
      <c r="F96" s="341"/>
      <c r="G96" s="341"/>
      <c r="H96" s="342">
        <f>SUM(H97:H106)</f>
        <v>0</v>
      </c>
      <c r="I96" s="343"/>
      <c r="J96" s="344">
        <f>SUM(J97:J105)</f>
        <v>16.76792172</v>
      </c>
      <c r="K96" s="670"/>
      <c r="L96" s="670"/>
      <c r="M96" s="670"/>
      <c r="N96" s="670"/>
      <c r="O96" s="670"/>
      <c r="P96" s="670"/>
      <c r="Q96" s="670"/>
      <c r="R96" s="670"/>
      <c r="S96" s="670"/>
      <c r="T96" s="670"/>
    </row>
    <row r="97" spans="1:20" s="22" customFormat="1" ht="14.25" customHeight="1">
      <c r="A97" s="190"/>
      <c r="B97" s="191"/>
      <c r="C97" s="265"/>
      <c r="D97" s="964"/>
      <c r="E97" s="192"/>
      <c r="F97" s="345"/>
      <c r="G97" s="345"/>
      <c r="H97" s="345"/>
      <c r="I97" s="346"/>
      <c r="J97" s="347"/>
      <c r="K97" s="509"/>
      <c r="L97" s="509"/>
      <c r="M97" s="509"/>
      <c r="N97" s="509"/>
      <c r="O97" s="509"/>
      <c r="P97" s="509"/>
      <c r="Q97" s="704"/>
      <c r="R97" s="509"/>
      <c r="S97" s="509"/>
      <c r="T97" s="509"/>
    </row>
    <row r="98" spans="1:20" s="22" customFormat="1" ht="23.25" customHeight="1">
      <c r="A98" s="196" t="s">
        <v>2341</v>
      </c>
      <c r="B98" s="197" t="s">
        <v>2342</v>
      </c>
      <c r="C98" s="199" t="s">
        <v>2343</v>
      </c>
      <c r="D98" s="917"/>
      <c r="E98" s="198" t="s">
        <v>1748</v>
      </c>
      <c r="F98" s="332">
        <f>(522+76.28+190.02)*1.08</f>
        <v>851.364</v>
      </c>
      <c r="G98" s="332"/>
      <c r="H98" s="332">
        <f aca="true" t="shared" si="8" ref="H98:H106">F98*G98</f>
        <v>0</v>
      </c>
      <c r="I98" s="333">
        <v>0.01838</v>
      </c>
      <c r="J98" s="334">
        <f aca="true" t="shared" si="9" ref="J98:J105">F98*I98</f>
        <v>15.64807032</v>
      </c>
      <c r="K98" s="509"/>
      <c r="L98" s="509"/>
      <c r="M98" s="509"/>
      <c r="N98" s="509"/>
      <c r="O98" s="509"/>
      <c r="P98" s="509"/>
      <c r="Q98" s="509"/>
      <c r="R98" s="509"/>
      <c r="S98" s="509"/>
      <c r="T98" s="509"/>
    </row>
    <row r="99" spans="1:20" s="22" customFormat="1" ht="23.25" customHeight="1">
      <c r="A99" s="196" t="s">
        <v>2344</v>
      </c>
      <c r="B99" s="197" t="s">
        <v>2345</v>
      </c>
      <c r="C99" s="199" t="s">
        <v>2346</v>
      </c>
      <c r="D99" s="917"/>
      <c r="E99" s="198" t="s">
        <v>1748</v>
      </c>
      <c r="F99" s="332">
        <f>F98*1</f>
        <v>851.364</v>
      </c>
      <c r="G99" s="332"/>
      <c r="H99" s="332">
        <f t="shared" si="8"/>
        <v>0</v>
      </c>
      <c r="I99" s="333">
        <v>0.00097</v>
      </c>
      <c r="J99" s="334">
        <f t="shared" si="9"/>
        <v>0.82582308</v>
      </c>
      <c r="K99" s="509"/>
      <c r="L99" s="509"/>
      <c r="M99" s="509"/>
      <c r="N99" s="509"/>
      <c r="O99" s="509"/>
      <c r="P99" s="509"/>
      <c r="Q99" s="509"/>
      <c r="R99" s="509"/>
      <c r="S99" s="509"/>
      <c r="T99" s="509"/>
    </row>
    <row r="100" spans="1:20" s="22" customFormat="1" ht="23.25" customHeight="1">
      <c r="A100" s="196" t="s">
        <v>2347</v>
      </c>
      <c r="B100" s="197" t="s">
        <v>2348</v>
      </c>
      <c r="C100" s="199" t="s">
        <v>2349</v>
      </c>
      <c r="D100" s="917"/>
      <c r="E100" s="198" t="s">
        <v>1748</v>
      </c>
      <c r="F100" s="332">
        <f>F98</f>
        <v>851.364</v>
      </c>
      <c r="G100" s="332"/>
      <c r="H100" s="332">
        <f t="shared" si="8"/>
        <v>0</v>
      </c>
      <c r="I100" s="333">
        <v>0</v>
      </c>
      <c r="J100" s="334">
        <f t="shared" si="9"/>
        <v>0</v>
      </c>
      <c r="K100" s="509"/>
      <c r="L100" s="509"/>
      <c r="M100" s="509"/>
      <c r="N100" s="509"/>
      <c r="O100" s="509"/>
      <c r="P100" s="509"/>
      <c r="Q100" s="509"/>
      <c r="R100" s="509"/>
      <c r="S100" s="509"/>
      <c r="T100" s="509"/>
    </row>
    <row r="101" spans="1:20" s="22" customFormat="1" ht="23.25" customHeight="1">
      <c r="A101" s="196" t="s">
        <v>2350</v>
      </c>
      <c r="B101" s="197" t="s">
        <v>2351</v>
      </c>
      <c r="C101" s="199" t="s">
        <v>2352</v>
      </c>
      <c r="D101" s="917"/>
      <c r="E101" s="198" t="s">
        <v>1748</v>
      </c>
      <c r="F101" s="332">
        <f>F98</f>
        <v>851.364</v>
      </c>
      <c r="G101" s="332"/>
      <c r="H101" s="332">
        <f t="shared" si="8"/>
        <v>0</v>
      </c>
      <c r="I101" s="333">
        <v>0</v>
      </c>
      <c r="J101" s="334">
        <f t="shared" si="9"/>
        <v>0</v>
      </c>
      <c r="K101" s="509"/>
      <c r="L101" s="509"/>
      <c r="M101" s="509"/>
      <c r="N101" s="509"/>
      <c r="O101" s="509"/>
      <c r="P101" s="509"/>
      <c r="Q101" s="509"/>
      <c r="R101" s="509"/>
      <c r="S101" s="509"/>
      <c r="T101" s="509"/>
    </row>
    <row r="102" spans="1:20" s="22" customFormat="1" ht="23.25" customHeight="1">
      <c r="A102" s="196" t="s">
        <v>2353</v>
      </c>
      <c r="B102" s="197" t="s">
        <v>2354</v>
      </c>
      <c r="C102" s="199" t="s">
        <v>2355</v>
      </c>
      <c r="D102" s="917"/>
      <c r="E102" s="198" t="s">
        <v>1748</v>
      </c>
      <c r="F102" s="332">
        <f>F101*1</f>
        <v>851.364</v>
      </c>
      <c r="G102" s="332"/>
      <c r="H102" s="332">
        <f t="shared" si="8"/>
        <v>0</v>
      </c>
      <c r="I102" s="333">
        <v>0</v>
      </c>
      <c r="J102" s="334">
        <f t="shared" si="9"/>
        <v>0</v>
      </c>
      <c r="K102" s="509"/>
      <c r="L102" s="509"/>
      <c r="M102" s="509"/>
      <c r="N102" s="509"/>
      <c r="O102" s="509"/>
      <c r="P102" s="509"/>
      <c r="Q102" s="509"/>
      <c r="R102" s="509"/>
      <c r="S102" s="509"/>
      <c r="T102" s="509"/>
    </row>
    <row r="103" spans="1:20" s="22" customFormat="1" ht="23.25" customHeight="1">
      <c r="A103" s="196" t="s">
        <v>2356</v>
      </c>
      <c r="B103" s="197" t="s">
        <v>2357</v>
      </c>
      <c r="C103" s="199" t="s">
        <v>2358</v>
      </c>
      <c r="D103" s="917"/>
      <c r="E103" s="198" t="s">
        <v>1748</v>
      </c>
      <c r="F103" s="332">
        <f>F101</f>
        <v>851.364</v>
      </c>
      <c r="G103" s="332"/>
      <c r="H103" s="332">
        <f t="shared" si="8"/>
        <v>0</v>
      </c>
      <c r="I103" s="333">
        <v>0</v>
      </c>
      <c r="J103" s="334">
        <f t="shared" si="9"/>
        <v>0</v>
      </c>
      <c r="K103" s="509"/>
      <c r="L103" s="509"/>
      <c r="M103" s="509"/>
      <c r="N103" s="509"/>
      <c r="O103" s="509"/>
      <c r="P103" s="509"/>
      <c r="Q103" s="509"/>
      <c r="R103" s="509"/>
      <c r="S103" s="509"/>
      <c r="T103" s="509"/>
    </row>
    <row r="104" spans="1:20" s="22" customFormat="1" ht="23.25" customHeight="1">
      <c r="A104" s="196" t="s">
        <v>2359</v>
      </c>
      <c r="B104" s="197" t="s">
        <v>2360</v>
      </c>
      <c r="C104" s="199" t="s">
        <v>2361</v>
      </c>
      <c r="D104" s="917"/>
      <c r="E104" s="198" t="s">
        <v>1748</v>
      </c>
      <c r="F104" s="332">
        <f>37.38*1.2</f>
        <v>44.856</v>
      </c>
      <c r="G104" s="332"/>
      <c r="H104" s="332">
        <f t="shared" si="8"/>
        <v>0</v>
      </c>
      <c r="I104" s="333">
        <v>0.00592</v>
      </c>
      <c r="J104" s="334">
        <f t="shared" si="9"/>
        <v>0.26554752</v>
      </c>
      <c r="K104" s="509"/>
      <c r="L104" s="509"/>
      <c r="M104" s="509"/>
      <c r="N104" s="509"/>
      <c r="O104" s="509"/>
      <c r="P104" s="509"/>
      <c r="Q104" s="509"/>
      <c r="R104" s="509"/>
      <c r="S104" s="509"/>
      <c r="T104" s="509"/>
    </row>
    <row r="105" spans="1:20" s="22" customFormat="1" ht="23.25" customHeight="1">
      <c r="A105" s="196" t="s">
        <v>2362</v>
      </c>
      <c r="B105" s="197" t="s">
        <v>2363</v>
      </c>
      <c r="C105" s="199" t="s">
        <v>2364</v>
      </c>
      <c r="D105" s="917"/>
      <c r="E105" s="198" t="s">
        <v>1748</v>
      </c>
      <c r="F105" s="332">
        <f>(522+190.02)</f>
        <v>712.02</v>
      </c>
      <c r="G105" s="332"/>
      <c r="H105" s="332">
        <f t="shared" si="8"/>
        <v>0</v>
      </c>
      <c r="I105" s="333">
        <v>4E-05</v>
      </c>
      <c r="J105" s="334">
        <f t="shared" si="9"/>
        <v>0.0284808</v>
      </c>
      <c r="K105" s="509"/>
      <c r="L105" s="509"/>
      <c r="M105" s="509"/>
      <c r="N105" s="509"/>
      <c r="O105" s="509"/>
      <c r="P105" s="509"/>
      <c r="Q105" s="509"/>
      <c r="R105" s="509"/>
      <c r="S105" s="509"/>
      <c r="T105" s="509"/>
    </row>
    <row r="106" spans="1:20" s="22" customFormat="1" ht="23.25" customHeight="1" thickBot="1">
      <c r="A106" s="255" t="s">
        <v>2365</v>
      </c>
      <c r="B106" s="256" t="s">
        <v>2366</v>
      </c>
      <c r="C106" s="264" t="s">
        <v>2367</v>
      </c>
      <c r="D106" s="968"/>
      <c r="E106" s="257" t="s">
        <v>1783</v>
      </c>
      <c r="F106" s="1120">
        <f>J96+J90+J58+J55+J34+J28+J26+J24+J22+J20+J18</f>
        <v>78.640404896</v>
      </c>
      <c r="G106" s="368"/>
      <c r="H106" s="368">
        <f t="shared" si="8"/>
        <v>0</v>
      </c>
      <c r="I106" s="369">
        <v>0</v>
      </c>
      <c r="J106" s="370"/>
      <c r="K106" s="509"/>
      <c r="L106" s="509"/>
      <c r="M106" s="509"/>
      <c r="N106" s="509"/>
      <c r="O106" s="509"/>
      <c r="P106" s="509"/>
      <c r="Q106" s="704"/>
      <c r="R106" s="509"/>
      <c r="S106" s="509"/>
      <c r="T106" s="509"/>
    </row>
    <row r="107" spans="1:20" ht="16.5" customHeight="1" thickBot="1">
      <c r="A107" s="266" t="s">
        <v>2368</v>
      </c>
      <c r="B107" s="175" t="s">
        <v>2369</v>
      </c>
      <c r="C107" s="176" t="s">
        <v>2370</v>
      </c>
      <c r="D107" s="1008"/>
      <c r="E107" s="175"/>
      <c r="F107" s="341"/>
      <c r="G107" s="341"/>
      <c r="H107" s="1011">
        <f>SUM(H108:H149)</f>
        <v>0</v>
      </c>
      <c r="I107" s="343"/>
      <c r="J107" s="344">
        <f>SUM(J108:J139)</f>
        <v>126.76848699999998</v>
      </c>
      <c r="K107" s="670"/>
      <c r="L107" s="670"/>
      <c r="M107" s="670"/>
      <c r="N107" s="670"/>
      <c r="O107" s="670"/>
      <c r="P107" s="670"/>
      <c r="Q107" s="670"/>
      <c r="R107" s="670"/>
      <c r="S107" s="670"/>
      <c r="T107" s="670"/>
    </row>
    <row r="108" spans="1:20" s="22" customFormat="1" ht="21.75" customHeight="1">
      <c r="A108" s="190" t="s">
        <v>2371</v>
      </c>
      <c r="B108" s="191" t="s">
        <v>2387</v>
      </c>
      <c r="C108" s="265" t="s">
        <v>2388</v>
      </c>
      <c r="D108" s="917" t="s">
        <v>2805</v>
      </c>
      <c r="E108" s="192" t="s">
        <v>1748</v>
      </c>
      <c r="F108" s="345">
        <v>522</v>
      </c>
      <c r="G108" s="345"/>
      <c r="H108" s="345">
        <f aca="true" t="shared" si="10" ref="H108:H148">F108*G108</f>
        <v>0</v>
      </c>
      <c r="I108" s="346">
        <v>0.023</v>
      </c>
      <c r="J108" s="347">
        <f aca="true" t="shared" si="11" ref="J108:J139">F108*I108</f>
        <v>12.006</v>
      </c>
      <c r="K108" s="509"/>
      <c r="L108" s="509"/>
      <c r="M108" s="509"/>
      <c r="N108" s="509"/>
      <c r="O108" s="509"/>
      <c r="P108" s="509"/>
      <c r="Q108" s="704"/>
      <c r="R108" s="509"/>
      <c r="S108" s="509"/>
      <c r="T108" s="509"/>
    </row>
    <row r="109" spans="1:20" s="22" customFormat="1" ht="21.75" customHeight="1">
      <c r="A109" s="196" t="s">
        <v>2374</v>
      </c>
      <c r="B109" s="197" t="s">
        <v>2394</v>
      </c>
      <c r="C109" s="199" t="s">
        <v>2395</v>
      </c>
      <c r="D109" s="917" t="s">
        <v>2799</v>
      </c>
      <c r="E109" s="198" t="s">
        <v>1709</v>
      </c>
      <c r="F109" s="332">
        <f>4*2*0.15</f>
        <v>1.2</v>
      </c>
      <c r="G109" s="332"/>
      <c r="H109" s="332">
        <f t="shared" si="10"/>
        <v>0</v>
      </c>
      <c r="I109" s="333">
        <v>2.4</v>
      </c>
      <c r="J109" s="334">
        <f t="shared" si="11"/>
        <v>2.88</v>
      </c>
      <c r="K109" s="509"/>
      <c r="L109" s="509"/>
      <c r="M109" s="509"/>
      <c r="N109" s="509"/>
      <c r="O109" s="509"/>
      <c r="P109" s="509"/>
      <c r="Q109" s="704"/>
      <c r="R109" s="509"/>
      <c r="S109" s="509"/>
      <c r="T109" s="509"/>
    </row>
    <row r="110" spans="1:20" s="586" customFormat="1" ht="21.75" customHeight="1">
      <c r="A110" s="591" t="s">
        <v>1242</v>
      </c>
      <c r="B110" s="592" t="s">
        <v>2398</v>
      </c>
      <c r="C110" s="705" t="s">
        <v>1243</v>
      </c>
      <c r="D110" s="997" t="s">
        <v>2802</v>
      </c>
      <c r="E110" s="706" t="s">
        <v>1748</v>
      </c>
      <c r="F110" s="594">
        <f>E111</f>
        <v>127.6</v>
      </c>
      <c r="G110" s="594"/>
      <c r="H110" s="594">
        <f>F110*G110</f>
        <v>0</v>
      </c>
      <c r="I110" s="595">
        <v>0</v>
      </c>
      <c r="J110" s="596">
        <f>F110*I110</f>
        <v>0</v>
      </c>
      <c r="K110" s="707"/>
      <c r="L110" s="707"/>
      <c r="M110" s="707"/>
      <c r="N110" s="707"/>
      <c r="O110" s="707"/>
      <c r="P110" s="707"/>
      <c r="Q110" s="707"/>
      <c r="R110" s="707"/>
      <c r="S110" s="707"/>
      <c r="T110" s="707"/>
    </row>
    <row r="111" spans="1:20" s="586" customFormat="1" ht="15.75" customHeight="1">
      <c r="A111" s="591"/>
      <c r="B111" s="592"/>
      <c r="C111" s="599" t="s">
        <v>1244</v>
      </c>
      <c r="D111" s="997"/>
      <c r="E111" s="600">
        <v>127.6</v>
      </c>
      <c r="F111" s="594"/>
      <c r="G111" s="594"/>
      <c r="H111" s="594"/>
      <c r="I111" s="595"/>
      <c r="J111" s="596"/>
      <c r="K111" s="707"/>
      <c r="L111" s="707"/>
      <c r="M111" s="707"/>
      <c r="N111" s="707"/>
      <c r="O111" s="707"/>
      <c r="P111" s="707"/>
      <c r="Q111" s="707"/>
      <c r="R111" s="707"/>
      <c r="S111" s="707"/>
      <c r="T111" s="707"/>
    </row>
    <row r="112" spans="1:20" s="22" customFormat="1" ht="12" customHeight="1">
      <c r="A112" s="196"/>
      <c r="B112" s="197"/>
      <c r="C112" s="199"/>
      <c r="D112" s="917"/>
      <c r="E112" s="198"/>
      <c r="F112" s="332"/>
      <c r="G112" s="332"/>
      <c r="H112" s="332"/>
      <c r="I112" s="333"/>
      <c r="J112" s="334"/>
      <c r="K112" s="693"/>
      <c r="L112" s="693"/>
      <c r="M112" s="693"/>
      <c r="N112" s="693"/>
      <c r="O112" s="693"/>
      <c r="P112" s="693"/>
      <c r="Q112" s="694"/>
      <c r="R112" s="509"/>
      <c r="S112" s="509"/>
      <c r="T112" s="509"/>
    </row>
    <row r="113" spans="1:20" s="22" customFormat="1" ht="21.75" customHeight="1">
      <c r="A113" s="196" t="s">
        <v>2379</v>
      </c>
      <c r="B113" s="197" t="s">
        <v>2415</v>
      </c>
      <c r="C113" s="199" t="s">
        <v>2416</v>
      </c>
      <c r="D113" s="917" t="s">
        <v>2802</v>
      </c>
      <c r="E113" s="198" t="s">
        <v>1831</v>
      </c>
      <c r="F113" s="332">
        <f>E114</f>
        <v>57</v>
      </c>
      <c r="G113" s="332"/>
      <c r="H113" s="332">
        <f t="shared" si="10"/>
        <v>0</v>
      </c>
      <c r="I113" s="333">
        <v>0</v>
      </c>
      <c r="J113" s="334">
        <f t="shared" si="11"/>
        <v>0</v>
      </c>
      <c r="K113" s="693"/>
      <c r="L113" s="693"/>
      <c r="M113" s="693"/>
      <c r="N113" s="693"/>
      <c r="O113" s="693"/>
      <c r="P113" s="693"/>
      <c r="Q113" s="694"/>
      <c r="R113" s="509"/>
      <c r="S113" s="509"/>
      <c r="T113" s="509"/>
    </row>
    <row r="114" spans="1:20" s="130" customFormat="1" ht="22.5" customHeight="1">
      <c r="A114" s="204"/>
      <c r="B114" s="205"/>
      <c r="C114" s="206" t="s">
        <v>1245</v>
      </c>
      <c r="D114" s="916"/>
      <c r="E114" s="207">
        <f>7+2+4+8+12+4+2+18</f>
        <v>57</v>
      </c>
      <c r="F114" s="335"/>
      <c r="G114" s="335"/>
      <c r="H114" s="335"/>
      <c r="I114" s="336"/>
      <c r="J114" s="337"/>
      <c r="K114" s="672"/>
      <c r="L114" s="672"/>
      <c r="M114" s="672"/>
      <c r="N114" s="672"/>
      <c r="O114" s="672"/>
      <c r="P114" s="672"/>
      <c r="Q114" s="673"/>
      <c r="R114" s="508"/>
      <c r="S114" s="508"/>
      <c r="T114" s="508"/>
    </row>
    <row r="115" spans="1:20" s="22" customFormat="1" ht="21.75" customHeight="1">
      <c r="A115" s="196" t="s">
        <v>2383</v>
      </c>
      <c r="B115" s="197" t="s">
        <v>2419</v>
      </c>
      <c r="C115" s="199" t="s">
        <v>2420</v>
      </c>
      <c r="D115" s="917" t="s">
        <v>2805</v>
      </c>
      <c r="E115" s="198" t="s">
        <v>1748</v>
      </c>
      <c r="F115" s="332">
        <f>E116</f>
        <v>16.55</v>
      </c>
      <c r="G115" s="332"/>
      <c r="H115" s="332">
        <f t="shared" si="10"/>
        <v>0</v>
      </c>
      <c r="I115" s="333">
        <v>0.031</v>
      </c>
      <c r="J115" s="334">
        <f t="shared" si="11"/>
        <v>0.51305</v>
      </c>
      <c r="K115" s="693"/>
      <c r="L115" s="693"/>
      <c r="M115" s="693"/>
      <c r="N115" s="693"/>
      <c r="O115" s="693"/>
      <c r="P115" s="693"/>
      <c r="Q115" s="694"/>
      <c r="R115" s="509"/>
      <c r="S115" s="509"/>
      <c r="T115" s="509"/>
    </row>
    <row r="116" spans="1:20" s="130" customFormat="1" ht="22.5" customHeight="1">
      <c r="A116" s="204"/>
      <c r="B116" s="205"/>
      <c r="C116" s="206" t="s">
        <v>1246</v>
      </c>
      <c r="D116" s="916"/>
      <c r="E116" s="207">
        <f>2.51+8.1+3.24+2.7</f>
        <v>16.55</v>
      </c>
      <c r="F116" s="335"/>
      <c r="G116" s="335"/>
      <c r="H116" s="335"/>
      <c r="I116" s="336"/>
      <c r="J116" s="337"/>
      <c r="K116" s="672"/>
      <c r="L116" s="672"/>
      <c r="M116" s="672"/>
      <c r="N116" s="672"/>
      <c r="O116" s="672"/>
      <c r="P116" s="672"/>
      <c r="Q116" s="673"/>
      <c r="R116" s="508"/>
      <c r="S116" s="508"/>
      <c r="T116" s="508"/>
    </row>
    <row r="117" spans="1:20" s="22" customFormat="1" ht="21.75" customHeight="1">
      <c r="A117" s="196" t="s">
        <v>2386</v>
      </c>
      <c r="B117" s="197" t="s">
        <v>2423</v>
      </c>
      <c r="C117" s="199" t="s">
        <v>2424</v>
      </c>
      <c r="D117" s="917" t="s">
        <v>2805</v>
      </c>
      <c r="E117" s="198" t="s">
        <v>1748</v>
      </c>
      <c r="F117" s="332">
        <f>E118</f>
        <v>33.48</v>
      </c>
      <c r="G117" s="332"/>
      <c r="H117" s="332">
        <f>F117*G117</f>
        <v>0</v>
      </c>
      <c r="I117" s="333">
        <v>0.027</v>
      </c>
      <c r="J117" s="334">
        <f t="shared" si="11"/>
        <v>0.9039599999999999</v>
      </c>
      <c r="K117" s="693"/>
      <c r="L117" s="693"/>
      <c r="M117" s="693"/>
      <c r="N117" s="693"/>
      <c r="O117" s="693"/>
      <c r="P117" s="693"/>
      <c r="Q117" s="694"/>
      <c r="R117" s="509"/>
      <c r="S117" s="509"/>
      <c r="T117" s="509"/>
    </row>
    <row r="118" spans="1:20" s="130" customFormat="1" ht="22.5" customHeight="1">
      <c r="A118" s="204"/>
      <c r="B118" s="205"/>
      <c r="C118" s="206" t="s">
        <v>1247</v>
      </c>
      <c r="D118" s="916"/>
      <c r="E118" s="207">
        <f>14.58+18.9</f>
        <v>33.48</v>
      </c>
      <c r="F118" s="335"/>
      <c r="G118" s="335"/>
      <c r="H118" s="335"/>
      <c r="I118" s="336"/>
      <c r="J118" s="337"/>
      <c r="K118" s="672"/>
      <c r="L118" s="672"/>
      <c r="M118" s="672"/>
      <c r="N118" s="672"/>
      <c r="O118" s="672"/>
      <c r="P118" s="672"/>
      <c r="Q118" s="673"/>
      <c r="R118" s="508"/>
      <c r="S118" s="508"/>
      <c r="T118" s="508"/>
    </row>
    <row r="119" spans="1:20" s="22" customFormat="1" ht="10.5" customHeight="1">
      <c r="A119" s="196"/>
      <c r="B119" s="197"/>
      <c r="C119" s="199"/>
      <c r="D119" s="917"/>
      <c r="E119" s="198"/>
      <c r="F119" s="332"/>
      <c r="G119" s="332"/>
      <c r="H119" s="332"/>
      <c r="I119" s="333"/>
      <c r="J119" s="334"/>
      <c r="K119" s="693"/>
      <c r="L119" s="693"/>
      <c r="M119" s="693"/>
      <c r="N119" s="693"/>
      <c r="O119" s="693"/>
      <c r="P119" s="693"/>
      <c r="Q119" s="694"/>
      <c r="R119" s="509"/>
      <c r="S119" s="509"/>
      <c r="T119" s="509"/>
    </row>
    <row r="120" spans="1:20" s="22" customFormat="1" ht="21.75" customHeight="1">
      <c r="A120" s="196" t="s">
        <v>2389</v>
      </c>
      <c r="B120" s="197" t="s">
        <v>2439</v>
      </c>
      <c r="C120" s="199" t="s">
        <v>2440</v>
      </c>
      <c r="D120" s="917" t="s">
        <v>2805</v>
      </c>
      <c r="E120" s="198" t="s">
        <v>1718</v>
      </c>
      <c r="F120" s="332">
        <v>10</v>
      </c>
      <c r="G120" s="332"/>
      <c r="H120" s="332">
        <f>F120*G120</f>
        <v>0</v>
      </c>
      <c r="I120" s="333">
        <v>0</v>
      </c>
      <c r="J120" s="334">
        <f>F120*I120</f>
        <v>0</v>
      </c>
      <c r="K120" s="693"/>
      <c r="L120" s="693"/>
      <c r="M120" s="693"/>
      <c r="N120" s="693"/>
      <c r="O120" s="693"/>
      <c r="P120" s="693"/>
      <c r="Q120" s="694"/>
      <c r="R120" s="509"/>
      <c r="S120" s="509"/>
      <c r="T120" s="509"/>
    </row>
    <row r="121" spans="1:20" s="22" customFormat="1" ht="21.75" customHeight="1">
      <c r="A121" s="196" t="s">
        <v>2393</v>
      </c>
      <c r="B121" s="197" t="s">
        <v>2442</v>
      </c>
      <c r="C121" s="199" t="s">
        <v>2443</v>
      </c>
      <c r="D121" s="917" t="s">
        <v>2805</v>
      </c>
      <c r="E121" s="198" t="s">
        <v>1748</v>
      </c>
      <c r="F121" s="332">
        <f>E122</f>
        <v>3.67</v>
      </c>
      <c r="G121" s="332"/>
      <c r="H121" s="332">
        <f>F121*G121</f>
        <v>0</v>
      </c>
      <c r="I121" s="333">
        <v>0.088</v>
      </c>
      <c r="J121" s="334">
        <f>F121*I121</f>
        <v>0.32295999999999997</v>
      </c>
      <c r="K121" s="693"/>
      <c r="L121" s="693"/>
      <c r="M121" s="693"/>
      <c r="N121" s="693"/>
      <c r="O121" s="693"/>
      <c r="P121" s="693"/>
      <c r="Q121" s="694"/>
      <c r="R121" s="509"/>
      <c r="S121" s="509"/>
      <c r="T121" s="509"/>
    </row>
    <row r="122" spans="1:20" s="130" customFormat="1" ht="22.5" customHeight="1">
      <c r="A122" s="204"/>
      <c r="B122" s="205"/>
      <c r="C122" s="206" t="s">
        <v>1248</v>
      </c>
      <c r="D122" s="916"/>
      <c r="E122" s="207">
        <v>3.67</v>
      </c>
      <c r="F122" s="335"/>
      <c r="G122" s="335"/>
      <c r="H122" s="335"/>
      <c r="I122" s="336"/>
      <c r="J122" s="337"/>
      <c r="K122" s="672"/>
      <c r="L122" s="672"/>
      <c r="M122" s="672"/>
      <c r="N122" s="672"/>
      <c r="O122" s="672"/>
      <c r="P122" s="672"/>
      <c r="Q122" s="673"/>
      <c r="R122" s="508"/>
      <c r="S122" s="508"/>
      <c r="T122" s="508"/>
    </row>
    <row r="123" spans="1:20" s="22" customFormat="1" ht="21.75" customHeight="1">
      <c r="A123" s="196" t="s">
        <v>2397</v>
      </c>
      <c r="B123" s="197" t="s">
        <v>2445</v>
      </c>
      <c r="C123" s="199" t="s">
        <v>2446</v>
      </c>
      <c r="D123" s="917" t="s">
        <v>2805</v>
      </c>
      <c r="E123" s="198" t="s">
        <v>1748</v>
      </c>
      <c r="F123" s="332">
        <f>E124</f>
        <v>13.76</v>
      </c>
      <c r="G123" s="332"/>
      <c r="H123" s="332">
        <f>F123*G123</f>
        <v>0</v>
      </c>
      <c r="I123" s="333">
        <v>0.067</v>
      </c>
      <c r="J123" s="334">
        <f>F123*I123</f>
        <v>0.9219200000000001</v>
      </c>
      <c r="K123" s="693"/>
      <c r="L123" s="693"/>
      <c r="M123" s="693"/>
      <c r="N123" s="693"/>
      <c r="O123" s="693"/>
      <c r="P123" s="693"/>
      <c r="Q123" s="694"/>
      <c r="R123" s="509"/>
      <c r="S123" s="509"/>
      <c r="T123" s="509"/>
    </row>
    <row r="124" spans="1:20" s="130" customFormat="1" ht="22.5" customHeight="1">
      <c r="A124" s="204"/>
      <c r="B124" s="205"/>
      <c r="C124" s="206" t="s">
        <v>1249</v>
      </c>
      <c r="D124" s="916"/>
      <c r="E124" s="207">
        <v>13.76</v>
      </c>
      <c r="F124" s="335"/>
      <c r="G124" s="335"/>
      <c r="H124" s="335"/>
      <c r="I124" s="336"/>
      <c r="J124" s="337"/>
      <c r="K124" s="672"/>
      <c r="L124" s="672"/>
      <c r="M124" s="672"/>
      <c r="N124" s="672"/>
      <c r="O124" s="672"/>
      <c r="P124" s="672"/>
      <c r="Q124" s="673"/>
      <c r="R124" s="508"/>
      <c r="S124" s="508"/>
      <c r="T124" s="508"/>
    </row>
    <row r="125" spans="1:20" s="22" customFormat="1" ht="10.5" customHeight="1">
      <c r="A125" s="196"/>
      <c r="B125" s="197"/>
      <c r="C125" s="199"/>
      <c r="D125" s="917"/>
      <c r="E125" s="198"/>
      <c r="F125" s="332"/>
      <c r="G125" s="332"/>
      <c r="H125" s="332"/>
      <c r="I125" s="333"/>
      <c r="J125" s="334"/>
      <c r="K125" s="693"/>
      <c r="L125" s="693"/>
      <c r="M125" s="693"/>
      <c r="N125" s="693"/>
      <c r="O125" s="693"/>
      <c r="P125" s="693"/>
      <c r="Q125" s="694"/>
      <c r="R125" s="509"/>
      <c r="S125" s="509"/>
      <c r="T125" s="509"/>
    </row>
    <row r="126" spans="1:20" s="22" customFormat="1" ht="31.5" customHeight="1">
      <c r="A126" s="196" t="s">
        <v>2401</v>
      </c>
      <c r="B126" s="197" t="s">
        <v>2449</v>
      </c>
      <c r="C126" s="199" t="s">
        <v>2450</v>
      </c>
      <c r="D126" s="917" t="s">
        <v>2805</v>
      </c>
      <c r="E126" s="198" t="s">
        <v>1748</v>
      </c>
      <c r="F126" s="332">
        <f>E127</f>
        <v>2.4299999999999997</v>
      </c>
      <c r="G126" s="332"/>
      <c r="H126" s="332">
        <f>F126*G126</f>
        <v>0</v>
      </c>
      <c r="I126" s="333">
        <v>0.065</v>
      </c>
      <c r="J126" s="334">
        <f>F126*I126</f>
        <v>0.15794999999999998</v>
      </c>
      <c r="K126" s="693"/>
      <c r="L126" s="693"/>
      <c r="M126" s="693"/>
      <c r="N126" s="693"/>
      <c r="O126" s="693"/>
      <c r="P126" s="693"/>
      <c r="Q126" s="694"/>
      <c r="R126" s="509"/>
      <c r="S126" s="509"/>
      <c r="T126" s="509"/>
    </row>
    <row r="127" spans="1:20" s="130" customFormat="1" ht="15.75" customHeight="1">
      <c r="A127" s="204"/>
      <c r="B127" s="205"/>
      <c r="C127" s="206" t="s">
        <v>1250</v>
      </c>
      <c r="D127" s="916"/>
      <c r="E127" s="207">
        <f>1.89+0.54</f>
        <v>2.4299999999999997</v>
      </c>
      <c r="F127" s="335"/>
      <c r="G127" s="335"/>
      <c r="H127" s="335"/>
      <c r="I127" s="336"/>
      <c r="J127" s="337"/>
      <c r="K127" s="672"/>
      <c r="L127" s="672"/>
      <c r="M127" s="672"/>
      <c r="N127" s="672"/>
      <c r="O127" s="672"/>
      <c r="P127" s="672"/>
      <c r="Q127" s="673"/>
      <c r="R127" s="508"/>
      <c r="S127" s="508"/>
      <c r="T127" s="508"/>
    </row>
    <row r="128" spans="1:20" s="22" customFormat="1" ht="21.75" customHeight="1">
      <c r="A128" s="196" t="s">
        <v>2405</v>
      </c>
      <c r="B128" s="197" t="s">
        <v>2456</v>
      </c>
      <c r="C128" s="199" t="s">
        <v>778</v>
      </c>
      <c r="D128" s="917" t="s">
        <v>2803</v>
      </c>
      <c r="E128" s="198" t="s">
        <v>1709</v>
      </c>
      <c r="F128" s="332">
        <f>596.5*0.1</f>
        <v>59.650000000000006</v>
      </c>
      <c r="G128" s="332"/>
      <c r="H128" s="332">
        <f t="shared" si="10"/>
        <v>0</v>
      </c>
      <c r="I128" s="333">
        <v>1.6</v>
      </c>
      <c r="J128" s="334">
        <f t="shared" si="11"/>
        <v>95.44000000000001</v>
      </c>
      <c r="K128" s="509"/>
      <c r="L128" s="509"/>
      <c r="M128" s="509"/>
      <c r="N128" s="509"/>
      <c r="O128" s="509"/>
      <c r="P128" s="509"/>
      <c r="Q128" s="704"/>
      <c r="R128" s="509"/>
      <c r="S128" s="509"/>
      <c r="T128" s="509"/>
    </row>
    <row r="129" spans="1:20" s="22" customFormat="1" ht="21.75" customHeight="1">
      <c r="A129" s="196" t="s">
        <v>2409</v>
      </c>
      <c r="B129" s="197" t="s">
        <v>2466</v>
      </c>
      <c r="C129" s="199" t="s">
        <v>2467</v>
      </c>
      <c r="D129" s="917" t="s">
        <v>2803</v>
      </c>
      <c r="E129" s="198" t="s">
        <v>1709</v>
      </c>
      <c r="F129" s="332">
        <v>1.35</v>
      </c>
      <c r="G129" s="332"/>
      <c r="H129" s="332">
        <f t="shared" si="10"/>
        <v>0</v>
      </c>
      <c r="I129" s="333">
        <v>1.671</v>
      </c>
      <c r="J129" s="334">
        <f t="shared" si="11"/>
        <v>2.25585</v>
      </c>
      <c r="K129" s="509"/>
      <c r="L129" s="509"/>
      <c r="M129" s="509"/>
      <c r="N129" s="509"/>
      <c r="O129" s="509"/>
      <c r="P129" s="509"/>
      <c r="Q129" s="704"/>
      <c r="R129" s="509"/>
      <c r="S129" s="509"/>
      <c r="T129" s="509"/>
    </row>
    <row r="130" spans="1:20" s="22" customFormat="1" ht="21.75" customHeight="1">
      <c r="A130" s="196" t="s">
        <v>2412</v>
      </c>
      <c r="B130" s="197" t="s">
        <v>2469</v>
      </c>
      <c r="C130" s="199" t="s">
        <v>2470</v>
      </c>
      <c r="D130" s="917" t="s">
        <v>2803</v>
      </c>
      <c r="E130" s="198" t="s">
        <v>1748</v>
      </c>
      <c r="F130" s="332">
        <v>596.5</v>
      </c>
      <c r="G130" s="332"/>
      <c r="H130" s="332">
        <f t="shared" si="10"/>
        <v>0</v>
      </c>
      <c r="I130" s="333">
        <v>0.014</v>
      </c>
      <c r="J130" s="334">
        <f t="shared" si="11"/>
        <v>8.351</v>
      </c>
      <c r="K130" s="509"/>
      <c r="L130" s="509"/>
      <c r="M130" s="509"/>
      <c r="N130" s="509"/>
      <c r="O130" s="509"/>
      <c r="P130" s="509"/>
      <c r="Q130" s="704"/>
      <c r="R130" s="509"/>
      <c r="S130" s="509"/>
      <c r="T130" s="509"/>
    </row>
    <row r="131" spans="1:20" s="22" customFormat="1" ht="21.75" customHeight="1">
      <c r="A131" s="196" t="s">
        <v>2414</v>
      </c>
      <c r="B131" s="197" t="s">
        <v>975</v>
      </c>
      <c r="C131" s="199" t="s">
        <v>976</v>
      </c>
      <c r="D131" s="917" t="s">
        <v>2802</v>
      </c>
      <c r="E131" s="198" t="s">
        <v>1826</v>
      </c>
      <c r="F131" s="332">
        <v>49.4</v>
      </c>
      <c r="G131" s="332"/>
      <c r="H131" s="332">
        <f t="shared" si="10"/>
        <v>0</v>
      </c>
      <c r="I131" s="333">
        <v>0.037</v>
      </c>
      <c r="J131" s="334">
        <f t="shared" si="11"/>
        <v>1.8277999999999999</v>
      </c>
      <c r="K131" s="509"/>
      <c r="L131" s="509"/>
      <c r="M131" s="509"/>
      <c r="N131" s="509"/>
      <c r="O131" s="509"/>
      <c r="P131" s="509"/>
      <c r="Q131" s="704"/>
      <c r="R131" s="509"/>
      <c r="S131" s="509"/>
      <c r="T131" s="509"/>
    </row>
    <row r="132" spans="1:20" s="22" customFormat="1" ht="21.75" customHeight="1">
      <c r="A132" s="196" t="s">
        <v>2418</v>
      </c>
      <c r="B132" s="197" t="s">
        <v>2483</v>
      </c>
      <c r="C132" s="199" t="s">
        <v>2484</v>
      </c>
      <c r="D132" s="917" t="s">
        <v>2802</v>
      </c>
      <c r="E132" s="198" t="s">
        <v>1831</v>
      </c>
      <c r="F132" s="332">
        <v>2</v>
      </c>
      <c r="G132" s="332"/>
      <c r="H132" s="332">
        <f t="shared" si="10"/>
        <v>0</v>
      </c>
      <c r="I132" s="333">
        <v>0.037</v>
      </c>
      <c r="J132" s="334">
        <f t="shared" si="11"/>
        <v>0.074</v>
      </c>
      <c r="K132" s="509"/>
      <c r="L132" s="509"/>
      <c r="M132" s="509"/>
      <c r="N132" s="509"/>
      <c r="O132" s="509"/>
      <c r="P132" s="509"/>
      <c r="Q132" s="704"/>
      <c r="R132" s="509"/>
      <c r="S132" s="509"/>
      <c r="T132" s="509"/>
    </row>
    <row r="133" spans="1:20" s="22" customFormat="1" ht="21.75" customHeight="1">
      <c r="A133" s="196" t="s">
        <v>2422</v>
      </c>
      <c r="B133" s="197" t="s">
        <v>2490</v>
      </c>
      <c r="C133" s="199" t="s">
        <v>2491</v>
      </c>
      <c r="D133" s="917" t="s">
        <v>2805</v>
      </c>
      <c r="E133" s="198" t="s">
        <v>1826</v>
      </c>
      <c r="F133" s="332">
        <v>47.5</v>
      </c>
      <c r="G133" s="332"/>
      <c r="H133" s="332">
        <f t="shared" si="10"/>
        <v>0</v>
      </c>
      <c r="I133" s="333">
        <v>0.00135</v>
      </c>
      <c r="J133" s="334">
        <f t="shared" si="11"/>
        <v>0.064125</v>
      </c>
      <c r="K133" s="509"/>
      <c r="L133" s="509"/>
      <c r="M133" s="509"/>
      <c r="N133" s="509"/>
      <c r="O133" s="509"/>
      <c r="P133" s="509"/>
      <c r="Q133" s="704"/>
      <c r="R133" s="509"/>
      <c r="S133" s="509"/>
      <c r="T133" s="509"/>
    </row>
    <row r="134" spans="1:20" s="22" customFormat="1" ht="21.75" customHeight="1">
      <c r="A134" s="196" t="s">
        <v>2426</v>
      </c>
      <c r="B134" s="197" t="s">
        <v>2493</v>
      </c>
      <c r="C134" s="199" t="s">
        <v>2494</v>
      </c>
      <c r="D134" s="917" t="s">
        <v>2805</v>
      </c>
      <c r="E134" s="198" t="s">
        <v>1826</v>
      </c>
      <c r="F134" s="332">
        <v>47.5</v>
      </c>
      <c r="G134" s="332"/>
      <c r="H134" s="332">
        <f t="shared" si="10"/>
        <v>0</v>
      </c>
      <c r="I134" s="333">
        <v>0.00175</v>
      </c>
      <c r="J134" s="334">
        <f t="shared" si="11"/>
        <v>0.083125</v>
      </c>
      <c r="K134" s="509"/>
      <c r="L134" s="509"/>
      <c r="M134" s="509"/>
      <c r="N134" s="509"/>
      <c r="O134" s="509"/>
      <c r="P134" s="509"/>
      <c r="Q134" s="704"/>
      <c r="R134" s="509"/>
      <c r="S134" s="509"/>
      <c r="T134" s="509"/>
    </row>
    <row r="135" spans="1:20" s="22" customFormat="1" ht="21.75" customHeight="1">
      <c r="A135" s="196" t="s">
        <v>2430</v>
      </c>
      <c r="B135" s="197" t="s">
        <v>2499</v>
      </c>
      <c r="C135" s="199" t="s">
        <v>2500</v>
      </c>
      <c r="D135" s="917" t="s">
        <v>2805</v>
      </c>
      <c r="E135" s="198" t="s">
        <v>1826</v>
      </c>
      <c r="F135" s="332">
        <f>128+8.2</f>
        <v>136.2</v>
      </c>
      <c r="G135" s="332"/>
      <c r="H135" s="332">
        <f t="shared" si="10"/>
        <v>0</v>
      </c>
      <c r="I135" s="333">
        <v>0.0023</v>
      </c>
      <c r="J135" s="334">
        <f t="shared" si="11"/>
        <v>0.31326</v>
      </c>
      <c r="K135" s="509"/>
      <c r="L135" s="509"/>
      <c r="M135" s="509"/>
      <c r="N135" s="509"/>
      <c r="O135" s="509"/>
      <c r="P135" s="509"/>
      <c r="Q135" s="704"/>
      <c r="R135" s="509"/>
      <c r="S135" s="509"/>
      <c r="T135" s="509"/>
    </row>
    <row r="136" spans="1:20" s="22" customFormat="1" ht="18.75" customHeight="1">
      <c r="A136" s="196" t="s">
        <v>2434</v>
      </c>
      <c r="B136" s="197" t="s">
        <v>453</v>
      </c>
      <c r="C136" s="246" t="s">
        <v>454</v>
      </c>
      <c r="D136" s="917" t="s">
        <v>2805</v>
      </c>
      <c r="E136" s="198" t="s">
        <v>1826</v>
      </c>
      <c r="F136" s="332">
        <v>35</v>
      </c>
      <c r="G136" s="332"/>
      <c r="H136" s="332">
        <f t="shared" si="10"/>
        <v>0</v>
      </c>
      <c r="I136" s="333">
        <v>0.00315</v>
      </c>
      <c r="J136" s="334">
        <f t="shared" si="11"/>
        <v>0.11025</v>
      </c>
      <c r="K136" s="509"/>
      <c r="L136" s="509"/>
      <c r="M136" s="509"/>
      <c r="N136" s="509"/>
      <c r="O136" s="509"/>
      <c r="P136" s="509"/>
      <c r="Q136" s="509"/>
      <c r="R136" s="509"/>
      <c r="S136" s="509"/>
      <c r="T136" s="509"/>
    </row>
    <row r="137" spans="1:20" s="22" customFormat="1" ht="21.75" customHeight="1">
      <c r="A137" s="196" t="s">
        <v>2438</v>
      </c>
      <c r="B137" s="197" t="s">
        <v>2508</v>
      </c>
      <c r="C137" s="199" t="s">
        <v>2509</v>
      </c>
      <c r="D137" s="917" t="s">
        <v>2805</v>
      </c>
      <c r="E137" s="198" t="s">
        <v>1826</v>
      </c>
      <c r="F137" s="332">
        <f>128+8.9*2</f>
        <v>145.8</v>
      </c>
      <c r="G137" s="332"/>
      <c r="H137" s="332">
        <f t="shared" si="10"/>
        <v>0</v>
      </c>
      <c r="I137" s="333">
        <v>0.00324</v>
      </c>
      <c r="J137" s="334">
        <f t="shared" si="11"/>
        <v>0.47239200000000003</v>
      </c>
      <c r="K137" s="509"/>
      <c r="L137" s="509"/>
      <c r="M137" s="509"/>
      <c r="N137" s="509"/>
      <c r="O137" s="509"/>
      <c r="P137" s="509"/>
      <c r="Q137" s="704"/>
      <c r="R137" s="509"/>
      <c r="S137" s="509"/>
      <c r="T137" s="509"/>
    </row>
    <row r="138" spans="1:20" s="22" customFormat="1" ht="21.75" customHeight="1">
      <c r="A138" s="196" t="s">
        <v>2441</v>
      </c>
      <c r="B138" s="197" t="s">
        <v>2511</v>
      </c>
      <c r="C138" s="199" t="s">
        <v>2512</v>
      </c>
      <c r="D138" s="917" t="s">
        <v>2803</v>
      </c>
      <c r="E138" s="198" t="s">
        <v>2513</v>
      </c>
      <c r="F138" s="332">
        <v>12.5</v>
      </c>
      <c r="G138" s="332"/>
      <c r="H138" s="332">
        <f t="shared" si="10"/>
        <v>0</v>
      </c>
      <c r="I138" s="333">
        <v>0.00285</v>
      </c>
      <c r="J138" s="334">
        <f t="shared" si="11"/>
        <v>0.035625000000000004</v>
      </c>
      <c r="K138" s="509"/>
      <c r="L138" s="509"/>
      <c r="M138" s="509"/>
      <c r="N138" s="509"/>
      <c r="O138" s="509"/>
      <c r="P138" s="509"/>
      <c r="Q138" s="704"/>
      <c r="R138" s="509"/>
      <c r="S138" s="509"/>
      <c r="T138" s="509"/>
    </row>
    <row r="139" spans="1:20" s="22" customFormat="1" ht="21.75" customHeight="1">
      <c r="A139" s="196" t="s">
        <v>2444</v>
      </c>
      <c r="B139" s="197" t="s">
        <v>2515</v>
      </c>
      <c r="C139" s="199" t="s">
        <v>2516</v>
      </c>
      <c r="D139" s="917" t="s">
        <v>2803</v>
      </c>
      <c r="E139" s="198" t="s">
        <v>1831</v>
      </c>
      <c r="F139" s="332">
        <v>1</v>
      </c>
      <c r="G139" s="332"/>
      <c r="H139" s="332">
        <f t="shared" si="10"/>
        <v>0</v>
      </c>
      <c r="I139" s="333">
        <v>0.03522</v>
      </c>
      <c r="J139" s="334">
        <f t="shared" si="11"/>
        <v>0.03522</v>
      </c>
      <c r="K139" s="509"/>
      <c r="L139" s="509"/>
      <c r="M139" s="509"/>
      <c r="N139" s="509"/>
      <c r="O139" s="509"/>
      <c r="P139" s="509"/>
      <c r="Q139" s="704"/>
      <c r="R139" s="509"/>
      <c r="S139" s="509"/>
      <c r="T139" s="509"/>
    </row>
    <row r="140" spans="1:20" s="22" customFormat="1" ht="21.75" customHeight="1">
      <c r="A140" s="196" t="s">
        <v>2448</v>
      </c>
      <c r="B140" s="197" t="s">
        <v>2527</v>
      </c>
      <c r="C140" s="199" t="s">
        <v>2528</v>
      </c>
      <c r="D140" s="917"/>
      <c r="E140" s="198" t="s">
        <v>1783</v>
      </c>
      <c r="F140" s="332">
        <f>F141*0.85</f>
        <v>107.75321394999997</v>
      </c>
      <c r="G140" s="332"/>
      <c r="H140" s="332">
        <f t="shared" si="10"/>
        <v>0</v>
      </c>
      <c r="I140" s="333">
        <v>0</v>
      </c>
      <c r="J140" s="334"/>
      <c r="K140" s="509"/>
      <c r="L140" s="509"/>
      <c r="M140" s="509"/>
      <c r="N140" s="509"/>
      <c r="O140" s="509"/>
      <c r="P140" s="509"/>
      <c r="Q140" s="704"/>
      <c r="R140" s="509"/>
      <c r="S140" s="509"/>
      <c r="T140" s="509"/>
    </row>
    <row r="141" spans="1:20" s="22" customFormat="1" ht="21.75" customHeight="1">
      <c r="A141" s="196" t="s">
        <v>2452</v>
      </c>
      <c r="B141" s="197" t="s">
        <v>2530</v>
      </c>
      <c r="C141" s="199" t="s">
        <v>2531</v>
      </c>
      <c r="D141" s="917"/>
      <c r="E141" s="198" t="s">
        <v>1783</v>
      </c>
      <c r="F141" s="332">
        <f>J107</f>
        <v>126.76848699999998</v>
      </c>
      <c r="G141" s="332"/>
      <c r="H141" s="332">
        <f t="shared" si="10"/>
        <v>0</v>
      </c>
      <c r="I141" s="333">
        <v>0</v>
      </c>
      <c r="J141" s="334"/>
      <c r="K141" s="509"/>
      <c r="L141" s="509"/>
      <c r="M141" s="509"/>
      <c r="N141" s="509"/>
      <c r="O141" s="509"/>
      <c r="P141" s="509"/>
      <c r="Q141" s="704"/>
      <c r="R141" s="509"/>
      <c r="S141" s="509"/>
      <c r="T141" s="509"/>
    </row>
    <row r="142" spans="1:20" s="22" customFormat="1" ht="21.75" customHeight="1">
      <c r="A142" s="196" t="s">
        <v>2455</v>
      </c>
      <c r="B142" s="197" t="s">
        <v>2533</v>
      </c>
      <c r="C142" s="199" t="s">
        <v>2534</v>
      </c>
      <c r="D142" s="917"/>
      <c r="E142" s="198" t="s">
        <v>1783</v>
      </c>
      <c r="F142" s="332">
        <f>F141</f>
        <v>126.76848699999998</v>
      </c>
      <c r="G142" s="332"/>
      <c r="H142" s="332">
        <f t="shared" si="10"/>
        <v>0</v>
      </c>
      <c r="I142" s="333">
        <v>0</v>
      </c>
      <c r="J142" s="334"/>
      <c r="K142" s="509"/>
      <c r="L142" s="509"/>
      <c r="M142" s="509"/>
      <c r="N142" s="509"/>
      <c r="O142" s="509"/>
      <c r="P142" s="509"/>
      <c r="Q142" s="704"/>
      <c r="R142" s="509"/>
      <c r="S142" s="509"/>
      <c r="T142" s="509"/>
    </row>
    <row r="143" spans="1:20" s="22" customFormat="1" ht="21.75" customHeight="1">
      <c r="A143" s="196" t="s">
        <v>2465</v>
      </c>
      <c r="B143" s="197" t="s">
        <v>2536</v>
      </c>
      <c r="C143" s="199" t="s">
        <v>2537</v>
      </c>
      <c r="D143" s="917"/>
      <c r="E143" s="198" t="s">
        <v>1783</v>
      </c>
      <c r="F143" s="332">
        <f>F141</f>
        <v>126.76848699999998</v>
      </c>
      <c r="G143" s="332"/>
      <c r="H143" s="332">
        <f t="shared" si="10"/>
        <v>0</v>
      </c>
      <c r="I143" s="333">
        <v>0</v>
      </c>
      <c r="J143" s="334"/>
      <c r="K143" s="509"/>
      <c r="L143" s="509"/>
      <c r="M143" s="509"/>
      <c r="N143" s="509"/>
      <c r="O143" s="509"/>
      <c r="P143" s="509"/>
      <c r="Q143" s="704"/>
      <c r="R143" s="509"/>
      <c r="S143" s="509"/>
      <c r="T143" s="509"/>
    </row>
    <row r="144" spans="1:20" s="22" customFormat="1" ht="21.75" customHeight="1">
      <c r="A144" s="196" t="s">
        <v>2468</v>
      </c>
      <c r="B144" s="197" t="s">
        <v>2539</v>
      </c>
      <c r="C144" s="199" t="s">
        <v>2540</v>
      </c>
      <c r="D144" s="917"/>
      <c r="E144" s="198" t="s">
        <v>1783</v>
      </c>
      <c r="F144" s="332">
        <f>F141*14</f>
        <v>1774.7588179999998</v>
      </c>
      <c r="G144" s="332"/>
      <c r="H144" s="332">
        <f t="shared" si="10"/>
        <v>0</v>
      </c>
      <c r="I144" s="333">
        <v>0</v>
      </c>
      <c r="J144" s="334"/>
      <c r="K144" s="509"/>
      <c r="L144" s="509"/>
      <c r="M144" s="509"/>
      <c r="N144" s="509"/>
      <c r="O144" s="509"/>
      <c r="P144" s="509"/>
      <c r="Q144" s="704"/>
      <c r="R144" s="509"/>
      <c r="S144" s="509"/>
      <c r="T144" s="509"/>
    </row>
    <row r="145" spans="1:20" s="22" customFormat="1" ht="21.75" customHeight="1">
      <c r="A145" s="196" t="s">
        <v>2473</v>
      </c>
      <c r="B145" s="197" t="s">
        <v>2542</v>
      </c>
      <c r="C145" s="199" t="s">
        <v>2543</v>
      </c>
      <c r="D145" s="917"/>
      <c r="E145" s="198" t="s">
        <v>1783</v>
      </c>
      <c r="F145" s="332">
        <f>F142-F146-F147+F148</f>
        <v>112.58184999999997</v>
      </c>
      <c r="G145" s="332"/>
      <c r="H145" s="332">
        <f t="shared" si="10"/>
        <v>0</v>
      </c>
      <c r="I145" s="333">
        <v>0</v>
      </c>
      <c r="J145" s="334"/>
      <c r="K145" s="693"/>
      <c r="L145" s="693"/>
      <c r="M145" s="693"/>
      <c r="N145" s="693"/>
      <c r="O145" s="693"/>
      <c r="P145" s="693"/>
      <c r="Q145" s="694"/>
      <c r="R145" s="509"/>
      <c r="S145" s="509"/>
      <c r="T145" s="509"/>
    </row>
    <row r="146" spans="1:20" s="22" customFormat="1" ht="21.75" customHeight="1">
      <c r="A146" s="854" t="s">
        <v>2476</v>
      </c>
      <c r="B146" s="855" t="s">
        <v>2545</v>
      </c>
      <c r="C146" s="856" t="s">
        <v>2546</v>
      </c>
      <c r="D146" s="975"/>
      <c r="E146" s="857" t="s">
        <v>1783</v>
      </c>
      <c r="F146" s="858">
        <f>J130</f>
        <v>8.351</v>
      </c>
      <c r="G146" s="858"/>
      <c r="H146" s="858">
        <f t="shared" si="10"/>
        <v>0</v>
      </c>
      <c r="I146" s="859">
        <v>0</v>
      </c>
      <c r="J146" s="860"/>
      <c r="K146" s="509"/>
      <c r="L146" s="509"/>
      <c r="M146" s="509"/>
      <c r="N146" s="509"/>
      <c r="O146" s="509"/>
      <c r="P146" s="509"/>
      <c r="Q146" s="704"/>
      <c r="R146" s="509"/>
      <c r="S146" s="509"/>
      <c r="T146" s="509"/>
    </row>
    <row r="147" spans="1:10" s="847" customFormat="1" ht="21.75" customHeight="1">
      <c r="A147" s="868" t="s">
        <v>2514</v>
      </c>
      <c r="B147" s="869" t="s">
        <v>2743</v>
      </c>
      <c r="C147" s="870" t="s">
        <v>2744</v>
      </c>
      <c r="D147" s="990"/>
      <c r="E147" s="871" t="s">
        <v>1783</v>
      </c>
      <c r="F147" s="872">
        <f>J115+J117+J121+J123+J126*0.5</f>
        <v>2.7408649999999994</v>
      </c>
      <c r="G147" s="872"/>
      <c r="H147" s="872">
        <f t="shared" si="10"/>
        <v>0</v>
      </c>
      <c r="I147" s="873"/>
      <c r="J147" s="874"/>
    </row>
    <row r="148" spans="1:10" s="847" customFormat="1" ht="21.75" customHeight="1">
      <c r="A148" s="868" t="s">
        <v>2517</v>
      </c>
      <c r="B148" s="862" t="s">
        <v>2745</v>
      </c>
      <c r="C148" s="863" t="s">
        <v>2746</v>
      </c>
      <c r="D148" s="976"/>
      <c r="E148" s="864" t="s">
        <v>1783</v>
      </c>
      <c r="F148" s="865">
        <f>(J126*0.5+J131+J132+J133+J134+J135+J136+J137+J138+J139)*-1</f>
        <v>-3.0947720000000003</v>
      </c>
      <c r="G148" s="865"/>
      <c r="H148" s="865">
        <f t="shared" si="10"/>
        <v>0</v>
      </c>
      <c r="I148" s="866"/>
      <c r="J148" s="867"/>
    </row>
    <row r="149" spans="1:20" s="22" customFormat="1" ht="14.25" customHeight="1" thickBot="1">
      <c r="A149" s="255"/>
      <c r="B149" s="256"/>
      <c r="C149" s="264"/>
      <c r="D149" s="968"/>
      <c r="E149" s="257"/>
      <c r="F149" s="368"/>
      <c r="G149" s="368"/>
      <c r="H149" s="368"/>
      <c r="I149" s="369"/>
      <c r="J149" s="370"/>
      <c r="K149" s="509"/>
      <c r="L149" s="509"/>
      <c r="M149" s="509"/>
      <c r="N149" s="509"/>
      <c r="O149" s="509"/>
      <c r="P149" s="509"/>
      <c r="Q149" s="509"/>
      <c r="R149" s="509"/>
      <c r="S149" s="509"/>
      <c r="T149" s="509"/>
    </row>
    <row r="150" spans="1:20" ht="16.5" customHeight="1" thickBot="1">
      <c r="A150" s="266" t="s">
        <v>2547</v>
      </c>
      <c r="B150" s="175" t="s">
        <v>2548</v>
      </c>
      <c r="C150" s="176" t="s">
        <v>2549</v>
      </c>
      <c r="D150" s="1008"/>
      <c r="E150" s="175"/>
      <c r="F150" s="341"/>
      <c r="G150" s="341"/>
      <c r="H150" s="342">
        <f>SUM(H151:H151)</f>
        <v>0</v>
      </c>
      <c r="I150" s="343"/>
      <c r="J150" s="344">
        <f>SUM(J151:J151)</f>
        <v>0</v>
      </c>
      <c r="K150" s="670"/>
      <c r="L150" s="670"/>
      <c r="M150" s="670"/>
      <c r="N150" s="670"/>
      <c r="O150" s="670"/>
      <c r="P150" s="670"/>
      <c r="Q150" s="670"/>
      <c r="R150" s="670"/>
      <c r="S150" s="670"/>
      <c r="T150" s="670"/>
    </row>
    <row r="151" spans="1:20" s="22" customFormat="1" ht="16.5" customHeight="1" thickBot="1">
      <c r="A151" s="29"/>
      <c r="B151" s="21"/>
      <c r="C151" s="20"/>
      <c r="D151" s="1215"/>
      <c r="E151" s="1183"/>
      <c r="F151" s="406"/>
      <c r="G151" s="406"/>
      <c r="H151" s="406"/>
      <c r="I151" s="407"/>
      <c r="J151" s="408"/>
      <c r="K151" s="509"/>
      <c r="L151" s="509"/>
      <c r="M151" s="509"/>
      <c r="N151" s="509"/>
      <c r="O151" s="509"/>
      <c r="P151" s="509"/>
      <c r="Q151" s="704"/>
      <c r="R151" s="509"/>
      <c r="S151" s="509"/>
      <c r="T151" s="509"/>
    </row>
    <row r="152" spans="1:20" ht="16.5" customHeight="1" thickBot="1">
      <c r="A152" s="266" t="s">
        <v>2589</v>
      </c>
      <c r="B152" s="175" t="s">
        <v>2590</v>
      </c>
      <c r="C152" s="176" t="s">
        <v>2591</v>
      </c>
      <c r="D152" s="1008"/>
      <c r="E152" s="175"/>
      <c r="F152" s="341"/>
      <c r="G152" s="341"/>
      <c r="H152" s="342">
        <f>SUM(H153:H168)</f>
        <v>0</v>
      </c>
      <c r="I152" s="343"/>
      <c r="J152" s="344">
        <f>SUM(J153:J167)</f>
        <v>10.312762499999998</v>
      </c>
      <c r="K152" s="670"/>
      <c r="L152" s="670"/>
      <c r="M152" s="670"/>
      <c r="N152" s="670"/>
      <c r="O152" s="670"/>
      <c r="P152" s="670"/>
      <c r="Q152" s="670"/>
      <c r="R152" s="670"/>
      <c r="S152" s="670"/>
      <c r="T152" s="670"/>
    </row>
    <row r="153" spans="1:20" s="22" customFormat="1" ht="18" customHeight="1">
      <c r="A153" s="190"/>
      <c r="B153" s="191"/>
      <c r="C153" s="265"/>
      <c r="D153" s="964"/>
      <c r="E153" s="192"/>
      <c r="F153" s="345"/>
      <c r="G153" s="345"/>
      <c r="H153" s="345"/>
      <c r="I153" s="346"/>
      <c r="J153" s="347"/>
      <c r="K153" s="509"/>
      <c r="L153" s="509"/>
      <c r="M153" s="509"/>
      <c r="N153" s="509"/>
      <c r="O153" s="509"/>
      <c r="P153" s="509"/>
      <c r="Q153" s="704"/>
      <c r="R153" s="509"/>
      <c r="S153" s="509"/>
      <c r="T153" s="509"/>
    </row>
    <row r="154" spans="1:20" s="22" customFormat="1" ht="30.75" customHeight="1">
      <c r="A154" s="196" t="s">
        <v>2592</v>
      </c>
      <c r="B154" s="197" t="s">
        <v>2593</v>
      </c>
      <c r="C154" s="199" t="s">
        <v>2594</v>
      </c>
      <c r="D154" s="917" t="s">
        <v>2803</v>
      </c>
      <c r="E154" s="198" t="s">
        <v>1748</v>
      </c>
      <c r="F154" s="332">
        <f>E155</f>
        <v>652.5</v>
      </c>
      <c r="G154" s="332"/>
      <c r="H154" s="332">
        <f>F154*G154</f>
        <v>0</v>
      </c>
      <c r="I154" s="333">
        <v>0</v>
      </c>
      <c r="J154" s="334">
        <f>F154*I154</f>
        <v>0</v>
      </c>
      <c r="K154" s="509"/>
      <c r="L154" s="509"/>
      <c r="M154" s="509"/>
      <c r="N154" s="509"/>
      <c r="O154" s="509"/>
      <c r="P154" s="509"/>
      <c r="Q154" s="509"/>
      <c r="R154" s="509"/>
      <c r="S154" s="509"/>
      <c r="T154" s="509"/>
    </row>
    <row r="155" spans="1:20" s="130" customFormat="1" ht="15.75" customHeight="1">
      <c r="A155" s="204"/>
      <c r="B155" s="205" t="s">
        <v>735</v>
      </c>
      <c r="C155" s="206" t="s">
        <v>1251</v>
      </c>
      <c r="D155" s="916"/>
      <c r="E155" s="207">
        <f>596.5+56</f>
        <v>652.5</v>
      </c>
      <c r="F155" s="335"/>
      <c r="G155" s="335"/>
      <c r="H155" s="335"/>
      <c r="I155" s="336"/>
      <c r="J155" s="337"/>
      <c r="K155" s="508"/>
      <c r="L155" s="508"/>
      <c r="M155" s="508"/>
      <c r="N155" s="508"/>
      <c r="O155" s="508"/>
      <c r="P155" s="508"/>
      <c r="Q155" s="508"/>
      <c r="R155" s="508"/>
      <c r="S155" s="508"/>
      <c r="T155" s="508"/>
    </row>
    <row r="156" spans="1:20" s="22" customFormat="1" ht="15" customHeight="1">
      <c r="A156" s="196"/>
      <c r="B156" s="197"/>
      <c r="C156" s="199"/>
      <c r="D156" s="917"/>
      <c r="E156" s="198"/>
      <c r="F156" s="332"/>
      <c r="G156" s="332"/>
      <c r="H156" s="332"/>
      <c r="I156" s="333"/>
      <c r="J156" s="334"/>
      <c r="K156" s="693"/>
      <c r="L156" s="693"/>
      <c r="M156" s="693"/>
      <c r="N156" s="693"/>
      <c r="O156" s="693"/>
      <c r="P156" s="693"/>
      <c r="Q156" s="694"/>
      <c r="R156" s="509"/>
      <c r="S156" s="509"/>
      <c r="T156" s="509"/>
    </row>
    <row r="157" spans="1:20" s="22" customFormat="1" ht="24" customHeight="1">
      <c r="A157" s="196" t="s">
        <v>2598</v>
      </c>
      <c r="B157" s="197" t="s">
        <v>2599</v>
      </c>
      <c r="C157" s="199" t="s">
        <v>2600</v>
      </c>
      <c r="D157" s="917" t="s">
        <v>2803</v>
      </c>
      <c r="E157" s="198" t="s">
        <v>1748</v>
      </c>
      <c r="F157" s="332">
        <f>E158</f>
        <v>652.5</v>
      </c>
      <c r="G157" s="332"/>
      <c r="H157" s="332">
        <f aca="true" t="shared" si="12" ref="H157:H165">F157*G157</f>
        <v>0</v>
      </c>
      <c r="I157" s="333">
        <v>0</v>
      </c>
      <c r="J157" s="334">
        <f aca="true" t="shared" si="13" ref="J157:J165">F157*I157</f>
        <v>0</v>
      </c>
      <c r="K157" s="693"/>
      <c r="L157" s="693"/>
      <c r="M157" s="693"/>
      <c r="N157" s="693"/>
      <c r="O157" s="693"/>
      <c r="P157" s="693"/>
      <c r="Q157" s="694"/>
      <c r="R157" s="509"/>
      <c r="S157" s="509"/>
      <c r="T157" s="509"/>
    </row>
    <row r="158" spans="1:20" s="130" customFormat="1" ht="15.75" customHeight="1">
      <c r="A158" s="204"/>
      <c r="B158" s="205" t="s">
        <v>735</v>
      </c>
      <c r="C158" s="206" t="s">
        <v>1251</v>
      </c>
      <c r="D158" s="916"/>
      <c r="E158" s="207">
        <f>596.5+56</f>
        <v>652.5</v>
      </c>
      <c r="F158" s="335"/>
      <c r="G158" s="335"/>
      <c r="H158" s="335"/>
      <c r="I158" s="336"/>
      <c r="J158" s="337"/>
      <c r="K158" s="508"/>
      <c r="L158" s="508"/>
      <c r="M158" s="508"/>
      <c r="N158" s="508"/>
      <c r="O158" s="508"/>
      <c r="P158" s="508"/>
      <c r="Q158" s="508"/>
      <c r="R158" s="508"/>
      <c r="S158" s="508"/>
      <c r="T158" s="508"/>
    </row>
    <row r="159" spans="1:20" s="22" customFormat="1" ht="24" customHeight="1">
      <c r="A159" s="196" t="s">
        <v>2601</v>
      </c>
      <c r="B159" s="197" t="s">
        <v>2602</v>
      </c>
      <c r="C159" s="199" t="s">
        <v>2603</v>
      </c>
      <c r="D159" s="917" t="s">
        <v>2803</v>
      </c>
      <c r="E159" s="198" t="s">
        <v>1748</v>
      </c>
      <c r="F159" s="1028">
        <f>F157*1.15</f>
        <v>750.3749999999999</v>
      </c>
      <c r="G159" s="332"/>
      <c r="H159" s="332">
        <f t="shared" si="12"/>
        <v>0</v>
      </c>
      <c r="I159" s="333">
        <v>0.0047</v>
      </c>
      <c r="J159" s="334">
        <f t="shared" si="13"/>
        <v>3.5267625</v>
      </c>
      <c r="K159" s="693"/>
      <c r="L159" s="693"/>
      <c r="M159" s="693"/>
      <c r="N159" s="693"/>
      <c r="O159" s="693"/>
      <c r="P159" s="693"/>
      <c r="Q159" s="694"/>
      <c r="R159" s="509"/>
      <c r="S159" s="509"/>
      <c r="T159" s="509"/>
    </row>
    <row r="160" spans="1:20" s="22" customFormat="1" ht="24" customHeight="1">
      <c r="A160" s="196" t="s">
        <v>2607</v>
      </c>
      <c r="B160" s="197" t="s">
        <v>2608</v>
      </c>
      <c r="C160" s="199" t="s">
        <v>2609</v>
      </c>
      <c r="D160" s="917" t="s">
        <v>2803</v>
      </c>
      <c r="E160" s="198" t="s">
        <v>1831</v>
      </c>
      <c r="F160" s="332">
        <f>F157*4</f>
        <v>2610</v>
      </c>
      <c r="G160" s="332"/>
      <c r="H160" s="332">
        <f t="shared" si="12"/>
        <v>0</v>
      </c>
      <c r="I160" s="333">
        <v>1E-05</v>
      </c>
      <c r="J160" s="334">
        <f t="shared" si="13"/>
        <v>0.0261</v>
      </c>
      <c r="K160" s="693"/>
      <c r="L160" s="693"/>
      <c r="M160" s="693"/>
      <c r="N160" s="693"/>
      <c r="O160" s="693"/>
      <c r="P160" s="693"/>
      <c r="Q160" s="694"/>
      <c r="R160" s="509"/>
      <c r="S160" s="509"/>
      <c r="T160" s="509"/>
    </row>
    <row r="161" spans="1:20" s="22" customFormat="1" ht="24" customHeight="1">
      <c r="A161" s="196" t="s">
        <v>2610</v>
      </c>
      <c r="B161" s="197" t="s">
        <v>2611</v>
      </c>
      <c r="C161" s="199" t="s">
        <v>2612</v>
      </c>
      <c r="D161" s="917" t="s">
        <v>2803</v>
      </c>
      <c r="E161" s="198" t="s">
        <v>1748</v>
      </c>
      <c r="F161" s="332">
        <f>E162</f>
        <v>652.5</v>
      </c>
      <c r="G161" s="332"/>
      <c r="H161" s="332">
        <f t="shared" si="12"/>
        <v>0</v>
      </c>
      <c r="I161" s="333">
        <v>0.00035</v>
      </c>
      <c r="J161" s="334">
        <f t="shared" si="13"/>
        <v>0.228375</v>
      </c>
      <c r="K161" s="693"/>
      <c r="L161" s="693"/>
      <c r="M161" s="693"/>
      <c r="N161" s="693"/>
      <c r="O161" s="693"/>
      <c r="P161" s="693"/>
      <c r="Q161" s="694"/>
      <c r="R161" s="509"/>
      <c r="S161" s="509"/>
      <c r="T161" s="509"/>
    </row>
    <row r="162" spans="1:20" s="130" customFormat="1" ht="15.75" customHeight="1">
      <c r="A162" s="204"/>
      <c r="B162" s="205" t="s">
        <v>735</v>
      </c>
      <c r="C162" s="206" t="s">
        <v>1251</v>
      </c>
      <c r="D162" s="916"/>
      <c r="E162" s="207">
        <f>596.5+56</f>
        <v>652.5</v>
      </c>
      <c r="F162" s="335"/>
      <c r="G162" s="335"/>
      <c r="H162" s="335"/>
      <c r="I162" s="336"/>
      <c r="J162" s="337"/>
      <c r="K162" s="508"/>
      <c r="L162" s="508"/>
      <c r="M162" s="508"/>
      <c r="N162" s="508"/>
      <c r="O162" s="508"/>
      <c r="P162" s="508"/>
      <c r="Q162" s="508"/>
      <c r="R162" s="508"/>
      <c r="S162" s="508"/>
      <c r="T162" s="508"/>
    </row>
    <row r="163" spans="1:20" s="22" customFormat="1" ht="19.5" customHeight="1">
      <c r="A163" s="196" t="s">
        <v>2613</v>
      </c>
      <c r="B163" s="197" t="s">
        <v>2614</v>
      </c>
      <c r="C163" s="199" t="s">
        <v>2615</v>
      </c>
      <c r="D163" s="1177" t="s">
        <v>2803</v>
      </c>
      <c r="E163" s="198" t="s">
        <v>1748</v>
      </c>
      <c r="F163" s="1028">
        <f>F161*1.15</f>
        <v>750.3749999999999</v>
      </c>
      <c r="G163" s="332"/>
      <c r="H163" s="332">
        <f t="shared" si="12"/>
        <v>0</v>
      </c>
      <c r="I163" s="333">
        <v>0.0044</v>
      </c>
      <c r="J163" s="334">
        <f t="shared" si="13"/>
        <v>3.3016499999999995</v>
      </c>
      <c r="K163" s="693"/>
      <c r="L163" s="693"/>
      <c r="M163" s="693"/>
      <c r="N163" s="693"/>
      <c r="O163" s="693"/>
      <c r="P163" s="693"/>
      <c r="Q163" s="694"/>
      <c r="R163" s="509"/>
      <c r="S163" s="509"/>
      <c r="T163" s="509"/>
    </row>
    <row r="164" spans="1:20" s="22" customFormat="1" ht="16.5" customHeight="1">
      <c r="A164" s="196"/>
      <c r="B164" s="197"/>
      <c r="C164" s="199"/>
      <c r="D164" s="917"/>
      <c r="E164" s="198"/>
      <c r="F164" s="332"/>
      <c r="G164" s="332"/>
      <c r="H164" s="332"/>
      <c r="I164" s="333"/>
      <c r="J164" s="334"/>
      <c r="K164" s="693"/>
      <c r="L164" s="693"/>
      <c r="M164" s="693"/>
      <c r="N164" s="693"/>
      <c r="O164" s="693"/>
      <c r="P164" s="693"/>
      <c r="Q164" s="694"/>
      <c r="R164" s="509"/>
      <c r="S164" s="509"/>
      <c r="T164" s="509"/>
    </row>
    <row r="165" spans="1:20" s="22" customFormat="1" ht="24" customHeight="1">
      <c r="A165" s="196" t="s">
        <v>2616</v>
      </c>
      <c r="B165" s="197" t="s">
        <v>2611</v>
      </c>
      <c r="C165" s="199" t="s">
        <v>2617</v>
      </c>
      <c r="D165" s="917" t="s">
        <v>2803</v>
      </c>
      <c r="E165" s="198" t="s">
        <v>1748</v>
      </c>
      <c r="F165" s="332">
        <f>SUM(E166:E166)</f>
        <v>652.5</v>
      </c>
      <c r="G165" s="332"/>
      <c r="H165" s="332">
        <f t="shared" si="12"/>
        <v>0</v>
      </c>
      <c r="I165" s="333">
        <v>0.00035</v>
      </c>
      <c r="J165" s="334">
        <f t="shared" si="13"/>
        <v>0.228375</v>
      </c>
      <c r="K165" s="693"/>
      <c r="L165" s="693"/>
      <c r="M165" s="693"/>
      <c r="N165" s="693"/>
      <c r="O165" s="693"/>
      <c r="P165" s="693"/>
      <c r="Q165" s="694"/>
      <c r="R165" s="509"/>
      <c r="S165" s="509"/>
      <c r="T165" s="509"/>
    </row>
    <row r="166" spans="1:20" s="130" customFormat="1" ht="15.75" customHeight="1">
      <c r="A166" s="204"/>
      <c r="B166" s="205" t="s">
        <v>735</v>
      </c>
      <c r="C166" s="206" t="s">
        <v>1251</v>
      </c>
      <c r="D166" s="916"/>
      <c r="E166" s="207">
        <f>596.5+56</f>
        <v>652.5</v>
      </c>
      <c r="F166" s="335"/>
      <c r="G166" s="335"/>
      <c r="H166" s="335"/>
      <c r="I166" s="336"/>
      <c r="J166" s="337"/>
      <c r="K166" s="508"/>
      <c r="L166" s="508"/>
      <c r="M166" s="508"/>
      <c r="N166" s="508"/>
      <c r="O166" s="508"/>
      <c r="P166" s="508"/>
      <c r="Q166" s="508"/>
      <c r="R166" s="508"/>
      <c r="S166" s="508"/>
      <c r="T166" s="508"/>
    </row>
    <row r="167" spans="1:20" s="22" customFormat="1" ht="18.75" customHeight="1">
      <c r="A167" s="196" t="s">
        <v>2618</v>
      </c>
      <c r="B167" s="197" t="s">
        <v>2619</v>
      </c>
      <c r="C167" s="199" t="s">
        <v>2620</v>
      </c>
      <c r="D167" s="1177" t="s">
        <v>2803</v>
      </c>
      <c r="E167" s="198" t="s">
        <v>1748</v>
      </c>
      <c r="F167" s="1028">
        <f>F165*1.15</f>
        <v>750.3749999999999</v>
      </c>
      <c r="G167" s="332"/>
      <c r="H167" s="332">
        <f>F167*G167</f>
        <v>0</v>
      </c>
      <c r="I167" s="333">
        <v>0.004</v>
      </c>
      <c r="J167" s="334">
        <f>F167*I167</f>
        <v>3.0014999999999996</v>
      </c>
      <c r="K167" s="693"/>
      <c r="L167" s="693"/>
      <c r="M167" s="693"/>
      <c r="N167" s="693"/>
      <c r="O167" s="693"/>
      <c r="P167" s="693"/>
      <c r="Q167" s="694"/>
      <c r="R167" s="509"/>
      <c r="S167" s="509"/>
      <c r="T167" s="509"/>
    </row>
    <row r="168" spans="1:20" s="22" customFormat="1" ht="24" customHeight="1" thickBot="1">
      <c r="A168" s="255" t="s">
        <v>2624</v>
      </c>
      <c r="B168" s="256" t="s">
        <v>2625</v>
      </c>
      <c r="C168" s="264" t="s">
        <v>2626</v>
      </c>
      <c r="D168" s="968"/>
      <c r="E168" s="257" t="s">
        <v>1783</v>
      </c>
      <c r="F168" s="368">
        <f>J152</f>
        <v>10.312762499999998</v>
      </c>
      <c r="G168" s="368"/>
      <c r="H168" s="368">
        <f>F168*G168</f>
        <v>0</v>
      </c>
      <c r="I168" s="369">
        <v>0</v>
      </c>
      <c r="J168" s="370">
        <f>F168*I168</f>
        <v>0</v>
      </c>
      <c r="K168" s="509"/>
      <c r="L168" s="509"/>
      <c r="M168" s="509"/>
      <c r="N168" s="509"/>
      <c r="O168" s="509"/>
      <c r="P168" s="509"/>
      <c r="Q168" s="704"/>
      <c r="R168" s="509"/>
      <c r="S168" s="509"/>
      <c r="T168" s="509"/>
    </row>
    <row r="169" spans="1:20" ht="16.5" customHeight="1" thickBot="1">
      <c r="A169" s="266" t="s">
        <v>2627</v>
      </c>
      <c r="B169" s="175" t="s">
        <v>2628</v>
      </c>
      <c r="C169" s="176" t="s">
        <v>2629</v>
      </c>
      <c r="D169" s="1008"/>
      <c r="E169" s="175"/>
      <c r="F169" s="341"/>
      <c r="G169" s="341"/>
      <c r="H169" s="342">
        <f>SUM(H170:H176)</f>
        <v>0</v>
      </c>
      <c r="I169" s="343"/>
      <c r="J169" s="344">
        <f>SUM(J170:J173)</f>
        <v>4.326075</v>
      </c>
      <c r="K169" s="670"/>
      <c r="L169" s="670"/>
      <c r="M169" s="670"/>
      <c r="N169" s="670"/>
      <c r="O169" s="670"/>
      <c r="P169" s="670"/>
      <c r="Q169" s="670"/>
      <c r="R169" s="670"/>
      <c r="S169" s="670"/>
      <c r="T169" s="670"/>
    </row>
    <row r="170" spans="1:20" s="22" customFormat="1" ht="18.75" customHeight="1">
      <c r="A170" s="190" t="s">
        <v>2630</v>
      </c>
      <c r="B170" s="191" t="s">
        <v>2631</v>
      </c>
      <c r="C170" s="265" t="s">
        <v>2632</v>
      </c>
      <c r="D170" s="964" t="s">
        <v>735</v>
      </c>
      <c r="E170" s="192" t="s">
        <v>1748</v>
      </c>
      <c r="F170" s="345">
        <f>E171</f>
        <v>652.5</v>
      </c>
      <c r="G170" s="345"/>
      <c r="H170" s="345">
        <f>F170*G170</f>
        <v>0</v>
      </c>
      <c r="I170" s="346">
        <v>0</v>
      </c>
      <c r="J170" s="347">
        <f>F170*I170</f>
        <v>0</v>
      </c>
      <c r="K170" s="509"/>
      <c r="L170" s="509"/>
      <c r="M170" s="509"/>
      <c r="N170" s="509"/>
      <c r="O170" s="509"/>
      <c r="P170" s="509"/>
      <c r="Q170" s="704"/>
      <c r="R170" s="509"/>
      <c r="S170" s="509"/>
      <c r="T170" s="509"/>
    </row>
    <row r="171" spans="1:20" s="130" customFormat="1" ht="15.75" customHeight="1">
      <c r="A171" s="204"/>
      <c r="B171" s="205" t="s">
        <v>735</v>
      </c>
      <c r="C171" s="206" t="s">
        <v>1251</v>
      </c>
      <c r="D171" s="916"/>
      <c r="E171" s="207">
        <f>596.5+56</f>
        <v>652.5</v>
      </c>
      <c r="F171" s="335"/>
      <c r="G171" s="335"/>
      <c r="H171" s="335"/>
      <c r="I171" s="336"/>
      <c r="J171" s="337"/>
      <c r="K171" s="508"/>
      <c r="L171" s="508"/>
      <c r="M171" s="508"/>
      <c r="N171" s="508"/>
      <c r="O171" s="508"/>
      <c r="P171" s="508"/>
      <c r="Q171" s="508"/>
      <c r="R171" s="508"/>
      <c r="S171" s="508"/>
      <c r="T171" s="508"/>
    </row>
    <row r="172" spans="1:20" s="22" customFormat="1" ht="27" customHeight="1">
      <c r="A172" s="196" t="s">
        <v>2633</v>
      </c>
      <c r="B172" s="197" t="s">
        <v>2649</v>
      </c>
      <c r="C172" s="199" t="s">
        <v>2650</v>
      </c>
      <c r="D172" s="1177" t="s">
        <v>735</v>
      </c>
      <c r="E172" s="198" t="s">
        <v>1709</v>
      </c>
      <c r="F172" s="1028">
        <f>E173</f>
        <v>173.043</v>
      </c>
      <c r="G172" s="332"/>
      <c r="H172" s="332">
        <f>F172*G172</f>
        <v>0</v>
      </c>
      <c r="I172" s="333">
        <v>0.025</v>
      </c>
      <c r="J172" s="334">
        <f>F172*I172</f>
        <v>4.326075</v>
      </c>
      <c r="K172" s="509"/>
      <c r="L172" s="509"/>
      <c r="M172" s="509"/>
      <c r="N172" s="509"/>
      <c r="O172" s="509"/>
      <c r="P172" s="509"/>
      <c r="Q172" s="509"/>
      <c r="R172" s="509"/>
      <c r="S172" s="509"/>
      <c r="T172" s="509"/>
    </row>
    <row r="173" spans="1:20" s="130" customFormat="1" ht="24.75" customHeight="1">
      <c r="A173" s="204"/>
      <c r="B173" s="205" t="s">
        <v>735</v>
      </c>
      <c r="C173" s="206" t="s">
        <v>2866</v>
      </c>
      <c r="D173" s="1176" t="s">
        <v>2652</v>
      </c>
      <c r="E173" s="207">
        <f>(596.5+56)*0.26*1.02</f>
        <v>173.043</v>
      </c>
      <c r="F173" s="335"/>
      <c r="G173" s="335"/>
      <c r="H173" s="335"/>
      <c r="I173" s="336"/>
      <c r="J173" s="337"/>
      <c r="K173" s="508"/>
      <c r="L173" s="508"/>
      <c r="M173" s="508"/>
      <c r="N173" s="508"/>
      <c r="O173" s="508"/>
      <c r="P173" s="508"/>
      <c r="Q173" s="508"/>
      <c r="R173" s="508"/>
      <c r="S173" s="508"/>
      <c r="T173" s="508"/>
    </row>
    <row r="174" spans="1:20" s="1034" customFormat="1" ht="24" customHeight="1">
      <c r="A174" s="1023" t="s">
        <v>2942</v>
      </c>
      <c r="B174" s="1024" t="s">
        <v>2608</v>
      </c>
      <c r="C174" s="1025" t="s">
        <v>2609</v>
      </c>
      <c r="D174" s="1026" t="s">
        <v>2756</v>
      </c>
      <c r="E174" s="1027" t="s">
        <v>1831</v>
      </c>
      <c r="F174" s="1028">
        <f>SUM(E175:E179)</f>
        <v>2610</v>
      </c>
      <c r="G174" s="1028"/>
      <c r="H174" s="1028">
        <f>F174*G174</f>
        <v>0</v>
      </c>
      <c r="I174" s="1029">
        <v>1E-05</v>
      </c>
      <c r="J174" s="1030">
        <f>F174*I174</f>
        <v>0.0261</v>
      </c>
      <c r="K174" s="1033"/>
      <c r="L174" s="1033"/>
      <c r="M174" s="1033"/>
      <c r="N174" s="1033"/>
      <c r="O174" s="1033"/>
      <c r="P174" s="1033"/>
      <c r="Q174" s="1033"/>
      <c r="R174" s="1033"/>
      <c r="S174" s="1033"/>
      <c r="T174" s="1033"/>
    </row>
    <row r="175" spans="1:19" s="1059" customFormat="1" ht="21" customHeight="1">
      <c r="A175" s="1054"/>
      <c r="B175" s="1055" t="s">
        <v>735</v>
      </c>
      <c r="C175" s="1056" t="s">
        <v>2867</v>
      </c>
      <c r="D175" s="1081"/>
      <c r="E175" s="1051">
        <f>(596.5+56)*4</f>
        <v>2610</v>
      </c>
      <c r="F175" s="1057"/>
      <c r="G175" s="1057"/>
      <c r="H175" s="1057"/>
      <c r="I175" s="1079"/>
      <c r="J175" s="1080"/>
      <c r="K175" s="1058"/>
      <c r="L175" s="1058"/>
      <c r="M175" s="1058"/>
      <c r="N175" s="1058"/>
      <c r="O175" s="1058"/>
      <c r="P175" s="1058"/>
      <c r="Q175" s="1058"/>
      <c r="R175" s="1058"/>
      <c r="S175" s="1058"/>
    </row>
    <row r="176" spans="1:20" s="22" customFormat="1" ht="18.75" customHeight="1" thickBot="1">
      <c r="A176" s="255" t="s">
        <v>2637</v>
      </c>
      <c r="B176" s="256" t="s">
        <v>2681</v>
      </c>
      <c r="C176" s="264" t="s">
        <v>2682</v>
      </c>
      <c r="D176" s="968"/>
      <c r="E176" s="257" t="s">
        <v>1783</v>
      </c>
      <c r="F176" s="368">
        <f>J169</f>
        <v>4.326075</v>
      </c>
      <c r="G176" s="368"/>
      <c r="H176" s="368">
        <f>F176*G176</f>
        <v>0</v>
      </c>
      <c r="I176" s="369">
        <v>0</v>
      </c>
      <c r="J176" s="370">
        <f>F176*I176</f>
        <v>0</v>
      </c>
      <c r="K176" s="509"/>
      <c r="L176" s="509"/>
      <c r="M176" s="509"/>
      <c r="N176" s="509"/>
      <c r="O176" s="509"/>
      <c r="P176" s="509"/>
      <c r="Q176" s="704"/>
      <c r="R176" s="509"/>
      <c r="S176" s="509"/>
      <c r="T176" s="509"/>
    </row>
    <row r="177" spans="1:20" ht="16.5" customHeight="1" thickBot="1">
      <c r="A177" s="266" t="s">
        <v>2683</v>
      </c>
      <c r="B177" s="175" t="s">
        <v>2684</v>
      </c>
      <c r="C177" s="176" t="s">
        <v>2685</v>
      </c>
      <c r="D177" s="1008"/>
      <c r="E177" s="175"/>
      <c r="F177" s="341"/>
      <c r="G177" s="341"/>
      <c r="H177" s="342">
        <f>SUM(H178)</f>
        <v>0</v>
      </c>
      <c r="I177" s="343"/>
      <c r="J177" s="344">
        <f>SUM(J178)</f>
        <v>0</v>
      </c>
      <c r="K177" s="670"/>
      <c r="L177" s="670"/>
      <c r="M177" s="670"/>
      <c r="N177" s="670"/>
      <c r="O177" s="670"/>
      <c r="P177" s="670"/>
      <c r="Q177" s="670"/>
      <c r="R177" s="670"/>
      <c r="S177" s="670"/>
      <c r="T177" s="670"/>
    </row>
    <row r="178" spans="1:20" s="22" customFormat="1" ht="17.25" customHeight="1" thickBot="1">
      <c r="A178" s="196"/>
      <c r="B178" s="197"/>
      <c r="C178" s="199"/>
      <c r="D178" s="917"/>
      <c r="E178" s="198"/>
      <c r="F178" s="332"/>
      <c r="G178" s="332"/>
      <c r="H178" s="332"/>
      <c r="I178" s="333"/>
      <c r="J178" s="334"/>
      <c r="K178" s="509"/>
      <c r="L178" s="509"/>
      <c r="M178" s="509"/>
      <c r="N178" s="509"/>
      <c r="O178" s="509"/>
      <c r="P178" s="509"/>
      <c r="Q178" s="509"/>
      <c r="R178" s="509"/>
      <c r="S178" s="509"/>
      <c r="T178" s="509"/>
    </row>
    <row r="179" spans="1:20" ht="16.5" customHeight="1" thickBot="1">
      <c r="A179" s="266" t="s">
        <v>2686</v>
      </c>
      <c r="B179" s="175" t="s">
        <v>2687</v>
      </c>
      <c r="C179" s="176" t="s">
        <v>2688</v>
      </c>
      <c r="D179" s="1008"/>
      <c r="E179" s="175"/>
      <c r="F179" s="341"/>
      <c r="G179" s="341"/>
      <c r="H179" s="342">
        <f>SUM(H180:H183)</f>
        <v>0</v>
      </c>
      <c r="I179" s="343"/>
      <c r="J179" s="344">
        <f>SUM(J180:J183)</f>
        <v>0</v>
      </c>
      <c r="K179" s="670"/>
      <c r="L179" s="670"/>
      <c r="M179" s="670"/>
      <c r="N179" s="670"/>
      <c r="O179" s="670"/>
      <c r="P179" s="670"/>
      <c r="Q179" s="670"/>
      <c r="R179" s="670"/>
      <c r="S179" s="670"/>
      <c r="T179" s="670"/>
    </row>
    <row r="180" spans="1:20" s="586" customFormat="1" ht="60.75" customHeight="1">
      <c r="A180" s="770"/>
      <c r="B180" s="771" t="s">
        <v>1676</v>
      </c>
      <c r="C180" s="772" t="s">
        <v>2689</v>
      </c>
      <c r="D180" s="979" t="s">
        <v>2749</v>
      </c>
      <c r="E180" s="773"/>
      <c r="F180" s="774"/>
      <c r="G180" s="774"/>
      <c r="H180" s="774"/>
      <c r="I180" s="775"/>
      <c r="J180" s="776"/>
      <c r="K180" s="707"/>
      <c r="L180" s="707"/>
      <c r="M180" s="707"/>
      <c r="N180" s="707"/>
      <c r="O180" s="707"/>
      <c r="P180" s="707"/>
      <c r="Q180" s="707"/>
      <c r="R180" s="707"/>
      <c r="S180" s="707"/>
      <c r="T180" s="707"/>
    </row>
    <row r="181" spans="1:20" s="22" customFormat="1" ht="34.5" customHeight="1">
      <c r="A181" s="196" t="s">
        <v>2690</v>
      </c>
      <c r="B181" s="197" t="s">
        <v>2691</v>
      </c>
      <c r="C181" s="453" t="s">
        <v>1178</v>
      </c>
      <c r="D181" s="917" t="s">
        <v>2749</v>
      </c>
      <c r="E181" s="198" t="s">
        <v>1831</v>
      </c>
      <c r="F181" s="332">
        <v>25</v>
      </c>
      <c r="G181" s="332"/>
      <c r="H181" s="332">
        <f>F181*G181</f>
        <v>0</v>
      </c>
      <c r="I181" s="333">
        <v>0</v>
      </c>
      <c r="J181" s="334">
        <f>F181*I181</f>
        <v>0</v>
      </c>
      <c r="K181" s="509"/>
      <c r="L181" s="509"/>
      <c r="M181" s="509"/>
      <c r="N181" s="509"/>
      <c r="O181" s="509"/>
      <c r="P181" s="509"/>
      <c r="Q181" s="509"/>
      <c r="R181" s="509"/>
      <c r="S181" s="509"/>
      <c r="T181" s="509"/>
    </row>
    <row r="182" spans="1:20" s="22" customFormat="1" ht="42.75" customHeight="1">
      <c r="A182" s="196" t="s">
        <v>2693</v>
      </c>
      <c r="B182" s="197" t="s">
        <v>2691</v>
      </c>
      <c r="C182" s="705" t="s">
        <v>2694</v>
      </c>
      <c r="D182" s="917" t="s">
        <v>2749</v>
      </c>
      <c r="E182" s="198" t="s">
        <v>2695</v>
      </c>
      <c r="F182" s="332">
        <v>1</v>
      </c>
      <c r="G182" s="828"/>
      <c r="H182" s="332">
        <f>F182*G182</f>
        <v>0</v>
      </c>
      <c r="I182" s="333">
        <v>0</v>
      </c>
      <c r="J182" s="334">
        <f>F182*I182</f>
        <v>0</v>
      </c>
      <c r="K182" s="509"/>
      <c r="L182" s="509"/>
      <c r="M182" s="509"/>
      <c r="N182" s="509"/>
      <c r="O182" s="509"/>
      <c r="P182" s="509"/>
      <c r="Q182" s="509"/>
      <c r="R182" s="509"/>
      <c r="S182" s="509"/>
      <c r="T182" s="509"/>
    </row>
    <row r="183" spans="1:20" s="461" customFormat="1" ht="18.75" customHeight="1" thickBot="1">
      <c r="A183" s="454"/>
      <c r="B183" s="455"/>
      <c r="C183" s="456" t="s">
        <v>1252</v>
      </c>
      <c r="D183" s="916"/>
      <c r="E183" s="457">
        <f>25*500</f>
        <v>12500</v>
      </c>
      <c r="F183" s="458"/>
      <c r="G183" s="458"/>
      <c r="H183" s="458"/>
      <c r="I183" s="459"/>
      <c r="J183" s="460"/>
      <c r="K183" s="729"/>
      <c r="L183" s="729"/>
      <c r="M183" s="729"/>
      <c r="N183" s="729"/>
      <c r="O183" s="729"/>
      <c r="P183" s="729"/>
      <c r="Q183" s="729"/>
      <c r="R183" s="729"/>
      <c r="S183" s="729"/>
      <c r="T183" s="729"/>
    </row>
    <row r="184" spans="1:20" ht="16.5" customHeight="1" thickBot="1">
      <c r="A184" s="266" t="s">
        <v>2697</v>
      </c>
      <c r="B184" s="175" t="s">
        <v>2698</v>
      </c>
      <c r="C184" s="176" t="s">
        <v>2699</v>
      </c>
      <c r="D184" s="1008"/>
      <c r="E184" s="175"/>
      <c r="F184" s="341"/>
      <c r="G184" s="341"/>
      <c r="H184" s="342">
        <f>SUM(H185:H185)</f>
        <v>0</v>
      </c>
      <c r="I184" s="343"/>
      <c r="J184" s="344">
        <f>SUM(J185)</f>
        <v>0</v>
      </c>
      <c r="K184" s="670"/>
      <c r="L184" s="670"/>
      <c r="M184" s="670"/>
      <c r="N184" s="670"/>
      <c r="O184" s="670"/>
      <c r="P184" s="670"/>
      <c r="Q184" s="670"/>
      <c r="R184" s="670"/>
      <c r="S184" s="670"/>
      <c r="T184" s="670"/>
    </row>
    <row r="185" spans="1:20" s="22" customFormat="1" ht="17.25" customHeight="1" thickBot="1">
      <c r="A185" s="196"/>
      <c r="B185" s="197"/>
      <c r="C185" s="199"/>
      <c r="D185" s="917"/>
      <c r="E185" s="198"/>
      <c r="F185" s="332"/>
      <c r="G185" s="332"/>
      <c r="H185" s="332"/>
      <c r="I185" s="333"/>
      <c r="J185" s="334"/>
      <c r="K185" s="509"/>
      <c r="L185" s="509"/>
      <c r="M185" s="509"/>
      <c r="N185" s="509"/>
      <c r="O185" s="509"/>
      <c r="P185" s="509"/>
      <c r="Q185" s="509"/>
      <c r="R185" s="509"/>
      <c r="S185" s="509"/>
      <c r="T185" s="509"/>
    </row>
    <row r="186" spans="1:20" ht="16.5" customHeight="1" thickBot="1">
      <c r="A186" s="266" t="s">
        <v>2735</v>
      </c>
      <c r="B186" s="175" t="s">
        <v>2736</v>
      </c>
      <c r="C186" s="176" t="s">
        <v>2737</v>
      </c>
      <c r="D186" s="1008"/>
      <c r="E186" s="175"/>
      <c r="F186" s="341"/>
      <c r="G186" s="341"/>
      <c r="H186" s="342">
        <f>SUM(H187:H203)</f>
        <v>0</v>
      </c>
      <c r="I186" s="343"/>
      <c r="J186" s="344">
        <f>SUM(J187:J202)</f>
        <v>2.4511520000000004</v>
      </c>
      <c r="K186" s="670"/>
      <c r="L186" s="670"/>
      <c r="M186" s="670"/>
      <c r="N186" s="670"/>
      <c r="O186" s="670"/>
      <c r="P186" s="670"/>
      <c r="Q186" s="670"/>
      <c r="R186" s="670"/>
      <c r="S186" s="670"/>
      <c r="T186" s="670"/>
    </row>
    <row r="187" spans="1:20" s="22" customFormat="1" ht="33" customHeight="1">
      <c r="A187" s="190"/>
      <c r="B187" s="191"/>
      <c r="C187" s="316" t="s">
        <v>2738</v>
      </c>
      <c r="D187" s="964"/>
      <c r="E187" s="192"/>
      <c r="F187" s="345"/>
      <c r="G187" s="345"/>
      <c r="H187" s="345"/>
      <c r="I187" s="346"/>
      <c r="J187" s="347"/>
      <c r="K187" s="693"/>
      <c r="L187" s="693"/>
      <c r="M187" s="693"/>
      <c r="N187" s="693"/>
      <c r="O187" s="693"/>
      <c r="P187" s="693"/>
      <c r="Q187" s="694"/>
      <c r="R187" s="509"/>
      <c r="S187" s="509"/>
      <c r="T187" s="509"/>
    </row>
    <row r="188" spans="1:20" s="22" customFormat="1" ht="18.75" customHeight="1">
      <c r="A188" s="196" t="s">
        <v>2739</v>
      </c>
      <c r="B188" s="197" t="s">
        <v>2740</v>
      </c>
      <c r="C188" s="199" t="s">
        <v>446</v>
      </c>
      <c r="D188" s="917" t="s">
        <v>447</v>
      </c>
      <c r="E188" s="198" t="s">
        <v>1826</v>
      </c>
      <c r="F188" s="332">
        <v>47.5</v>
      </c>
      <c r="G188" s="332"/>
      <c r="H188" s="332">
        <f aca="true" t="shared" si="14" ref="H188:H198">F188*G188</f>
        <v>0</v>
      </c>
      <c r="I188" s="333">
        <v>0.00301</v>
      </c>
      <c r="J188" s="334">
        <f aca="true" t="shared" si="15" ref="J188:J198">F188*I188</f>
        <v>0.142975</v>
      </c>
      <c r="K188" s="693"/>
      <c r="L188" s="693"/>
      <c r="M188" s="693"/>
      <c r="N188" s="509"/>
      <c r="O188" s="509"/>
      <c r="P188" s="509"/>
      <c r="Q188" s="704"/>
      <c r="R188" s="509"/>
      <c r="S188" s="509"/>
      <c r="T188" s="509"/>
    </row>
    <row r="189" spans="1:20" s="22" customFormat="1" ht="18.75" customHeight="1">
      <c r="A189" s="196" t="s">
        <v>448</v>
      </c>
      <c r="B189" s="197" t="s">
        <v>1006</v>
      </c>
      <c r="C189" s="199" t="s">
        <v>1007</v>
      </c>
      <c r="D189" s="917" t="s">
        <v>1008</v>
      </c>
      <c r="E189" s="198" t="s">
        <v>1826</v>
      </c>
      <c r="F189" s="332">
        <v>8.2</v>
      </c>
      <c r="G189" s="332"/>
      <c r="H189" s="332">
        <f t="shared" si="14"/>
        <v>0</v>
      </c>
      <c r="I189" s="333">
        <v>0.00347</v>
      </c>
      <c r="J189" s="334">
        <f t="shared" si="15"/>
        <v>0.028453999999999997</v>
      </c>
      <c r="K189" s="509"/>
      <c r="L189" s="509"/>
      <c r="M189" s="509"/>
      <c r="N189" s="509"/>
      <c r="O189" s="509"/>
      <c r="P189" s="509"/>
      <c r="Q189" s="704"/>
      <c r="R189" s="509"/>
      <c r="S189" s="509"/>
      <c r="T189" s="509"/>
    </row>
    <row r="190" spans="1:21" s="22" customFormat="1" ht="18.75" customHeight="1">
      <c r="A190" s="196" t="s">
        <v>452</v>
      </c>
      <c r="B190" s="197" t="s">
        <v>449</v>
      </c>
      <c r="C190" s="199" t="s">
        <v>790</v>
      </c>
      <c r="D190" s="917" t="s">
        <v>451</v>
      </c>
      <c r="E190" s="198" t="s">
        <v>1826</v>
      </c>
      <c r="F190" s="332">
        <v>47.5</v>
      </c>
      <c r="G190" s="332"/>
      <c r="H190" s="332">
        <f t="shared" si="14"/>
        <v>0</v>
      </c>
      <c r="I190" s="333">
        <v>0.00295</v>
      </c>
      <c r="J190" s="334">
        <f t="shared" si="15"/>
        <v>0.140125</v>
      </c>
      <c r="K190" s="509"/>
      <c r="L190" s="585"/>
      <c r="M190" s="585"/>
      <c r="N190" s="585"/>
      <c r="O190" s="585"/>
      <c r="P190" s="585"/>
      <c r="Q190" s="585"/>
      <c r="R190" s="585"/>
      <c r="S190" s="585"/>
      <c r="T190" s="585"/>
      <c r="U190" s="777"/>
    </row>
    <row r="191" spans="1:20" s="22" customFormat="1" ht="18.75" customHeight="1">
      <c r="A191" s="196" t="s">
        <v>456</v>
      </c>
      <c r="B191" s="197" t="s">
        <v>491</v>
      </c>
      <c r="C191" s="199" t="s">
        <v>492</v>
      </c>
      <c r="D191" s="917" t="s">
        <v>791</v>
      </c>
      <c r="E191" s="198" t="s">
        <v>1826</v>
      </c>
      <c r="F191" s="332">
        <v>128</v>
      </c>
      <c r="G191" s="332"/>
      <c r="H191" s="332">
        <f t="shared" si="14"/>
        <v>0</v>
      </c>
      <c r="I191" s="333">
        <v>0.00339</v>
      </c>
      <c r="J191" s="334">
        <f t="shared" si="15"/>
        <v>0.43392</v>
      </c>
      <c r="K191" s="509"/>
      <c r="L191" s="509"/>
      <c r="M191" s="509"/>
      <c r="N191" s="509"/>
      <c r="O191" s="509"/>
      <c r="P191" s="509"/>
      <c r="Q191" s="509"/>
      <c r="R191" s="509"/>
      <c r="S191" s="509"/>
      <c r="T191" s="509"/>
    </row>
    <row r="192" spans="1:20" s="22" customFormat="1" ht="18.75" customHeight="1">
      <c r="A192" s="196" t="s">
        <v>460</v>
      </c>
      <c r="B192" s="197" t="s">
        <v>792</v>
      </c>
      <c r="C192" s="246" t="s">
        <v>793</v>
      </c>
      <c r="D192" s="917" t="s">
        <v>794</v>
      </c>
      <c r="E192" s="198" t="s">
        <v>1826</v>
      </c>
      <c r="F192" s="332">
        <v>35</v>
      </c>
      <c r="G192" s="332"/>
      <c r="H192" s="332">
        <f t="shared" si="14"/>
        <v>0</v>
      </c>
      <c r="I192" s="333">
        <v>0.00363</v>
      </c>
      <c r="J192" s="334">
        <f t="shared" si="15"/>
        <v>0.12705</v>
      </c>
      <c r="K192" s="509"/>
      <c r="L192" s="509"/>
      <c r="M192" s="509"/>
      <c r="N192" s="509"/>
      <c r="O192" s="509"/>
      <c r="P192" s="509"/>
      <c r="Q192" s="509"/>
      <c r="R192" s="509"/>
      <c r="S192" s="509"/>
      <c r="T192" s="509"/>
    </row>
    <row r="193" spans="1:20" s="22" customFormat="1" ht="18.75" customHeight="1">
      <c r="A193" s="196" t="s">
        <v>464</v>
      </c>
      <c r="B193" s="197" t="s">
        <v>461</v>
      </c>
      <c r="C193" s="246" t="s">
        <v>1253</v>
      </c>
      <c r="D193" s="917" t="s">
        <v>1254</v>
      </c>
      <c r="E193" s="198" t="s">
        <v>1826</v>
      </c>
      <c r="F193" s="332">
        <v>128</v>
      </c>
      <c r="G193" s="332"/>
      <c r="H193" s="332">
        <f t="shared" si="14"/>
        <v>0</v>
      </c>
      <c r="I193" s="333">
        <v>0.00285</v>
      </c>
      <c r="J193" s="334">
        <f t="shared" si="15"/>
        <v>0.3648</v>
      </c>
      <c r="K193" s="509"/>
      <c r="L193" s="509"/>
      <c r="M193" s="509"/>
      <c r="N193" s="509"/>
      <c r="O193" s="509"/>
      <c r="P193" s="509"/>
      <c r="Q193" s="704"/>
      <c r="R193" s="509"/>
      <c r="S193" s="509"/>
      <c r="T193" s="509"/>
    </row>
    <row r="194" spans="1:20" s="22" customFormat="1" ht="18.75" customHeight="1">
      <c r="A194" s="196" t="s">
        <v>468</v>
      </c>
      <c r="B194" s="197" t="s">
        <v>457</v>
      </c>
      <c r="C194" s="246" t="s">
        <v>458</v>
      </c>
      <c r="D194" s="917" t="s">
        <v>459</v>
      </c>
      <c r="E194" s="198" t="s">
        <v>1826</v>
      </c>
      <c r="F194" s="332">
        <v>34.2</v>
      </c>
      <c r="G194" s="332"/>
      <c r="H194" s="332">
        <f t="shared" si="14"/>
        <v>0</v>
      </c>
      <c r="I194" s="333">
        <v>0.00376</v>
      </c>
      <c r="J194" s="334">
        <f t="shared" si="15"/>
        <v>0.128592</v>
      </c>
      <c r="K194" s="509"/>
      <c r="L194" s="509"/>
      <c r="M194" s="509"/>
      <c r="N194" s="509"/>
      <c r="O194" s="509"/>
      <c r="P194" s="509"/>
      <c r="Q194" s="704"/>
      <c r="R194" s="509"/>
      <c r="S194" s="509"/>
      <c r="T194" s="509"/>
    </row>
    <row r="195" spans="1:20" s="22" customFormat="1" ht="18.75" customHeight="1">
      <c r="A195" s="196" t="s">
        <v>471</v>
      </c>
      <c r="B195" s="197" t="s">
        <v>1013</v>
      </c>
      <c r="C195" s="246" t="s">
        <v>1255</v>
      </c>
      <c r="D195" s="917" t="s">
        <v>1256</v>
      </c>
      <c r="E195" s="198" t="s">
        <v>1826</v>
      </c>
      <c r="F195" s="332">
        <v>128</v>
      </c>
      <c r="G195" s="332"/>
      <c r="H195" s="332">
        <f t="shared" si="14"/>
        <v>0</v>
      </c>
      <c r="I195" s="333">
        <v>0.00435</v>
      </c>
      <c r="J195" s="334">
        <f t="shared" si="15"/>
        <v>0.5568</v>
      </c>
      <c r="K195" s="509"/>
      <c r="L195" s="585"/>
      <c r="M195" s="585"/>
      <c r="N195" s="585"/>
      <c r="O195" s="585"/>
      <c r="P195" s="585"/>
      <c r="Q195" s="585"/>
      <c r="R195" s="509"/>
      <c r="S195" s="509"/>
      <c r="T195" s="509"/>
    </row>
    <row r="196" spans="1:20" s="22" customFormat="1" ht="18.75" customHeight="1">
      <c r="A196" s="196" t="s">
        <v>474</v>
      </c>
      <c r="B196" s="197" t="s">
        <v>521</v>
      </c>
      <c r="C196" s="246" t="s">
        <v>1257</v>
      </c>
      <c r="D196" s="917" t="s">
        <v>1258</v>
      </c>
      <c r="E196" s="198" t="s">
        <v>1826</v>
      </c>
      <c r="F196" s="332">
        <v>8.9</v>
      </c>
      <c r="G196" s="332"/>
      <c r="H196" s="332">
        <f t="shared" si="14"/>
        <v>0</v>
      </c>
      <c r="I196" s="333">
        <v>0.0038</v>
      </c>
      <c r="J196" s="334">
        <f t="shared" si="15"/>
        <v>0.03382</v>
      </c>
      <c r="K196" s="509"/>
      <c r="L196" s="585"/>
      <c r="M196" s="509"/>
      <c r="N196" s="509"/>
      <c r="O196" s="509"/>
      <c r="P196" s="509"/>
      <c r="Q196" s="509"/>
      <c r="R196" s="509"/>
      <c r="S196" s="509"/>
      <c r="T196" s="509"/>
    </row>
    <row r="197" spans="1:20" s="22" customFormat="1" ht="18.75" customHeight="1">
      <c r="A197" s="196" t="s">
        <v>478</v>
      </c>
      <c r="B197" s="197" t="s">
        <v>491</v>
      </c>
      <c r="C197" s="246" t="s">
        <v>1259</v>
      </c>
      <c r="D197" s="917" t="s">
        <v>1260</v>
      </c>
      <c r="E197" s="198" t="s">
        <v>1826</v>
      </c>
      <c r="F197" s="332">
        <v>8.9</v>
      </c>
      <c r="G197" s="332"/>
      <c r="H197" s="332">
        <f t="shared" si="14"/>
        <v>0</v>
      </c>
      <c r="I197" s="333">
        <v>0.00339</v>
      </c>
      <c r="J197" s="334">
        <f t="shared" si="15"/>
        <v>0.030171</v>
      </c>
      <c r="K197" s="509"/>
      <c r="L197" s="509"/>
      <c r="M197" s="509"/>
      <c r="N197" s="509"/>
      <c r="O197" s="509"/>
      <c r="P197" s="509"/>
      <c r="Q197" s="509"/>
      <c r="R197" s="509"/>
      <c r="S197" s="509"/>
      <c r="T197" s="509"/>
    </row>
    <row r="198" spans="1:20" s="22" customFormat="1" ht="18.75" customHeight="1">
      <c r="A198" s="196" t="s">
        <v>482</v>
      </c>
      <c r="B198" s="197" t="s">
        <v>461</v>
      </c>
      <c r="C198" s="246" t="s">
        <v>462</v>
      </c>
      <c r="D198" s="917" t="s">
        <v>463</v>
      </c>
      <c r="E198" s="198" t="s">
        <v>1826</v>
      </c>
      <c r="F198" s="332">
        <v>88</v>
      </c>
      <c r="G198" s="332"/>
      <c r="H198" s="332">
        <f t="shared" si="14"/>
        <v>0</v>
      </c>
      <c r="I198" s="333">
        <v>0.00285</v>
      </c>
      <c r="J198" s="334">
        <f t="shared" si="15"/>
        <v>0.2508</v>
      </c>
      <c r="K198" s="509"/>
      <c r="L198" s="509"/>
      <c r="M198" s="509"/>
      <c r="N198" s="509"/>
      <c r="O198" s="509"/>
      <c r="P198" s="509"/>
      <c r="Q198" s="509"/>
      <c r="R198" s="509"/>
      <c r="S198" s="509"/>
      <c r="T198" s="509"/>
    </row>
    <row r="199" spans="1:20" s="22" customFormat="1" ht="18.75" customHeight="1">
      <c r="A199" s="196" t="s">
        <v>486</v>
      </c>
      <c r="B199" s="197" t="s">
        <v>796</v>
      </c>
      <c r="C199" s="199" t="s">
        <v>797</v>
      </c>
      <c r="D199" s="917" t="s">
        <v>798</v>
      </c>
      <c r="E199" s="198" t="s">
        <v>1826</v>
      </c>
      <c r="F199" s="332">
        <v>12.5</v>
      </c>
      <c r="G199" s="332"/>
      <c r="H199" s="332">
        <f>F199*G199</f>
        <v>0</v>
      </c>
      <c r="I199" s="333">
        <v>0.00469</v>
      </c>
      <c r="J199" s="334">
        <f>F199*I199</f>
        <v>0.058625</v>
      </c>
      <c r="K199" s="509"/>
      <c r="L199" s="509"/>
      <c r="M199" s="509"/>
      <c r="N199" s="509"/>
      <c r="O199" s="509"/>
      <c r="P199" s="509"/>
      <c r="Q199" s="509"/>
      <c r="R199" s="509"/>
      <c r="S199" s="509"/>
      <c r="T199" s="509"/>
    </row>
    <row r="200" spans="1:20" s="22" customFormat="1" ht="18.75" customHeight="1">
      <c r="A200" s="196" t="s">
        <v>490</v>
      </c>
      <c r="B200" s="197" t="s">
        <v>475</v>
      </c>
      <c r="C200" s="199" t="s">
        <v>476</v>
      </c>
      <c r="D200" s="917" t="s">
        <v>477</v>
      </c>
      <c r="E200" s="198" t="s">
        <v>1748</v>
      </c>
      <c r="F200" s="332">
        <f>8.8*0.5+1.1</f>
        <v>5.5</v>
      </c>
      <c r="G200" s="332"/>
      <c r="H200" s="332">
        <f>F200*G200</f>
        <v>0</v>
      </c>
      <c r="I200" s="333">
        <v>0.0098</v>
      </c>
      <c r="J200" s="334">
        <f>F200*I200</f>
        <v>0.053899999999999997</v>
      </c>
      <c r="K200" s="509"/>
      <c r="L200" s="509"/>
      <c r="M200" s="509"/>
      <c r="N200" s="509"/>
      <c r="O200" s="509"/>
      <c r="P200" s="509"/>
      <c r="Q200" s="509"/>
      <c r="R200" s="509"/>
      <c r="S200" s="509"/>
      <c r="T200" s="509"/>
    </row>
    <row r="201" spans="1:20" s="22" customFormat="1" ht="18.75" customHeight="1">
      <c r="A201" s="196" t="s">
        <v>494</v>
      </c>
      <c r="B201" s="197" t="s">
        <v>525</v>
      </c>
      <c r="C201" s="199" t="s">
        <v>526</v>
      </c>
      <c r="D201" s="917" t="s">
        <v>2525</v>
      </c>
      <c r="E201" s="198" t="s">
        <v>1831</v>
      </c>
      <c r="F201" s="332">
        <v>8</v>
      </c>
      <c r="G201" s="332"/>
      <c r="H201" s="332">
        <f>F201*G201</f>
        <v>0</v>
      </c>
      <c r="I201" s="333">
        <v>0.00801</v>
      </c>
      <c r="J201" s="334">
        <f>F201*I201</f>
        <v>0.06408</v>
      </c>
      <c r="K201" s="509"/>
      <c r="L201" s="509"/>
      <c r="M201" s="509"/>
      <c r="N201" s="509"/>
      <c r="O201" s="509"/>
      <c r="P201" s="509"/>
      <c r="Q201" s="509"/>
      <c r="R201" s="509"/>
      <c r="S201" s="509"/>
      <c r="T201" s="509"/>
    </row>
    <row r="202" spans="1:20" s="22" customFormat="1" ht="18.75" customHeight="1">
      <c r="A202" s="196" t="s">
        <v>497</v>
      </c>
      <c r="B202" s="197" t="s">
        <v>2523</v>
      </c>
      <c r="C202" s="199" t="s">
        <v>2524</v>
      </c>
      <c r="D202" s="917" t="s">
        <v>2525</v>
      </c>
      <c r="E202" s="198" t="s">
        <v>1831</v>
      </c>
      <c r="F202" s="332">
        <v>8</v>
      </c>
      <c r="G202" s="332"/>
      <c r="H202" s="332">
        <f>F202*G202</f>
        <v>0</v>
      </c>
      <c r="I202" s="333">
        <v>0.00463</v>
      </c>
      <c r="J202" s="334">
        <f>F202*I202</f>
        <v>0.03704</v>
      </c>
      <c r="K202" s="509"/>
      <c r="L202" s="509"/>
      <c r="M202" s="509"/>
      <c r="N202" s="509"/>
      <c r="O202" s="509"/>
      <c r="P202" s="509"/>
      <c r="Q202" s="509"/>
      <c r="R202" s="509"/>
      <c r="S202" s="509"/>
      <c r="T202" s="509"/>
    </row>
    <row r="203" spans="1:20" s="22" customFormat="1" ht="18.75" customHeight="1" thickBot="1">
      <c r="A203" s="196" t="s">
        <v>501</v>
      </c>
      <c r="B203" s="256" t="s">
        <v>533</v>
      </c>
      <c r="C203" s="264" t="s">
        <v>534</v>
      </c>
      <c r="D203" s="968"/>
      <c r="E203" s="257" t="s">
        <v>1783</v>
      </c>
      <c r="F203" s="368">
        <f>J186</f>
        <v>2.4511520000000004</v>
      </c>
      <c r="G203" s="368"/>
      <c r="H203" s="368">
        <f>F203*G203</f>
        <v>0</v>
      </c>
      <c r="I203" s="369">
        <v>0</v>
      </c>
      <c r="J203" s="370">
        <f>F203*I203</f>
        <v>0</v>
      </c>
      <c r="K203" s="509"/>
      <c r="L203" s="509"/>
      <c r="M203" s="509"/>
      <c r="N203" s="509"/>
      <c r="O203" s="509"/>
      <c r="P203" s="509"/>
      <c r="Q203" s="509"/>
      <c r="R203" s="509"/>
      <c r="S203" s="509"/>
      <c r="T203" s="509"/>
    </row>
    <row r="204" spans="1:20" ht="16.5" customHeight="1" thickBot="1">
      <c r="A204" s="266" t="s">
        <v>535</v>
      </c>
      <c r="B204" s="175" t="s">
        <v>536</v>
      </c>
      <c r="C204" s="176" t="s">
        <v>537</v>
      </c>
      <c r="D204" s="1008"/>
      <c r="E204" s="175"/>
      <c r="F204" s="341"/>
      <c r="G204" s="341"/>
      <c r="H204" s="342">
        <f>SUM(H206:H221)</f>
        <v>0</v>
      </c>
      <c r="I204" s="343"/>
      <c r="J204" s="344">
        <f>SUM(J206:J220)</f>
        <v>0.4008280000000001</v>
      </c>
      <c r="K204" s="670"/>
      <c r="L204" s="670"/>
      <c r="M204" s="670"/>
      <c r="N204" s="670"/>
      <c r="O204" s="670"/>
      <c r="P204" s="670"/>
      <c r="Q204" s="670"/>
      <c r="R204" s="670"/>
      <c r="S204" s="670"/>
      <c r="T204" s="670"/>
    </row>
    <row r="205" spans="1:20" s="22" customFormat="1" ht="18" customHeight="1">
      <c r="A205" s="196"/>
      <c r="B205" s="197"/>
      <c r="C205" s="199"/>
      <c r="D205" s="917"/>
      <c r="E205" s="198"/>
      <c r="F205" s="332"/>
      <c r="G205" s="332"/>
      <c r="H205" s="332"/>
      <c r="I205" s="333"/>
      <c r="J205" s="334"/>
      <c r="K205" s="509"/>
      <c r="L205" s="509"/>
      <c r="M205" s="509"/>
      <c r="N205" s="509"/>
      <c r="O205" s="509"/>
      <c r="P205" s="509"/>
      <c r="Q205" s="509"/>
      <c r="R205" s="509"/>
      <c r="S205" s="509"/>
      <c r="T205" s="509"/>
    </row>
    <row r="206" spans="1:20" s="22" customFormat="1" ht="18.75" customHeight="1">
      <c r="A206" s="196" t="s">
        <v>538</v>
      </c>
      <c r="B206" s="197" t="s">
        <v>1030</v>
      </c>
      <c r="C206" s="199" t="s">
        <v>1031</v>
      </c>
      <c r="D206" s="917"/>
      <c r="E206" s="198" t="s">
        <v>1826</v>
      </c>
      <c r="F206" s="332">
        <f>9.7+17.2+22.5</f>
        <v>49.4</v>
      </c>
      <c r="G206" s="332"/>
      <c r="H206" s="332">
        <f aca="true" t="shared" si="16" ref="H206:H220">F206*G206</f>
        <v>0</v>
      </c>
      <c r="I206" s="333">
        <v>6E-05</v>
      </c>
      <c r="J206" s="334">
        <f aca="true" t="shared" si="17" ref="J206:J220">F206*I206</f>
        <v>0.002964</v>
      </c>
      <c r="K206" s="509"/>
      <c r="L206" s="509"/>
      <c r="M206" s="509"/>
      <c r="N206" s="509"/>
      <c r="O206" s="509"/>
      <c r="P206" s="509"/>
      <c r="Q206" s="704"/>
      <c r="R206" s="509"/>
      <c r="S206" s="509"/>
      <c r="T206" s="509"/>
    </row>
    <row r="207" spans="1:20" s="586" customFormat="1" ht="26.25" customHeight="1">
      <c r="A207" s="591" t="s">
        <v>1261</v>
      </c>
      <c r="B207" s="592" t="s">
        <v>1043</v>
      </c>
      <c r="C207" s="705" t="s">
        <v>1044</v>
      </c>
      <c r="D207" s="997" t="s">
        <v>1045</v>
      </c>
      <c r="E207" s="706" t="s">
        <v>1826</v>
      </c>
      <c r="F207" s="594">
        <f>4*2.28</f>
        <v>9.12</v>
      </c>
      <c r="G207" s="594"/>
      <c r="H207" s="594">
        <f t="shared" si="16"/>
        <v>0</v>
      </c>
      <c r="I207" s="595">
        <v>0.01</v>
      </c>
      <c r="J207" s="596">
        <f t="shared" si="17"/>
        <v>0.09119999999999999</v>
      </c>
      <c r="K207" s="707"/>
      <c r="L207" s="707"/>
      <c r="M207" s="707"/>
      <c r="N207" s="707"/>
      <c r="O207" s="707"/>
      <c r="P207" s="707"/>
      <c r="Q207" s="707"/>
      <c r="R207" s="707"/>
      <c r="S207" s="707"/>
      <c r="T207" s="707"/>
    </row>
    <row r="208" spans="1:20" s="22" customFormat="1" ht="18.75" customHeight="1">
      <c r="A208" s="196" t="s">
        <v>542</v>
      </c>
      <c r="B208" s="197" t="s">
        <v>1262</v>
      </c>
      <c r="C208" s="199" t="s">
        <v>1263</v>
      </c>
      <c r="D208" s="917" t="s">
        <v>1264</v>
      </c>
      <c r="E208" s="198" t="s">
        <v>1748</v>
      </c>
      <c r="F208" s="332">
        <f>9.7*1.1</f>
        <v>10.67</v>
      </c>
      <c r="G208" s="332"/>
      <c r="H208" s="332">
        <f t="shared" si="16"/>
        <v>0</v>
      </c>
      <c r="I208" s="333">
        <v>0</v>
      </c>
      <c r="J208" s="334">
        <f t="shared" si="17"/>
        <v>0</v>
      </c>
      <c r="K208" s="509"/>
      <c r="L208" s="509"/>
      <c r="M208" s="509"/>
      <c r="N208" s="509"/>
      <c r="O208" s="509"/>
      <c r="P208" s="509"/>
      <c r="Q208" s="704"/>
      <c r="R208" s="509"/>
      <c r="S208" s="509"/>
      <c r="T208" s="509"/>
    </row>
    <row r="209" spans="1:20" s="22" customFormat="1" ht="18.75" customHeight="1">
      <c r="A209" s="196" t="s">
        <v>545</v>
      </c>
      <c r="B209" s="197" t="s">
        <v>1265</v>
      </c>
      <c r="C209" s="199" t="s">
        <v>1263</v>
      </c>
      <c r="D209" s="917" t="s">
        <v>1266</v>
      </c>
      <c r="E209" s="198" t="s">
        <v>1748</v>
      </c>
      <c r="F209" s="332">
        <f>17.2*1.1</f>
        <v>18.92</v>
      </c>
      <c r="G209" s="332"/>
      <c r="H209" s="332">
        <f t="shared" si="16"/>
        <v>0</v>
      </c>
      <c r="I209" s="333">
        <v>0</v>
      </c>
      <c r="J209" s="334">
        <f t="shared" si="17"/>
        <v>0</v>
      </c>
      <c r="K209" s="509"/>
      <c r="L209" s="509"/>
      <c r="M209" s="509"/>
      <c r="N209" s="509"/>
      <c r="O209" s="509"/>
      <c r="P209" s="509"/>
      <c r="Q209" s="704"/>
      <c r="R209" s="509"/>
      <c r="S209" s="509"/>
      <c r="T209" s="509"/>
    </row>
    <row r="210" spans="1:20" s="1034" customFormat="1" ht="53.25" customHeight="1">
      <c r="A210" s="196" t="s">
        <v>547</v>
      </c>
      <c r="B210" s="197" t="s">
        <v>1267</v>
      </c>
      <c r="C210" s="1025" t="s">
        <v>2835</v>
      </c>
      <c r="D210" s="1177" t="s">
        <v>1268</v>
      </c>
      <c r="E210" s="198" t="s">
        <v>1748</v>
      </c>
      <c r="F210" s="332">
        <f>SUM(E211)</f>
        <v>54</v>
      </c>
      <c r="G210" s="332"/>
      <c r="H210" s="332">
        <f t="shared" si="16"/>
        <v>0</v>
      </c>
      <c r="I210" s="333">
        <v>6E-05</v>
      </c>
      <c r="J210" s="334">
        <f t="shared" si="17"/>
        <v>0.0032400000000000003</v>
      </c>
      <c r="K210" s="1033"/>
      <c r="L210" s="1033"/>
      <c r="M210" s="1033"/>
      <c r="N210" s="1033"/>
      <c r="O210" s="1033"/>
      <c r="P210" s="1033"/>
      <c r="Q210" s="1050"/>
      <c r="R210" s="1033"/>
      <c r="S210" s="1033"/>
      <c r="T210" s="1033"/>
    </row>
    <row r="211" spans="1:17" s="1212" customFormat="1" ht="19.5" customHeight="1">
      <c r="A211" s="1206"/>
      <c r="B211" s="1207"/>
      <c r="C211" s="1208" t="s">
        <v>2836</v>
      </c>
      <c r="D211" s="1214"/>
      <c r="E211" s="207">
        <f>22.5*2.4</f>
        <v>54</v>
      </c>
      <c r="F211" s="1209"/>
      <c r="G211" s="1209"/>
      <c r="H211" s="1209"/>
      <c r="I211" s="1210"/>
      <c r="J211" s="1211"/>
      <c r="Q211" s="1213"/>
    </row>
    <row r="212" spans="1:20" s="22" customFormat="1" ht="27.75" customHeight="1">
      <c r="A212" s="196" t="s">
        <v>550</v>
      </c>
      <c r="B212" s="197" t="s">
        <v>1269</v>
      </c>
      <c r="C212" s="199" t="s">
        <v>1270</v>
      </c>
      <c r="D212" s="917"/>
      <c r="E212" s="198" t="s">
        <v>1748</v>
      </c>
      <c r="F212" s="332">
        <v>5.6</v>
      </c>
      <c r="G212" s="332"/>
      <c r="H212" s="332">
        <f t="shared" si="16"/>
        <v>0</v>
      </c>
      <c r="I212" s="333">
        <v>6E-05</v>
      </c>
      <c r="J212" s="334">
        <f t="shared" si="17"/>
        <v>0.000336</v>
      </c>
      <c r="K212" s="509"/>
      <c r="L212" s="509"/>
      <c r="M212" s="509"/>
      <c r="N212" s="509"/>
      <c r="O212" s="509"/>
      <c r="P212" s="509"/>
      <c r="Q212" s="704"/>
      <c r="R212" s="509"/>
      <c r="S212" s="509"/>
      <c r="T212" s="509"/>
    </row>
    <row r="213" spans="1:20" s="22" customFormat="1" ht="18.75" customHeight="1">
      <c r="A213" s="196" t="s">
        <v>553</v>
      </c>
      <c r="B213" s="197" t="s">
        <v>1271</v>
      </c>
      <c r="C213" s="199" t="s">
        <v>1272</v>
      </c>
      <c r="D213" s="917" t="s">
        <v>1273</v>
      </c>
      <c r="E213" s="198" t="s">
        <v>1826</v>
      </c>
      <c r="F213" s="332">
        <v>4.8</v>
      </c>
      <c r="G213" s="332"/>
      <c r="H213" s="332">
        <f t="shared" si="16"/>
        <v>0</v>
      </c>
      <c r="I213" s="333">
        <v>0</v>
      </c>
      <c r="J213" s="334">
        <f t="shared" si="17"/>
        <v>0</v>
      </c>
      <c r="K213" s="509"/>
      <c r="L213" s="509"/>
      <c r="M213" s="509"/>
      <c r="N213" s="509"/>
      <c r="O213" s="509"/>
      <c r="P213" s="509"/>
      <c r="Q213" s="704"/>
      <c r="R213" s="509"/>
      <c r="S213" s="509"/>
      <c r="T213" s="509"/>
    </row>
    <row r="214" spans="1:20" s="22" customFormat="1" ht="18.75" customHeight="1">
      <c r="A214" s="196" t="s">
        <v>557</v>
      </c>
      <c r="B214" s="197" t="s">
        <v>1274</v>
      </c>
      <c r="C214" s="199" t="s">
        <v>1275</v>
      </c>
      <c r="D214" s="917" t="s">
        <v>1273</v>
      </c>
      <c r="E214" s="198" t="s">
        <v>1826</v>
      </c>
      <c r="F214" s="332">
        <v>4.8</v>
      </c>
      <c r="G214" s="332"/>
      <c r="H214" s="332">
        <f t="shared" si="16"/>
        <v>0</v>
      </c>
      <c r="I214" s="333">
        <v>6E-05</v>
      </c>
      <c r="J214" s="334">
        <f t="shared" si="17"/>
        <v>0.000288</v>
      </c>
      <c r="K214" s="509"/>
      <c r="L214" s="509"/>
      <c r="M214" s="509"/>
      <c r="N214" s="509"/>
      <c r="O214" s="509"/>
      <c r="P214" s="509"/>
      <c r="Q214" s="704"/>
      <c r="R214" s="509"/>
      <c r="S214" s="509"/>
      <c r="T214" s="509"/>
    </row>
    <row r="215" spans="1:20" s="22" customFormat="1" ht="18.75" customHeight="1">
      <c r="A215" s="196" t="s">
        <v>560</v>
      </c>
      <c r="B215" s="197" t="s">
        <v>548</v>
      </c>
      <c r="C215" s="199" t="s">
        <v>551</v>
      </c>
      <c r="D215" s="917" t="s">
        <v>552</v>
      </c>
      <c r="E215" s="198" t="s">
        <v>1718</v>
      </c>
      <c r="F215" s="332">
        <v>2</v>
      </c>
      <c r="G215" s="332"/>
      <c r="H215" s="332">
        <f t="shared" si="16"/>
        <v>0</v>
      </c>
      <c r="I215" s="333">
        <v>0</v>
      </c>
      <c r="J215" s="334">
        <f t="shared" si="17"/>
        <v>0</v>
      </c>
      <c r="K215" s="509"/>
      <c r="L215" s="509"/>
      <c r="M215" s="509"/>
      <c r="N215" s="509"/>
      <c r="O215" s="509"/>
      <c r="P215" s="509"/>
      <c r="Q215" s="704"/>
      <c r="R215" s="509"/>
      <c r="S215" s="509"/>
      <c r="T215" s="509"/>
    </row>
    <row r="216" spans="1:20" s="22" customFormat="1" ht="18.75" customHeight="1">
      <c r="A216" s="196" t="s">
        <v>563</v>
      </c>
      <c r="B216" s="197" t="s">
        <v>554</v>
      </c>
      <c r="C216" s="199" t="s">
        <v>555</v>
      </c>
      <c r="D216" s="917" t="s">
        <v>556</v>
      </c>
      <c r="E216" s="198" t="s">
        <v>1718</v>
      </c>
      <c r="F216" s="332">
        <v>1</v>
      </c>
      <c r="G216" s="332"/>
      <c r="H216" s="332">
        <f t="shared" si="16"/>
        <v>0</v>
      </c>
      <c r="I216" s="333">
        <v>0.0004</v>
      </c>
      <c r="J216" s="334">
        <f t="shared" si="17"/>
        <v>0.0004</v>
      </c>
      <c r="K216" s="730"/>
      <c r="L216" s="509"/>
      <c r="M216" s="509"/>
      <c r="N216" s="509"/>
      <c r="O216" s="509"/>
      <c r="P216" s="509"/>
      <c r="Q216" s="509"/>
      <c r="R216" s="509"/>
      <c r="S216" s="509"/>
      <c r="T216" s="509"/>
    </row>
    <row r="217" spans="1:20" s="22" customFormat="1" ht="18.75" customHeight="1">
      <c r="A217" s="196" t="s">
        <v>567</v>
      </c>
      <c r="B217" s="197" t="s">
        <v>558</v>
      </c>
      <c r="C217" s="199" t="s">
        <v>559</v>
      </c>
      <c r="D217" s="917" t="s">
        <v>556</v>
      </c>
      <c r="E217" s="198" t="s">
        <v>1718</v>
      </c>
      <c r="F217" s="332">
        <v>1</v>
      </c>
      <c r="G217" s="332"/>
      <c r="H217" s="332">
        <f t="shared" si="16"/>
        <v>0</v>
      </c>
      <c r="I217" s="333">
        <v>0.01</v>
      </c>
      <c r="J217" s="334">
        <f t="shared" si="17"/>
        <v>0.01</v>
      </c>
      <c r="K217" s="730"/>
      <c r="L217" s="509"/>
      <c r="M217" s="509"/>
      <c r="N217" s="509"/>
      <c r="O217" s="509"/>
      <c r="P217" s="509"/>
      <c r="Q217" s="509"/>
      <c r="R217" s="509"/>
      <c r="S217" s="509"/>
      <c r="T217" s="509"/>
    </row>
    <row r="218" spans="1:20" s="22" customFormat="1" ht="18.75" customHeight="1">
      <c r="A218" s="196" t="s">
        <v>570</v>
      </c>
      <c r="B218" s="197" t="s">
        <v>564</v>
      </c>
      <c r="C218" s="199" t="s">
        <v>565</v>
      </c>
      <c r="D218" s="917" t="s">
        <v>566</v>
      </c>
      <c r="E218" s="198" t="s">
        <v>1718</v>
      </c>
      <c r="F218" s="332">
        <v>2</v>
      </c>
      <c r="G218" s="332"/>
      <c r="H218" s="332">
        <f t="shared" si="16"/>
        <v>0</v>
      </c>
      <c r="I218" s="333">
        <v>0.07301</v>
      </c>
      <c r="J218" s="334">
        <f t="shared" si="17"/>
        <v>0.14602</v>
      </c>
      <c r="K218" s="730"/>
      <c r="L218" s="509"/>
      <c r="M218" s="509"/>
      <c r="N218" s="509"/>
      <c r="O218" s="509"/>
      <c r="P218" s="509"/>
      <c r="Q218" s="509"/>
      <c r="R218" s="509"/>
      <c r="S218" s="509"/>
      <c r="T218" s="509"/>
    </row>
    <row r="219" spans="1:20" s="22" customFormat="1" ht="18.75" customHeight="1">
      <c r="A219" s="196" t="s">
        <v>574</v>
      </c>
      <c r="B219" s="197" t="s">
        <v>568</v>
      </c>
      <c r="C219" s="199" t="s">
        <v>569</v>
      </c>
      <c r="D219" s="917" t="s">
        <v>566</v>
      </c>
      <c r="E219" s="198" t="s">
        <v>1718</v>
      </c>
      <c r="F219" s="332">
        <v>2</v>
      </c>
      <c r="G219" s="332"/>
      <c r="H219" s="332">
        <f t="shared" si="16"/>
        <v>0</v>
      </c>
      <c r="I219" s="333">
        <v>0.07301</v>
      </c>
      <c r="J219" s="334">
        <f t="shared" si="17"/>
        <v>0.14602</v>
      </c>
      <c r="K219" s="730"/>
      <c r="L219" s="509"/>
      <c r="M219" s="509"/>
      <c r="N219" s="509"/>
      <c r="O219" s="509"/>
      <c r="P219" s="509"/>
      <c r="Q219" s="509"/>
      <c r="R219" s="509"/>
      <c r="S219" s="509"/>
      <c r="T219" s="509"/>
    </row>
    <row r="220" spans="1:20" s="22" customFormat="1" ht="18.75" customHeight="1">
      <c r="A220" s="196" t="s">
        <v>577</v>
      </c>
      <c r="B220" s="197" t="s">
        <v>571</v>
      </c>
      <c r="C220" s="199" t="s">
        <v>572</v>
      </c>
      <c r="D220" s="917" t="s">
        <v>573</v>
      </c>
      <c r="E220" s="198" t="s">
        <v>1826</v>
      </c>
      <c r="F220" s="332">
        <v>6</v>
      </c>
      <c r="G220" s="332"/>
      <c r="H220" s="332">
        <f t="shared" si="16"/>
        <v>0</v>
      </c>
      <c r="I220" s="333">
        <v>6E-05</v>
      </c>
      <c r="J220" s="334">
        <f t="shared" si="17"/>
        <v>0.00036</v>
      </c>
      <c r="K220" s="730"/>
      <c r="L220" s="509"/>
      <c r="M220" s="509"/>
      <c r="N220" s="509"/>
      <c r="O220" s="509"/>
      <c r="P220" s="509"/>
      <c r="Q220" s="509"/>
      <c r="R220" s="509"/>
      <c r="S220" s="509"/>
      <c r="T220" s="509"/>
    </row>
    <row r="221" spans="1:20" s="22" customFormat="1" ht="18.75" customHeight="1" thickBot="1">
      <c r="A221" s="196" t="s">
        <v>578</v>
      </c>
      <c r="B221" s="197" t="s">
        <v>592</v>
      </c>
      <c r="C221" s="199" t="s">
        <v>593</v>
      </c>
      <c r="D221" s="917"/>
      <c r="E221" s="198" t="s">
        <v>1783</v>
      </c>
      <c r="F221" s="332">
        <f>J204</f>
        <v>0.4008280000000001</v>
      </c>
      <c r="G221" s="332"/>
      <c r="H221" s="332">
        <f>F221*G221</f>
        <v>0</v>
      </c>
      <c r="I221" s="333">
        <v>0</v>
      </c>
      <c r="J221" s="334">
        <f>F221*I221</f>
        <v>0</v>
      </c>
      <c r="K221" s="509"/>
      <c r="L221" s="509"/>
      <c r="M221" s="509"/>
      <c r="N221" s="509"/>
      <c r="O221" s="509"/>
      <c r="P221" s="509"/>
      <c r="Q221" s="704"/>
      <c r="R221" s="509"/>
      <c r="S221" s="509"/>
      <c r="T221" s="509"/>
    </row>
    <row r="222" spans="1:20" ht="16.5" customHeight="1" thickBot="1">
      <c r="A222" s="266" t="s">
        <v>848</v>
      </c>
      <c r="B222" s="175" t="s">
        <v>629</v>
      </c>
      <c r="C222" s="176" t="s">
        <v>630</v>
      </c>
      <c r="D222" s="1008"/>
      <c r="E222" s="175"/>
      <c r="F222" s="341"/>
      <c r="G222" s="341"/>
      <c r="H222" s="342">
        <f>SUM(H223:H253)</f>
        <v>0</v>
      </c>
      <c r="I222" s="343"/>
      <c r="J222" s="1012">
        <f>SUM(J223:J251)</f>
        <v>33.66865718</v>
      </c>
      <c r="K222" s="670"/>
      <c r="L222" s="670"/>
      <c r="M222" s="670"/>
      <c r="N222" s="670"/>
      <c r="O222" s="670"/>
      <c r="P222" s="670"/>
      <c r="Q222" s="670"/>
      <c r="R222" s="670"/>
      <c r="S222" s="670"/>
      <c r="T222" s="670"/>
    </row>
    <row r="223" spans="1:20" s="22" customFormat="1" ht="18.75" customHeight="1">
      <c r="A223" s="190" t="s">
        <v>596</v>
      </c>
      <c r="B223" s="191" t="s">
        <v>642</v>
      </c>
      <c r="C223" s="265" t="s">
        <v>643</v>
      </c>
      <c r="D223" s="964" t="s">
        <v>2802</v>
      </c>
      <c r="E223" s="192" t="s">
        <v>1748</v>
      </c>
      <c r="F223" s="345">
        <f>E224</f>
        <v>76.28</v>
      </c>
      <c r="G223" s="345"/>
      <c r="H223" s="345">
        <f>F223*G223</f>
        <v>0</v>
      </c>
      <c r="I223" s="346">
        <v>0</v>
      </c>
      <c r="J223" s="347">
        <f>F223*I223</f>
        <v>0</v>
      </c>
      <c r="K223" s="509"/>
      <c r="L223" s="509"/>
      <c r="M223" s="509"/>
      <c r="N223" s="509"/>
      <c r="O223" s="509"/>
      <c r="P223" s="509"/>
      <c r="Q223" s="704"/>
      <c r="R223" s="509"/>
      <c r="S223" s="509"/>
      <c r="T223" s="509"/>
    </row>
    <row r="224" spans="1:20" s="130" customFormat="1" ht="18.75" customHeight="1">
      <c r="A224" s="204"/>
      <c r="B224" s="205" t="s">
        <v>1920</v>
      </c>
      <c r="C224" s="206" t="s">
        <v>1276</v>
      </c>
      <c r="D224" s="916"/>
      <c r="E224" s="260">
        <f>(3.98+14.1+58.2)*1</f>
        <v>76.28</v>
      </c>
      <c r="F224" s="335"/>
      <c r="G224" s="335"/>
      <c r="H224" s="335"/>
      <c r="I224" s="336"/>
      <c r="J224" s="337"/>
      <c r="K224" s="508"/>
      <c r="L224" s="508"/>
      <c r="M224" s="508"/>
      <c r="N224" s="508"/>
      <c r="O224" s="508"/>
      <c r="P224" s="508"/>
      <c r="Q224" s="508"/>
      <c r="R224" s="508"/>
      <c r="S224" s="508"/>
      <c r="T224" s="508"/>
    </row>
    <row r="225" spans="1:20" s="22" customFormat="1" ht="18.75" customHeight="1">
      <c r="A225" s="196" t="s">
        <v>605</v>
      </c>
      <c r="B225" s="197" t="s">
        <v>653</v>
      </c>
      <c r="C225" s="199" t="s">
        <v>654</v>
      </c>
      <c r="D225" s="917" t="s">
        <v>2802</v>
      </c>
      <c r="E225" s="198" t="s">
        <v>1748</v>
      </c>
      <c r="F225" s="332">
        <f>SUM(E226:E226)</f>
        <v>76.28</v>
      </c>
      <c r="G225" s="332"/>
      <c r="H225" s="332">
        <f>F225*G225</f>
        <v>0</v>
      </c>
      <c r="I225" s="333">
        <v>0.02214</v>
      </c>
      <c r="J225" s="334">
        <f>F225*I225</f>
        <v>1.6888392</v>
      </c>
      <c r="K225" s="509"/>
      <c r="L225" s="509"/>
      <c r="M225" s="509"/>
      <c r="N225" s="509"/>
      <c r="O225" s="509"/>
      <c r="P225" s="509"/>
      <c r="Q225" s="509"/>
      <c r="R225" s="509"/>
      <c r="S225" s="509"/>
      <c r="T225" s="509"/>
    </row>
    <row r="226" spans="1:20" s="130" customFormat="1" ht="18.75" customHeight="1">
      <c r="A226" s="204"/>
      <c r="B226" s="205" t="s">
        <v>1920</v>
      </c>
      <c r="C226" s="206" t="s">
        <v>1276</v>
      </c>
      <c r="D226" s="916"/>
      <c r="E226" s="260">
        <f>(3.98+14.1+58.2)*1</f>
        <v>76.28</v>
      </c>
      <c r="F226" s="335"/>
      <c r="G226" s="335"/>
      <c r="H226" s="335"/>
      <c r="I226" s="336"/>
      <c r="J226" s="337"/>
      <c r="K226" s="508"/>
      <c r="L226" s="508"/>
      <c r="M226" s="508"/>
      <c r="N226" s="508"/>
      <c r="O226" s="508"/>
      <c r="P226" s="508"/>
      <c r="Q226" s="508"/>
      <c r="R226" s="508"/>
      <c r="S226" s="508"/>
      <c r="T226" s="508"/>
    </row>
    <row r="227" spans="1:20" s="22" customFormat="1" ht="18.75" customHeight="1">
      <c r="A227" s="196" t="s">
        <v>608</v>
      </c>
      <c r="B227" s="197" t="s">
        <v>658</v>
      </c>
      <c r="C227" s="199" t="s">
        <v>659</v>
      </c>
      <c r="D227" s="917" t="s">
        <v>2802</v>
      </c>
      <c r="E227" s="198" t="s">
        <v>1748</v>
      </c>
      <c r="F227" s="332">
        <f>SUM(E228:E228)</f>
        <v>76.28</v>
      </c>
      <c r="G227" s="332"/>
      <c r="H227" s="332">
        <f>F227*G227</f>
        <v>0</v>
      </c>
      <c r="I227" s="333">
        <v>0.00022</v>
      </c>
      <c r="J227" s="334">
        <f>F227*I227</f>
        <v>0.0167816</v>
      </c>
      <c r="K227" s="509"/>
      <c r="L227" s="509"/>
      <c r="M227" s="509"/>
      <c r="N227" s="509"/>
      <c r="O227" s="509"/>
      <c r="P227" s="509"/>
      <c r="Q227" s="509"/>
      <c r="R227" s="509"/>
      <c r="S227" s="509"/>
      <c r="T227" s="509"/>
    </row>
    <row r="228" spans="1:20" s="130" customFormat="1" ht="18.75" customHeight="1">
      <c r="A228" s="204"/>
      <c r="B228" s="205" t="s">
        <v>1920</v>
      </c>
      <c r="C228" s="206" t="s">
        <v>1276</v>
      </c>
      <c r="D228" s="916"/>
      <c r="E228" s="260">
        <f>(3.98+14.1+58.2)*1</f>
        <v>76.28</v>
      </c>
      <c r="F228" s="335"/>
      <c r="G228" s="335"/>
      <c r="H228" s="335"/>
      <c r="I228" s="336"/>
      <c r="J228" s="337"/>
      <c r="K228" s="508"/>
      <c r="L228" s="508"/>
      <c r="M228" s="508"/>
      <c r="N228" s="508"/>
      <c r="O228" s="508"/>
      <c r="P228" s="508"/>
      <c r="Q228" s="508"/>
      <c r="R228" s="508"/>
      <c r="S228" s="508"/>
      <c r="T228" s="508"/>
    </row>
    <row r="229" spans="1:20" s="22" customFormat="1" ht="18.75" customHeight="1">
      <c r="A229" s="196" t="s">
        <v>611</v>
      </c>
      <c r="B229" s="197" t="s">
        <v>661</v>
      </c>
      <c r="C229" s="199" t="s">
        <v>662</v>
      </c>
      <c r="D229" s="917" t="s">
        <v>2802</v>
      </c>
      <c r="E229" s="198" t="s">
        <v>1748</v>
      </c>
      <c r="F229" s="332">
        <f>SUM(E230:E230)</f>
        <v>76.28</v>
      </c>
      <c r="G229" s="332"/>
      <c r="H229" s="332">
        <f>F229*G229</f>
        <v>0</v>
      </c>
      <c r="I229" s="333">
        <v>0.00023</v>
      </c>
      <c r="J229" s="334">
        <f>F229*I229</f>
        <v>0.0175444</v>
      </c>
      <c r="K229" s="509"/>
      <c r="L229" s="509"/>
      <c r="M229" s="509"/>
      <c r="N229" s="509"/>
      <c r="O229" s="509"/>
      <c r="P229" s="509"/>
      <c r="Q229" s="509"/>
      <c r="R229" s="509"/>
      <c r="S229" s="509"/>
      <c r="T229" s="509"/>
    </row>
    <row r="230" spans="1:20" s="130" customFormat="1" ht="18.75" customHeight="1">
      <c r="A230" s="204"/>
      <c r="B230" s="205" t="s">
        <v>1920</v>
      </c>
      <c r="C230" s="206" t="s">
        <v>1276</v>
      </c>
      <c r="D230" s="916"/>
      <c r="E230" s="260">
        <f>(3.98+14.1+58.2)*1</f>
        <v>76.28</v>
      </c>
      <c r="F230" s="335"/>
      <c r="G230" s="335"/>
      <c r="H230" s="335"/>
      <c r="I230" s="336"/>
      <c r="J230" s="337"/>
      <c r="K230" s="508"/>
      <c r="L230" s="508"/>
      <c r="M230" s="508"/>
      <c r="N230" s="508"/>
      <c r="O230" s="508"/>
      <c r="P230" s="508"/>
      <c r="Q230" s="508"/>
      <c r="R230" s="508"/>
      <c r="S230" s="508"/>
      <c r="T230" s="508"/>
    </row>
    <row r="231" spans="1:20" s="22" customFormat="1" ht="15" customHeight="1">
      <c r="A231" s="196"/>
      <c r="B231" s="197"/>
      <c r="C231" s="199"/>
      <c r="D231" s="917"/>
      <c r="E231" s="198"/>
      <c r="F231" s="332"/>
      <c r="G231" s="448"/>
      <c r="H231" s="332"/>
      <c r="I231" s="333"/>
      <c r="J231" s="334"/>
      <c r="K231" s="693"/>
      <c r="L231" s="693"/>
      <c r="M231" s="693"/>
      <c r="N231" s="693"/>
      <c r="O231" s="693"/>
      <c r="P231" s="693"/>
      <c r="Q231" s="694"/>
      <c r="R231" s="509"/>
      <c r="S231" s="509"/>
      <c r="T231" s="509"/>
    </row>
    <row r="232" spans="1:20" s="588" customFormat="1" ht="18.75" customHeight="1">
      <c r="A232" s="591" t="s">
        <v>615</v>
      </c>
      <c r="B232" s="592" t="s">
        <v>642</v>
      </c>
      <c r="C232" s="705" t="s">
        <v>643</v>
      </c>
      <c r="D232" s="917" t="s">
        <v>2802</v>
      </c>
      <c r="E232" s="706" t="s">
        <v>1748</v>
      </c>
      <c r="F232" s="594">
        <f>E233</f>
        <v>27.7</v>
      </c>
      <c r="G232" s="594"/>
      <c r="H232" s="594">
        <f>F232*G232</f>
        <v>0</v>
      </c>
      <c r="I232" s="595">
        <v>0</v>
      </c>
      <c r="J232" s="596">
        <f>F232*I232</f>
        <v>0</v>
      </c>
      <c r="K232" s="707"/>
      <c r="L232" s="707"/>
      <c r="M232" s="707"/>
      <c r="N232" s="707"/>
      <c r="O232" s="707"/>
      <c r="P232" s="707"/>
      <c r="Q232" s="789"/>
      <c r="R232" s="707"/>
      <c r="S232" s="707"/>
      <c r="T232" s="707"/>
    </row>
    <row r="233" spans="1:20" s="589" customFormat="1" ht="18.75" customHeight="1">
      <c r="A233" s="790"/>
      <c r="B233" s="791" t="s">
        <v>1277</v>
      </c>
      <c r="C233" s="599" t="s">
        <v>1278</v>
      </c>
      <c r="D233" s="916"/>
      <c r="E233" s="792">
        <f>2.3+2.8+1.38+14.8+1.38+2.36+2.68</f>
        <v>27.7</v>
      </c>
      <c r="F233" s="793"/>
      <c r="G233" s="793"/>
      <c r="H233" s="793"/>
      <c r="I233" s="794"/>
      <c r="J233" s="795"/>
      <c r="K233" s="796"/>
      <c r="L233" s="796"/>
      <c r="M233" s="796"/>
      <c r="N233" s="796"/>
      <c r="O233" s="796"/>
      <c r="P233" s="796"/>
      <c r="Q233" s="796"/>
      <c r="R233" s="796"/>
      <c r="S233" s="796"/>
      <c r="T233" s="796"/>
    </row>
    <row r="234" spans="1:20" s="588" customFormat="1" ht="18.75" customHeight="1">
      <c r="A234" s="591" t="s">
        <v>618</v>
      </c>
      <c r="B234" s="592" t="s">
        <v>1279</v>
      </c>
      <c r="C234" s="705" t="s">
        <v>1280</v>
      </c>
      <c r="D234" s="917" t="s">
        <v>2802</v>
      </c>
      <c r="E234" s="797" t="s">
        <v>1748</v>
      </c>
      <c r="F234" s="594">
        <f>E235</f>
        <v>27.7</v>
      </c>
      <c r="G234" s="594"/>
      <c r="H234" s="594">
        <f>F234*G234</f>
        <v>0</v>
      </c>
      <c r="I234" s="595">
        <v>0.04428</v>
      </c>
      <c r="J234" s="596">
        <f>F234*I234</f>
        <v>1.226556</v>
      </c>
      <c r="K234" s="707"/>
      <c r="L234" s="707"/>
      <c r="M234" s="707"/>
      <c r="N234" s="707"/>
      <c r="O234" s="707"/>
      <c r="P234" s="707"/>
      <c r="Q234" s="707"/>
      <c r="R234" s="707"/>
      <c r="S234" s="707"/>
      <c r="T234" s="707"/>
    </row>
    <row r="235" spans="1:20" s="589" customFormat="1" ht="18.75" customHeight="1">
      <c r="A235" s="790"/>
      <c r="B235" s="791" t="s">
        <v>1277</v>
      </c>
      <c r="C235" s="599" t="s">
        <v>1278</v>
      </c>
      <c r="D235" s="916"/>
      <c r="E235" s="792">
        <f>2.3+2.8+1.38+14.8+1.38+2.36+2.68</f>
        <v>27.7</v>
      </c>
      <c r="F235" s="793"/>
      <c r="G235" s="793"/>
      <c r="H235" s="793"/>
      <c r="I235" s="794"/>
      <c r="J235" s="795"/>
      <c r="K235" s="796"/>
      <c r="L235" s="796"/>
      <c r="M235" s="796"/>
      <c r="N235" s="796"/>
      <c r="O235" s="796"/>
      <c r="P235" s="796"/>
      <c r="Q235" s="796"/>
      <c r="R235" s="796"/>
      <c r="S235" s="796"/>
      <c r="T235" s="796"/>
    </row>
    <row r="236" spans="1:20" s="588" customFormat="1" ht="18.75" customHeight="1">
      <c r="A236" s="591" t="s">
        <v>621</v>
      </c>
      <c r="B236" s="592" t="s">
        <v>658</v>
      </c>
      <c r="C236" s="705" t="s">
        <v>659</v>
      </c>
      <c r="D236" s="917" t="s">
        <v>2802</v>
      </c>
      <c r="E236" s="706" t="s">
        <v>1748</v>
      </c>
      <c r="F236" s="594">
        <f>SUM(E237:E237)</f>
        <v>27.7</v>
      </c>
      <c r="G236" s="594"/>
      <c r="H236" s="594">
        <f>F236*G236</f>
        <v>0</v>
      </c>
      <c r="I236" s="595">
        <v>0.00022</v>
      </c>
      <c r="J236" s="596">
        <f>F236*I236</f>
        <v>0.0060940000000000005</v>
      </c>
      <c r="K236" s="707"/>
      <c r="L236" s="707"/>
      <c r="M236" s="707"/>
      <c r="N236" s="707"/>
      <c r="O236" s="707"/>
      <c r="P236" s="707"/>
      <c r="Q236" s="707"/>
      <c r="R236" s="707"/>
      <c r="S236" s="707"/>
      <c r="T236" s="707"/>
    </row>
    <row r="237" spans="1:20" s="589" customFormat="1" ht="18.75" customHeight="1">
      <c r="A237" s="790"/>
      <c r="B237" s="791" t="s">
        <v>1277</v>
      </c>
      <c r="C237" s="599" t="s">
        <v>1278</v>
      </c>
      <c r="D237" s="916"/>
      <c r="E237" s="792">
        <f>2.3+2.8+1.38+14.8+1.38+2.36+2.68</f>
        <v>27.7</v>
      </c>
      <c r="F237" s="793"/>
      <c r="G237" s="793"/>
      <c r="H237" s="793"/>
      <c r="I237" s="794"/>
      <c r="J237" s="795"/>
      <c r="K237" s="796"/>
      <c r="L237" s="796"/>
      <c r="M237" s="796"/>
      <c r="N237" s="796"/>
      <c r="O237" s="796"/>
      <c r="P237" s="796"/>
      <c r="Q237" s="796"/>
      <c r="R237" s="796"/>
      <c r="S237" s="796"/>
      <c r="T237" s="796"/>
    </row>
    <row r="238" spans="1:20" s="588" customFormat="1" ht="18.75" customHeight="1">
      <c r="A238" s="591" t="s">
        <v>625</v>
      </c>
      <c r="B238" s="592" t="s">
        <v>661</v>
      </c>
      <c r="C238" s="705" t="s">
        <v>662</v>
      </c>
      <c r="D238" s="917" t="s">
        <v>2802</v>
      </c>
      <c r="E238" s="706" t="s">
        <v>1748</v>
      </c>
      <c r="F238" s="594">
        <f>SUM(E239:E239)</f>
        <v>27.7</v>
      </c>
      <c r="G238" s="594"/>
      <c r="H238" s="594">
        <f>F238*G238</f>
        <v>0</v>
      </c>
      <c r="I238" s="595">
        <v>0.00023</v>
      </c>
      <c r="J238" s="596">
        <f>F238*I238</f>
        <v>0.006371</v>
      </c>
      <c r="K238" s="707"/>
      <c r="L238" s="707"/>
      <c r="M238" s="707"/>
      <c r="N238" s="707"/>
      <c r="O238" s="707"/>
      <c r="P238" s="707"/>
      <c r="Q238" s="707"/>
      <c r="R238" s="707"/>
      <c r="S238" s="707"/>
      <c r="T238" s="707"/>
    </row>
    <row r="239" spans="1:20" s="589" customFormat="1" ht="18.75" customHeight="1">
      <c r="A239" s="790"/>
      <c r="B239" s="791" t="s">
        <v>1277</v>
      </c>
      <c r="C239" s="599" t="s">
        <v>1278</v>
      </c>
      <c r="D239" s="916"/>
      <c r="E239" s="792">
        <f>2.3+2.8+1.38+14.8+1.38+2.36+2.68</f>
        <v>27.7</v>
      </c>
      <c r="F239" s="793"/>
      <c r="G239" s="793"/>
      <c r="H239" s="793"/>
      <c r="I239" s="794"/>
      <c r="J239" s="795"/>
      <c r="K239" s="796"/>
      <c r="L239" s="796"/>
      <c r="M239" s="796"/>
      <c r="N239" s="796"/>
      <c r="O239" s="796"/>
      <c r="P239" s="796"/>
      <c r="Q239" s="796"/>
      <c r="R239" s="796"/>
      <c r="S239" s="796"/>
      <c r="T239" s="796"/>
    </row>
    <row r="240" spans="1:20" s="588" customFormat="1" ht="18.75" customHeight="1">
      <c r="A240" s="591" t="s">
        <v>1281</v>
      </c>
      <c r="B240" s="592" t="s">
        <v>642</v>
      </c>
      <c r="C240" s="705" t="s">
        <v>643</v>
      </c>
      <c r="D240" s="917" t="s">
        <v>2802</v>
      </c>
      <c r="E240" s="706" t="s">
        <v>1748</v>
      </c>
      <c r="F240" s="594">
        <f>E241</f>
        <v>49.626</v>
      </c>
      <c r="G240" s="594"/>
      <c r="H240" s="594">
        <f>F240*G240</f>
        <v>0</v>
      </c>
      <c r="I240" s="595">
        <v>0</v>
      </c>
      <c r="J240" s="596">
        <f>F240*I240</f>
        <v>0</v>
      </c>
      <c r="K240" s="707"/>
      <c r="L240" s="707"/>
      <c r="M240" s="707"/>
      <c r="N240" s="707"/>
      <c r="O240" s="707"/>
      <c r="P240" s="707"/>
      <c r="Q240" s="789"/>
      <c r="R240" s="707"/>
      <c r="S240" s="707"/>
      <c r="T240" s="707"/>
    </row>
    <row r="241" spans="1:20" s="589" customFormat="1" ht="18.75" customHeight="1">
      <c r="A241" s="790"/>
      <c r="B241" s="791" t="s">
        <v>1282</v>
      </c>
      <c r="C241" s="599" t="s">
        <v>1283</v>
      </c>
      <c r="D241" s="916"/>
      <c r="E241" s="792">
        <f>3.8*2.9*2*2+1.18*(1.4+0.95)*2</f>
        <v>49.626</v>
      </c>
      <c r="F241" s="793"/>
      <c r="G241" s="793"/>
      <c r="H241" s="793"/>
      <c r="I241" s="794"/>
      <c r="J241" s="795"/>
      <c r="K241" s="796"/>
      <c r="L241" s="796"/>
      <c r="M241" s="796"/>
      <c r="N241" s="796"/>
      <c r="O241" s="796"/>
      <c r="P241" s="796"/>
      <c r="Q241" s="796"/>
      <c r="R241" s="796"/>
      <c r="S241" s="796"/>
      <c r="T241" s="796"/>
    </row>
    <row r="242" spans="1:20" s="588" customFormat="1" ht="18.75" customHeight="1">
      <c r="A242" s="591" t="s">
        <v>1284</v>
      </c>
      <c r="B242" s="592" t="s">
        <v>1279</v>
      </c>
      <c r="C242" s="705" t="s">
        <v>1280</v>
      </c>
      <c r="D242" s="917" t="s">
        <v>2802</v>
      </c>
      <c r="E242" s="797" t="s">
        <v>1748</v>
      </c>
      <c r="F242" s="594">
        <f>E243</f>
        <v>49.626</v>
      </c>
      <c r="G242" s="594"/>
      <c r="H242" s="594">
        <f>F242*G242</f>
        <v>0</v>
      </c>
      <c r="I242" s="595">
        <v>0.04428</v>
      </c>
      <c r="J242" s="596">
        <f>F242*I242</f>
        <v>2.1974392799999998</v>
      </c>
      <c r="K242" s="707"/>
      <c r="L242" s="707"/>
      <c r="M242" s="707"/>
      <c r="N242" s="707"/>
      <c r="O242" s="707"/>
      <c r="P242" s="707"/>
      <c r="Q242" s="707"/>
      <c r="R242" s="707"/>
      <c r="S242" s="707"/>
      <c r="T242" s="707"/>
    </row>
    <row r="243" spans="1:20" s="589" customFormat="1" ht="18.75" customHeight="1">
      <c r="A243" s="790"/>
      <c r="B243" s="791" t="s">
        <v>1282</v>
      </c>
      <c r="C243" s="599" t="s">
        <v>1283</v>
      </c>
      <c r="D243" s="916"/>
      <c r="E243" s="792">
        <f>3.8*2.9*2*2+1.18*(1.4+0.95)*2</f>
        <v>49.626</v>
      </c>
      <c r="F243" s="793"/>
      <c r="G243" s="793"/>
      <c r="H243" s="793"/>
      <c r="I243" s="794"/>
      <c r="J243" s="795"/>
      <c r="K243" s="796"/>
      <c r="L243" s="796"/>
      <c r="M243" s="796"/>
      <c r="N243" s="796"/>
      <c r="O243" s="796"/>
      <c r="P243" s="796"/>
      <c r="Q243" s="796"/>
      <c r="R243" s="796"/>
      <c r="S243" s="796"/>
      <c r="T243" s="796"/>
    </row>
    <row r="244" spans="1:20" s="588" customFormat="1" ht="18.75" customHeight="1">
      <c r="A244" s="591" t="s">
        <v>1285</v>
      </c>
      <c r="B244" s="592" t="s">
        <v>658</v>
      </c>
      <c r="C244" s="705" t="s">
        <v>659</v>
      </c>
      <c r="D244" s="917" t="s">
        <v>2802</v>
      </c>
      <c r="E244" s="706" t="s">
        <v>1748</v>
      </c>
      <c r="F244" s="594">
        <f>SUM(E245:E245)</f>
        <v>49.626</v>
      </c>
      <c r="G244" s="594"/>
      <c r="H244" s="594">
        <f>F244*G244</f>
        <v>0</v>
      </c>
      <c r="I244" s="595">
        <v>0.00022</v>
      </c>
      <c r="J244" s="596">
        <f>F244*I244</f>
        <v>0.01091772</v>
      </c>
      <c r="K244" s="707"/>
      <c r="L244" s="707"/>
      <c r="M244" s="707"/>
      <c r="N244" s="707"/>
      <c r="O244" s="707"/>
      <c r="P244" s="707"/>
      <c r="Q244" s="707"/>
      <c r="R244" s="707"/>
      <c r="S244" s="707"/>
      <c r="T244" s="707"/>
    </row>
    <row r="245" spans="1:20" s="589" customFormat="1" ht="18.75" customHeight="1">
      <c r="A245" s="790"/>
      <c r="B245" s="791" t="s">
        <v>1282</v>
      </c>
      <c r="C245" s="599" t="s">
        <v>1283</v>
      </c>
      <c r="D245" s="916"/>
      <c r="E245" s="792">
        <f>3.8*2.9*2*2+1.18*(1.4+0.95)*2</f>
        <v>49.626</v>
      </c>
      <c r="F245" s="793"/>
      <c r="G245" s="793"/>
      <c r="H245" s="793"/>
      <c r="I245" s="794"/>
      <c r="J245" s="795"/>
      <c r="K245" s="796"/>
      <c r="L245" s="796"/>
      <c r="M245" s="796"/>
      <c r="N245" s="796"/>
      <c r="O245" s="796"/>
      <c r="P245" s="796"/>
      <c r="Q245" s="796"/>
      <c r="R245" s="796"/>
      <c r="S245" s="796"/>
      <c r="T245" s="796"/>
    </row>
    <row r="246" spans="1:20" s="588" customFormat="1" ht="18.75" customHeight="1">
      <c r="A246" s="591" t="s">
        <v>1286</v>
      </c>
      <c r="B246" s="592" t="s">
        <v>661</v>
      </c>
      <c r="C246" s="705" t="s">
        <v>662</v>
      </c>
      <c r="D246" s="917" t="s">
        <v>2802</v>
      </c>
      <c r="E246" s="706" t="s">
        <v>1748</v>
      </c>
      <c r="F246" s="594">
        <f>SUM(E247:E247)</f>
        <v>49.626</v>
      </c>
      <c r="G246" s="594"/>
      <c r="H246" s="594">
        <f>F246*G246</f>
        <v>0</v>
      </c>
      <c r="I246" s="595">
        <v>0.00023</v>
      </c>
      <c r="J246" s="596">
        <f>F246*I246</f>
        <v>0.01141398</v>
      </c>
      <c r="K246" s="707"/>
      <c r="L246" s="707"/>
      <c r="M246" s="707"/>
      <c r="N246" s="707"/>
      <c r="O246" s="707"/>
      <c r="P246" s="707"/>
      <c r="Q246" s="707"/>
      <c r="R246" s="707"/>
      <c r="S246" s="707"/>
      <c r="T246" s="707"/>
    </row>
    <row r="247" spans="1:20" s="589" customFormat="1" ht="18.75" customHeight="1">
      <c r="A247" s="790"/>
      <c r="B247" s="791" t="s">
        <v>1282</v>
      </c>
      <c r="C247" s="599" t="s">
        <v>1283</v>
      </c>
      <c r="D247" s="916"/>
      <c r="E247" s="792">
        <f>3.8*2.9*2*2+1.18*(1.4+0.95)*2</f>
        <v>49.626</v>
      </c>
      <c r="F247" s="793"/>
      <c r="G247" s="793"/>
      <c r="H247" s="793"/>
      <c r="I247" s="794"/>
      <c r="J247" s="795"/>
      <c r="K247" s="796"/>
      <c r="L247" s="796"/>
      <c r="M247" s="796"/>
      <c r="N247" s="796"/>
      <c r="O247" s="796"/>
      <c r="P247" s="796"/>
      <c r="Q247" s="796"/>
      <c r="R247" s="796"/>
      <c r="S247" s="796"/>
      <c r="T247" s="796"/>
    </row>
    <row r="248" spans="1:20" s="586" customFormat="1" ht="29.25" customHeight="1">
      <c r="A248" s="591" t="s">
        <v>663</v>
      </c>
      <c r="B248" s="592" t="s">
        <v>664</v>
      </c>
      <c r="C248" s="705" t="s">
        <v>1287</v>
      </c>
      <c r="D248" s="917" t="s">
        <v>2802</v>
      </c>
      <c r="E248" s="706" t="s">
        <v>1288</v>
      </c>
      <c r="F248" s="594">
        <f>SUM(E249)</f>
        <v>9.569999999999999</v>
      </c>
      <c r="G248" s="594"/>
      <c r="H248" s="594">
        <f>F248*G248</f>
        <v>0</v>
      </c>
      <c r="I248" s="595">
        <v>1.2</v>
      </c>
      <c r="J248" s="596">
        <f>F248*I248</f>
        <v>11.483999999999998</v>
      </c>
      <c r="K248" s="707"/>
      <c r="L248" s="707"/>
      <c r="M248" s="707"/>
      <c r="N248" s="707"/>
      <c r="O248" s="707"/>
      <c r="P248" s="707"/>
      <c r="Q248" s="707"/>
      <c r="R248" s="707"/>
      <c r="S248" s="707"/>
      <c r="T248" s="707"/>
    </row>
    <row r="249" spans="1:20" s="586" customFormat="1" ht="15.75" customHeight="1">
      <c r="A249" s="591"/>
      <c r="B249" s="592"/>
      <c r="C249" s="599" t="s">
        <v>1289</v>
      </c>
      <c r="D249" s="997"/>
      <c r="E249" s="600">
        <f>127.6*0.075</f>
        <v>9.569999999999999</v>
      </c>
      <c r="F249" s="594"/>
      <c r="G249" s="594"/>
      <c r="H249" s="594"/>
      <c r="I249" s="595"/>
      <c r="J249" s="596"/>
      <c r="K249" s="707"/>
      <c r="L249" s="707"/>
      <c r="M249" s="707"/>
      <c r="N249" s="707"/>
      <c r="O249" s="707"/>
      <c r="P249" s="707"/>
      <c r="Q249" s="707"/>
      <c r="R249" s="707"/>
      <c r="S249" s="707"/>
      <c r="T249" s="707"/>
    </row>
    <row r="250" spans="1:20" s="586" customFormat="1" ht="30" customHeight="1">
      <c r="A250" s="591" t="s">
        <v>667</v>
      </c>
      <c r="B250" s="592" t="s">
        <v>668</v>
      </c>
      <c r="C250" s="705" t="s">
        <v>669</v>
      </c>
      <c r="D250" s="917" t="s">
        <v>2802</v>
      </c>
      <c r="E250" s="706" t="s">
        <v>1748</v>
      </c>
      <c r="F250" s="594">
        <f>SUM(E251)</f>
        <v>127.6</v>
      </c>
      <c r="G250" s="594"/>
      <c r="H250" s="594">
        <f>F250*G250</f>
        <v>0</v>
      </c>
      <c r="I250" s="595">
        <v>0.13325</v>
      </c>
      <c r="J250" s="596">
        <f>F250*I250</f>
        <v>17.0027</v>
      </c>
      <c r="K250" s="707"/>
      <c r="L250" s="707"/>
      <c r="M250" s="707"/>
      <c r="N250" s="707"/>
      <c r="O250" s="707"/>
      <c r="P250" s="707"/>
      <c r="Q250" s="707"/>
      <c r="R250" s="707"/>
      <c r="S250" s="707"/>
      <c r="T250" s="707"/>
    </row>
    <row r="251" spans="1:20" s="586" customFormat="1" ht="15.75" customHeight="1">
      <c r="A251" s="591"/>
      <c r="B251" s="592"/>
      <c r="C251" s="599" t="s">
        <v>1244</v>
      </c>
      <c r="D251" s="997"/>
      <c r="E251" s="600">
        <f>127.6</f>
        <v>127.6</v>
      </c>
      <c r="F251" s="594"/>
      <c r="G251" s="594"/>
      <c r="H251" s="594"/>
      <c r="I251" s="595"/>
      <c r="J251" s="596"/>
      <c r="K251" s="707"/>
      <c r="L251" s="707"/>
      <c r="M251" s="707"/>
      <c r="N251" s="707"/>
      <c r="O251" s="707"/>
      <c r="P251" s="707"/>
      <c r="Q251" s="707"/>
      <c r="R251" s="707"/>
      <c r="S251" s="707"/>
      <c r="T251" s="707"/>
    </row>
    <row r="252" spans="1:20" s="22" customFormat="1" ht="18.75" customHeight="1">
      <c r="A252" s="196" t="s">
        <v>615</v>
      </c>
      <c r="B252" s="197" t="s">
        <v>677</v>
      </c>
      <c r="C252" s="199" t="s">
        <v>678</v>
      </c>
      <c r="D252" s="917"/>
      <c r="E252" s="198" t="s">
        <v>1783</v>
      </c>
      <c r="F252" s="594">
        <f>SUM(J222)</f>
        <v>33.66865718</v>
      </c>
      <c r="G252" s="332"/>
      <c r="H252" s="332">
        <f>F252*G252</f>
        <v>0</v>
      </c>
      <c r="I252" s="333">
        <v>0</v>
      </c>
      <c r="J252" s="334">
        <f>F252*I252</f>
        <v>0</v>
      </c>
      <c r="K252" s="509"/>
      <c r="L252" s="509"/>
      <c r="M252" s="509"/>
      <c r="N252" s="509"/>
      <c r="O252" s="509"/>
      <c r="P252" s="509"/>
      <c r="Q252" s="704"/>
      <c r="R252" s="509"/>
      <c r="S252" s="509"/>
      <c r="T252" s="509"/>
    </row>
    <row r="253" spans="1:20" s="22" customFormat="1" ht="15" customHeight="1" thickBot="1">
      <c r="A253" s="255"/>
      <c r="B253" s="256"/>
      <c r="C253" s="264"/>
      <c r="D253" s="968"/>
      <c r="E253" s="257"/>
      <c r="F253" s="368"/>
      <c r="G253" s="368"/>
      <c r="H253" s="368"/>
      <c r="I253" s="369"/>
      <c r="J253" s="370"/>
      <c r="K253" s="693"/>
      <c r="L253" s="693"/>
      <c r="M253" s="693"/>
      <c r="N253" s="693"/>
      <c r="O253" s="693"/>
      <c r="P253" s="693"/>
      <c r="Q253" s="694"/>
      <c r="R253" s="509"/>
      <c r="S253" s="509"/>
      <c r="T253" s="509"/>
    </row>
    <row r="254" spans="1:20" ht="16.5" customHeight="1" thickBot="1">
      <c r="A254" s="266" t="s">
        <v>628</v>
      </c>
      <c r="B254" s="175" t="s">
        <v>680</v>
      </c>
      <c r="C254" s="176" t="s">
        <v>681</v>
      </c>
      <c r="D254" s="1008"/>
      <c r="E254" s="175"/>
      <c r="F254" s="341"/>
      <c r="G254" s="341"/>
      <c r="H254" s="342">
        <f>SUM(H255:H258)</f>
        <v>0</v>
      </c>
      <c r="I254" s="343"/>
      <c r="J254" s="344">
        <f>SUM(J255:J258)</f>
        <v>0.06050205200000001</v>
      </c>
      <c r="K254" s="670"/>
      <c r="L254" s="670"/>
      <c r="M254" s="670"/>
      <c r="N254" s="670"/>
      <c r="O254" s="670"/>
      <c r="P254" s="670"/>
      <c r="Q254" s="670"/>
      <c r="R254" s="670"/>
      <c r="S254" s="670"/>
      <c r="T254" s="670"/>
    </row>
    <row r="255" spans="1:20" s="22" customFormat="1" ht="18.75" customHeight="1">
      <c r="A255" s="190" t="s">
        <v>631</v>
      </c>
      <c r="B255" s="191" t="s">
        <v>683</v>
      </c>
      <c r="C255" s="265" t="s">
        <v>684</v>
      </c>
      <c r="D255" s="964" t="s">
        <v>2802</v>
      </c>
      <c r="E255" s="192" t="s">
        <v>1748</v>
      </c>
      <c r="F255" s="345">
        <v>83.59</v>
      </c>
      <c r="G255" s="345"/>
      <c r="H255" s="345">
        <f>F255*G255</f>
        <v>0</v>
      </c>
      <c r="I255" s="346">
        <v>0.00031</v>
      </c>
      <c r="J255" s="347">
        <f>F255*I255</f>
        <v>0.025912900000000003</v>
      </c>
      <c r="K255" s="509"/>
      <c r="L255" s="509"/>
      <c r="M255" s="509"/>
      <c r="N255" s="509"/>
      <c r="O255" s="509"/>
      <c r="P255" s="509"/>
      <c r="Q255" s="704"/>
      <c r="R255" s="509"/>
      <c r="S255" s="509"/>
      <c r="T255" s="509"/>
    </row>
    <row r="256" spans="1:20" s="22" customFormat="1" ht="18.75" customHeight="1">
      <c r="A256" s="196" t="s">
        <v>641</v>
      </c>
      <c r="B256" s="197" t="s">
        <v>687</v>
      </c>
      <c r="C256" s="199" t="s">
        <v>688</v>
      </c>
      <c r="D256" s="917" t="s">
        <v>2802</v>
      </c>
      <c r="E256" s="198" t="s">
        <v>1748</v>
      </c>
      <c r="F256" s="332">
        <v>83.59</v>
      </c>
      <c r="G256" s="332"/>
      <c r="H256" s="332">
        <f>F256*G256</f>
        <v>0</v>
      </c>
      <c r="I256" s="333">
        <v>1E-05</v>
      </c>
      <c r="J256" s="334">
        <f>F256*I256</f>
        <v>0.0008359000000000001</v>
      </c>
      <c r="K256" s="509"/>
      <c r="L256" s="509"/>
      <c r="M256" s="509"/>
      <c r="N256" s="509"/>
      <c r="O256" s="509"/>
      <c r="P256" s="509"/>
      <c r="Q256" s="704"/>
      <c r="R256" s="509"/>
      <c r="S256" s="509"/>
      <c r="T256" s="509"/>
    </row>
    <row r="257" spans="1:20" s="22" customFormat="1" ht="18.75" customHeight="1">
      <c r="A257" s="196" t="s">
        <v>649</v>
      </c>
      <c r="B257" s="197" t="s">
        <v>690</v>
      </c>
      <c r="C257" s="199" t="s">
        <v>691</v>
      </c>
      <c r="D257" s="917" t="s">
        <v>2802</v>
      </c>
      <c r="E257" s="198" t="s">
        <v>1748</v>
      </c>
      <c r="F257" s="594">
        <f>83.59+4*(2.28*0.28)+4*0.18*0.28*2</f>
        <v>86.5468</v>
      </c>
      <c r="G257" s="332"/>
      <c r="H257" s="332">
        <f>F257*G257</f>
        <v>0</v>
      </c>
      <c r="I257" s="333">
        <v>0.00039</v>
      </c>
      <c r="J257" s="334">
        <f>F257*I257</f>
        <v>0.033753252000000004</v>
      </c>
      <c r="K257" s="509"/>
      <c r="L257" s="509"/>
      <c r="M257" s="509"/>
      <c r="N257" s="509"/>
      <c r="O257" s="509"/>
      <c r="P257" s="509"/>
      <c r="Q257" s="704"/>
      <c r="R257" s="509"/>
      <c r="S257" s="509"/>
      <c r="T257" s="509"/>
    </row>
    <row r="258" spans="1:20" s="22" customFormat="1" ht="18.75" customHeight="1" thickBot="1">
      <c r="A258" s="255"/>
      <c r="B258" s="256"/>
      <c r="C258" s="264"/>
      <c r="D258" s="968"/>
      <c r="E258" s="257"/>
      <c r="F258" s="368"/>
      <c r="G258" s="368"/>
      <c r="H258" s="368"/>
      <c r="I258" s="369"/>
      <c r="J258" s="370"/>
      <c r="K258" s="509"/>
      <c r="L258" s="509"/>
      <c r="M258" s="509"/>
      <c r="N258" s="509"/>
      <c r="O258" s="509"/>
      <c r="P258" s="509"/>
      <c r="Q258" s="704"/>
      <c r="R258" s="509"/>
      <c r="S258" s="509"/>
      <c r="T258" s="509"/>
    </row>
    <row r="259" spans="1:20" ht="16.5" customHeight="1" thickBot="1">
      <c r="A259" s="266" t="s">
        <v>679</v>
      </c>
      <c r="B259" s="175" t="s">
        <v>696</v>
      </c>
      <c r="C259" s="176" t="s">
        <v>697</v>
      </c>
      <c r="D259" s="1008"/>
      <c r="E259" s="175"/>
      <c r="F259" s="341"/>
      <c r="G259" s="341"/>
      <c r="H259" s="342">
        <f>SUM(H260:H262)</f>
        <v>0</v>
      </c>
      <c r="I259" s="343"/>
      <c r="J259" s="344">
        <f>SUM(J260:J262)</f>
        <v>0.110396</v>
      </c>
      <c r="K259" s="670"/>
      <c r="L259" s="670"/>
      <c r="M259" s="670"/>
      <c r="N259" s="670"/>
      <c r="O259" s="670"/>
      <c r="P259" s="670"/>
      <c r="Q259" s="670"/>
      <c r="R259" s="670"/>
      <c r="S259" s="670"/>
      <c r="T259" s="670"/>
    </row>
    <row r="260" spans="1:20" s="22" customFormat="1" ht="18.75" customHeight="1">
      <c r="A260" s="196" t="s">
        <v>682</v>
      </c>
      <c r="B260" s="197" t="s">
        <v>699</v>
      </c>
      <c r="C260" s="199" t="s">
        <v>700</v>
      </c>
      <c r="D260" s="917" t="s">
        <v>2800</v>
      </c>
      <c r="E260" s="198" t="s">
        <v>1748</v>
      </c>
      <c r="F260" s="332">
        <f>501.8*0.85</f>
        <v>426.53</v>
      </c>
      <c r="G260" s="332"/>
      <c r="H260" s="332">
        <f>F260*G260</f>
        <v>0</v>
      </c>
      <c r="I260" s="333">
        <v>0</v>
      </c>
      <c r="J260" s="334">
        <f>F260*I260</f>
        <v>0</v>
      </c>
      <c r="K260" s="509"/>
      <c r="L260" s="509"/>
      <c r="M260" s="509"/>
      <c r="N260" s="509"/>
      <c r="O260" s="509"/>
      <c r="P260" s="509"/>
      <c r="Q260" s="704"/>
      <c r="R260" s="509"/>
      <c r="S260" s="509"/>
      <c r="T260" s="509"/>
    </row>
    <row r="261" spans="1:20" s="22" customFormat="1" ht="18.75" customHeight="1">
      <c r="A261" s="196" t="s">
        <v>686</v>
      </c>
      <c r="B261" s="197" t="s">
        <v>702</v>
      </c>
      <c r="C261" s="199" t="s">
        <v>703</v>
      </c>
      <c r="D261" s="917" t="s">
        <v>2800</v>
      </c>
      <c r="E261" s="198" t="s">
        <v>1748</v>
      </c>
      <c r="F261" s="332">
        <f>501.8</f>
        <v>501.8</v>
      </c>
      <c r="G261" s="332"/>
      <c r="H261" s="332">
        <f>F261*G261</f>
        <v>0</v>
      </c>
      <c r="I261" s="333">
        <v>7E-05</v>
      </c>
      <c r="J261" s="334">
        <f>F261*I261</f>
        <v>0.035126</v>
      </c>
      <c r="K261" s="509"/>
      <c r="L261" s="509"/>
      <c r="M261" s="509"/>
      <c r="N261" s="509"/>
      <c r="O261" s="509"/>
      <c r="P261" s="509"/>
      <c r="Q261" s="704"/>
      <c r="R261" s="509"/>
      <c r="S261" s="509"/>
      <c r="T261" s="509"/>
    </row>
    <row r="262" spans="1:20" s="22" customFormat="1" ht="18.75" customHeight="1" thickBot="1">
      <c r="A262" s="196" t="s">
        <v>689</v>
      </c>
      <c r="B262" s="197" t="s">
        <v>705</v>
      </c>
      <c r="C262" s="199" t="s">
        <v>706</v>
      </c>
      <c r="D262" s="917" t="s">
        <v>2800</v>
      </c>
      <c r="E262" s="198" t="s">
        <v>1748</v>
      </c>
      <c r="F262" s="332">
        <f>F261</f>
        <v>501.8</v>
      </c>
      <c r="G262" s="332"/>
      <c r="H262" s="332">
        <f>F262*G262</f>
        <v>0</v>
      </c>
      <c r="I262" s="333">
        <v>0.00015</v>
      </c>
      <c r="J262" s="334">
        <f>F262*I262</f>
        <v>0.07526999999999999</v>
      </c>
      <c r="K262" s="509"/>
      <c r="L262" s="509"/>
      <c r="M262" s="509"/>
      <c r="N262" s="509"/>
      <c r="O262" s="509"/>
      <c r="P262" s="509"/>
      <c r="Q262" s="704"/>
      <c r="R262" s="509"/>
      <c r="S262" s="509"/>
      <c r="T262" s="509"/>
    </row>
    <row r="263" spans="1:20" ht="16.5" customHeight="1" thickBot="1">
      <c r="A263" s="266" t="s">
        <v>695</v>
      </c>
      <c r="B263" s="175" t="s">
        <v>708</v>
      </c>
      <c r="C263" s="176" t="s">
        <v>709</v>
      </c>
      <c r="D263" s="1008"/>
      <c r="E263" s="175"/>
      <c r="F263" s="341"/>
      <c r="G263" s="341"/>
      <c r="H263" s="342">
        <f>SUM(H264:H266)</f>
        <v>0</v>
      </c>
      <c r="I263" s="343"/>
      <c r="J263" s="344">
        <f>SUM(J264:J266)</f>
        <v>0</v>
      </c>
      <c r="K263" s="670"/>
      <c r="L263" s="670"/>
      <c r="M263" s="670"/>
      <c r="N263" s="670"/>
      <c r="O263" s="670"/>
      <c r="P263" s="670"/>
      <c r="Q263" s="670"/>
      <c r="R263" s="670"/>
      <c r="S263" s="670"/>
      <c r="T263" s="670"/>
    </row>
    <row r="264" spans="1:20" s="22" customFormat="1" ht="12.75" customHeight="1">
      <c r="A264" s="196"/>
      <c r="B264" s="197"/>
      <c r="C264" s="199"/>
      <c r="D264" s="917"/>
      <c r="E264" s="198"/>
      <c r="F264" s="332"/>
      <c r="G264" s="332"/>
      <c r="H264" s="332"/>
      <c r="I264" s="333"/>
      <c r="J264" s="334"/>
      <c r="K264" s="509"/>
      <c r="L264" s="509"/>
      <c r="M264" s="509"/>
      <c r="N264" s="509"/>
      <c r="O264" s="509"/>
      <c r="P264" s="509"/>
      <c r="Q264" s="704"/>
      <c r="R264" s="509"/>
      <c r="S264" s="509"/>
      <c r="T264" s="509"/>
    </row>
    <row r="265" spans="1:20" s="22" customFormat="1" ht="29.25" customHeight="1">
      <c r="A265" s="196" t="s">
        <v>698</v>
      </c>
      <c r="B265" s="197" t="s">
        <v>711</v>
      </c>
      <c r="C265" s="199" t="s">
        <v>712</v>
      </c>
      <c r="D265" s="917" t="s">
        <v>2801</v>
      </c>
      <c r="E265" s="198" t="s">
        <v>2695</v>
      </c>
      <c r="F265" s="332">
        <v>1</v>
      </c>
      <c r="G265" s="332"/>
      <c r="H265" s="332">
        <f>F265*G265</f>
        <v>0</v>
      </c>
      <c r="I265" s="333">
        <v>0</v>
      </c>
      <c r="J265" s="334">
        <f>F265*I265</f>
        <v>0</v>
      </c>
      <c r="K265" s="509"/>
      <c r="L265" s="509"/>
      <c r="M265" s="509"/>
      <c r="N265" s="509"/>
      <c r="O265" s="509"/>
      <c r="P265" s="509"/>
      <c r="Q265" s="704"/>
      <c r="R265" s="509"/>
      <c r="S265" s="509"/>
      <c r="T265" s="509"/>
    </row>
    <row r="266" spans="1:20" s="22" customFormat="1" ht="12" customHeight="1" thickBot="1">
      <c r="A266" s="196"/>
      <c r="B266" s="197"/>
      <c r="C266" s="199"/>
      <c r="D266" s="917"/>
      <c r="E266" s="198"/>
      <c r="F266" s="332"/>
      <c r="G266" s="332"/>
      <c r="H266" s="332"/>
      <c r="I266" s="333"/>
      <c r="J266" s="334"/>
      <c r="K266" s="509"/>
      <c r="L266" s="509"/>
      <c r="M266" s="509"/>
      <c r="N266" s="509"/>
      <c r="O266" s="509"/>
      <c r="P266" s="509"/>
      <c r="Q266" s="704"/>
      <c r="R266" s="509"/>
      <c r="S266" s="509"/>
      <c r="T266" s="509"/>
    </row>
    <row r="267" spans="1:20" ht="16.5" customHeight="1" thickBot="1">
      <c r="A267" s="266"/>
      <c r="B267" s="175"/>
      <c r="C267" s="176"/>
      <c r="D267" s="1008"/>
      <c r="E267" s="175"/>
      <c r="F267" s="341"/>
      <c r="G267" s="341"/>
      <c r="H267" s="342"/>
      <c r="I267" s="343"/>
      <c r="J267" s="344"/>
      <c r="K267" s="670"/>
      <c r="L267" s="670"/>
      <c r="M267" s="670"/>
      <c r="N267" s="670"/>
      <c r="O267" s="670"/>
      <c r="P267" s="670"/>
      <c r="Q267" s="670"/>
      <c r="R267" s="670"/>
      <c r="S267" s="670"/>
      <c r="T267" s="670"/>
    </row>
    <row r="268" spans="1:20" ht="15">
      <c r="A268" s="24"/>
      <c r="B268" s="186"/>
      <c r="C268" s="186"/>
      <c r="D268" s="1200"/>
      <c r="E268" s="187"/>
      <c r="F268" s="409"/>
      <c r="G268" s="409"/>
      <c r="H268" s="409"/>
      <c r="I268" s="410"/>
      <c r="J268" s="411"/>
      <c r="K268" s="670"/>
      <c r="L268" s="670"/>
      <c r="M268" s="670"/>
      <c r="N268" s="670"/>
      <c r="O268" s="670"/>
      <c r="P268" s="670"/>
      <c r="Q268" s="787"/>
      <c r="R268" s="670"/>
      <c r="S268" s="670"/>
      <c r="T268" s="670"/>
    </row>
    <row r="269" spans="1:20" s="577" customFormat="1" ht="24" customHeight="1" thickBot="1">
      <c r="A269" s="753"/>
      <c r="B269" s="754"/>
      <c r="C269" s="755" t="s">
        <v>716</v>
      </c>
      <c r="D269" s="756"/>
      <c r="E269" s="756"/>
      <c r="F269" s="754"/>
      <c r="G269" s="754"/>
      <c r="H269" s="757">
        <f>H263+H259+H254+H222+H204+H186+H184+H179+H177+H169+H152+H150+H107+H96+H90+H58+H55+H34+H28+H26+H24+H22+H20+H18</f>
        <v>0</v>
      </c>
      <c r="I269" s="758"/>
      <c r="J269" s="759"/>
      <c r="K269" s="760"/>
      <c r="L269" s="760"/>
      <c r="M269" s="760"/>
      <c r="N269" s="760"/>
      <c r="O269" s="760"/>
      <c r="P269" s="760"/>
      <c r="Q269" s="760"/>
      <c r="R269" s="760"/>
      <c r="S269" s="760"/>
      <c r="T269" s="760"/>
    </row>
  </sheetData>
  <mergeCells count="21">
    <mergeCell ref="F2:F3"/>
    <mergeCell ref="C2:C3"/>
    <mergeCell ref="C4:C5"/>
    <mergeCell ref="F4:F5"/>
    <mergeCell ref="D2:E3"/>
    <mergeCell ref="D4:E5"/>
    <mergeCell ref="G2:G3"/>
    <mergeCell ref="G4:G5"/>
    <mergeCell ref="H2:J3"/>
    <mergeCell ref="H4:J5"/>
    <mergeCell ref="H6:J7"/>
    <mergeCell ref="G14:H14"/>
    <mergeCell ref="G6:G7"/>
    <mergeCell ref="I14:J14"/>
    <mergeCell ref="C8:C9"/>
    <mergeCell ref="D8:F9"/>
    <mergeCell ref="G8:G9"/>
    <mergeCell ref="H8:J9"/>
    <mergeCell ref="C6:C7"/>
    <mergeCell ref="D6:E7"/>
    <mergeCell ref="F6:F7"/>
  </mergeCells>
  <printOptions/>
  <pageMargins left="0.4" right="0.36" top="0.59" bottom="0.66" header="0.24" footer="0.24"/>
  <pageSetup horizontalDpi="600" verticalDpi="600" orientation="portrait" paperSize="9" scale="70" r:id="rId1"/>
  <headerFooter alignWithMargins="0">
    <oddFooter>&amp;L&amp;F
&amp;A&amp;C&amp;P/&amp;N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Zdena Sychrová</dc:creator>
  <cp:keywords/>
  <dc:description/>
  <cp:lastModifiedBy>Sychrová, Zdena</cp:lastModifiedBy>
  <cp:lastPrinted>2016-10-23T21:20:58Z</cp:lastPrinted>
  <dcterms:created xsi:type="dcterms:W3CDTF">2014-09-28T21:34:16Z</dcterms:created>
  <dcterms:modified xsi:type="dcterms:W3CDTF">2016-10-24T13:06:58Z</dcterms:modified>
  <cp:category/>
  <cp:version/>
  <cp:contentType/>
  <cp:contentStatus/>
</cp:coreProperties>
</file>