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<sst xmlns="http://schemas.openxmlformats.org/spreadsheetml/2006/main" count="759" uniqueCount="327">
  <si>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</si>
  <si>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</si>
  <si>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</si>
  <si>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</si>
  <si>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</si>
  <si>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</si>
  <si>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</si>
  <si>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</si>
  <si>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</si>
  <si>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</si>
  <si>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</si>
  <si>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</si>
  <si>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</si>
  <si>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</si>
  <si>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</si>
  <si>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</si>
  <si>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</si>
  <si>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</si>
  <si>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</si>
  <si>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</si>
  <si>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</si>
  <si>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</si>
  <si>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</si>
  <si>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</si>
  <si>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</si>
  <si>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</si>
  <si>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</si>
  <si>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</si>
  <si>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</si>
  <si>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</si>
  <si>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</si>
  <si>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</si>
  <si>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</si>
  <si>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</si>
  <si>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</si>
  <si>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</si>
  <si>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</si>
  <si>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</si>
  <si>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</si>
  <si>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</si>
  <si>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</si>
  <si>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</si>
  <si>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</si>
  <si>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</si>
  <si>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</si>
  <si>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</si>
  <si>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</si>
  <si>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</si>
  <si>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</si>
  <si>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</si>
  <si>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</si>
  <si>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</si>
  <si>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</si>
  <si>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</si>
  <si>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</si>
  <si>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</si>
  <si>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Poznámka:</t>
  </si>
  <si>
    <t>Kód</t>
  </si>
  <si>
    <t>139600012RAA</t>
  </si>
  <si>
    <t>167101101R00</t>
  </si>
  <si>
    <t>162701105R00</t>
  </si>
  <si>
    <t>174100050RAC</t>
  </si>
  <si>
    <t>174101102R00</t>
  </si>
  <si>
    <t>171201201R00</t>
  </si>
  <si>
    <t>199000002R00</t>
  </si>
  <si>
    <t>212810010RAD</t>
  </si>
  <si>
    <t>274313511R00</t>
  </si>
  <si>
    <t>274272140RT2</t>
  </si>
  <si>
    <t>274361821R00</t>
  </si>
  <si>
    <t>289970111R00</t>
  </si>
  <si>
    <t>338920010R00</t>
  </si>
  <si>
    <t>59228407</t>
  </si>
  <si>
    <t>434312131R00</t>
  </si>
  <si>
    <t>59</t>
  </si>
  <si>
    <t>591100020RAA</t>
  </si>
  <si>
    <t>63</t>
  </si>
  <si>
    <t>632921913R00</t>
  </si>
  <si>
    <t>93</t>
  </si>
  <si>
    <t>935111112R00</t>
  </si>
  <si>
    <t>59227518</t>
  </si>
  <si>
    <t>H99</t>
  </si>
  <si>
    <t>999281105R00</t>
  </si>
  <si>
    <t>96</t>
  </si>
  <si>
    <t>962032241R00</t>
  </si>
  <si>
    <t>968083002R00</t>
  </si>
  <si>
    <t>968096002R00</t>
  </si>
  <si>
    <t>113106005RAC</t>
  </si>
  <si>
    <t>111212111R00</t>
  </si>
  <si>
    <t>971033341R00</t>
  </si>
  <si>
    <t>S</t>
  </si>
  <si>
    <t>979087312R00</t>
  </si>
  <si>
    <t>979087392R00</t>
  </si>
  <si>
    <t>979083117R00</t>
  </si>
  <si>
    <t>979083191R00</t>
  </si>
  <si>
    <t>979990001R00</t>
  </si>
  <si>
    <t>979990163R00</t>
  </si>
  <si>
    <t>711</t>
  </si>
  <si>
    <t>711132311R00</t>
  </si>
  <si>
    <t>711212001RS4</t>
  </si>
  <si>
    <t>998711101R00</t>
  </si>
  <si>
    <t>721</t>
  </si>
  <si>
    <t>721211520RT1</t>
  </si>
  <si>
    <t>721176103R00</t>
  </si>
  <si>
    <t>721242110RT1</t>
  </si>
  <si>
    <t>998721101R00</t>
  </si>
  <si>
    <t>733</t>
  </si>
  <si>
    <t>733110810R00</t>
  </si>
  <si>
    <t>733121122R00</t>
  </si>
  <si>
    <t>998733101R00</t>
  </si>
  <si>
    <t>764</t>
  </si>
  <si>
    <t>764701234R00</t>
  </si>
  <si>
    <t>28613041.M</t>
  </si>
  <si>
    <t>998764101R00</t>
  </si>
  <si>
    <t>766</t>
  </si>
  <si>
    <t>766629304R00</t>
  </si>
  <si>
    <t>61143261</t>
  </si>
  <si>
    <t>998766101R00</t>
  </si>
  <si>
    <t>767</t>
  </si>
  <si>
    <t>767651210R00</t>
  </si>
  <si>
    <t>55342603</t>
  </si>
  <si>
    <t>767200002RA0</t>
  </si>
  <si>
    <t>998767101R00</t>
  </si>
  <si>
    <t>90</t>
  </si>
  <si>
    <t>900      R01</t>
  </si>
  <si>
    <t>Zkrácený popis / Varianta</t>
  </si>
  <si>
    <t>Rozměry</t>
  </si>
  <si>
    <t>Hloubené vykopávky</t>
  </si>
  <si>
    <t>Ruční výkop v hornině 3</t>
  </si>
  <si>
    <t>hloubka do 1,5 m, odvoz kolečkem do 20 m</t>
  </si>
  <si>
    <t>hloubka do 1,5 m, odvoz kolečkem do 20 m-schodiště</t>
  </si>
  <si>
    <t>Přemístění výkopku</t>
  </si>
  <si>
    <t>Nakládání výkopku z hor.1-4 v množství do 100 m3</t>
  </si>
  <si>
    <t>Vodorovné přemístění výkopku z hor.1-4 do 10000 m</t>
  </si>
  <si>
    <t>Konstrukce ze zemin</t>
  </si>
  <si>
    <t>Zásyp jam,rýh a šachet štěrkopískem</t>
  </si>
  <si>
    <t>dovoz štěrkopísku ze vzdálenosti 10 km</t>
  </si>
  <si>
    <t>Zásyp ruční se zhutněním</t>
  </si>
  <si>
    <t>Uložení sypaniny na skládku</t>
  </si>
  <si>
    <t>Poplatek za skládku horniny 1- 4</t>
  </si>
  <si>
    <t>Úprava podloží a základové spáry</t>
  </si>
  <si>
    <t>Trativody z PVC drenážních flexibilních trubek</t>
  </si>
  <si>
    <t>lože štěrkopísek a obsyp kamenivo, trubky d 160 mm</t>
  </si>
  <si>
    <t>Základy</t>
  </si>
  <si>
    <t>Beton základových pasů prostý C 12/15</t>
  </si>
  <si>
    <t>schody</t>
  </si>
  <si>
    <t>Zdivo základové z bednicích tvárnic, tl. 30 cm</t>
  </si>
  <si>
    <t>výplň tvárnic betonem C 12/15</t>
  </si>
  <si>
    <t>Výztuž základ. pasů z betonářské oceli 10505 (R)</t>
  </si>
  <si>
    <t>Zpevňování hornin a konstrukcí</t>
  </si>
  <si>
    <t>Vrstva geotextilie Geofiltex 300g/m2</t>
  </si>
  <si>
    <t>Sloupy a pilíře, stožáry a rámové stojky</t>
  </si>
  <si>
    <t>Osazení betonové palisády, š. do 11 cm, dl. 30 cm</t>
  </si>
  <si>
    <t>Palisáda přírodní Premium 11x11x40 cm</t>
  </si>
  <si>
    <t>Schodiště</t>
  </si>
  <si>
    <t>Schody z prefa dílců Ytong</t>
  </si>
  <si>
    <t>Kryty pozemních komunikací, letišť a ploch dlážděných (předlažby)</t>
  </si>
  <si>
    <t>Zpevněná plocha z dlažby zámkové, podklad štěrkodrť</t>
  </si>
  <si>
    <t>dlažba přírodní tloušťka 6 cm</t>
  </si>
  <si>
    <t>Podlahy a podlahové konstrukce</t>
  </si>
  <si>
    <t>Dlažba z dlaždic betonových do písku, tl. 60 mm</t>
  </si>
  <si>
    <t>okapový chodník</t>
  </si>
  <si>
    <t>Různé dokončovací konstrukce a práce inženýrských staveb</t>
  </si>
  <si>
    <t>Osazení přík. žlabu do štěrkopísku z bet. desek</t>
  </si>
  <si>
    <t>Příkopový žlab TBM 1-65/33</t>
  </si>
  <si>
    <t>Staveništní přesuny hmot</t>
  </si>
  <si>
    <t>Přesun hmot pro opravy a údržbu do výšky 6 m</t>
  </si>
  <si>
    <t>Bourání konstrukcí</t>
  </si>
  <si>
    <t>Bourání zdiva z cihel pálených na MC</t>
  </si>
  <si>
    <t>Vybourání plastových oken do 2 m2</t>
  </si>
  <si>
    <t>Bourání parapetů plastových š. do 50 cm</t>
  </si>
  <si>
    <t>Odstranění beton.dlažby vč.podkladu, pl.do 50 m2</t>
  </si>
  <si>
    <t>bez nakládání a odvozu na skládku</t>
  </si>
  <si>
    <t>Odstranění nevhod. dřevin výšky do 1m, svah do 1:5</t>
  </si>
  <si>
    <t>Vybourání otv. zeď cihel. pl.0,09 m2, tl.30cm, MVC</t>
  </si>
  <si>
    <t>odvodnění</t>
  </si>
  <si>
    <t>Přesuny sutí</t>
  </si>
  <si>
    <t>Vodorovné přemístění vyb. hmot nošením do 10 m</t>
  </si>
  <si>
    <t>Příplatek za nošení vyb. hmot každých dalších 10 m</t>
  </si>
  <si>
    <t>Vodorovné přemístění suti na skládku do 6000 m</t>
  </si>
  <si>
    <t>vč.naložení a složení na skládku</t>
  </si>
  <si>
    <t>Příplatek za dalších započatých 1000 m nad 6000 m</t>
  </si>
  <si>
    <t>Poplatek za skládku stavební suti</t>
  </si>
  <si>
    <t>Poplatek za skládku suti - plast+sklo</t>
  </si>
  <si>
    <t>Izolace proti vodě</t>
  </si>
  <si>
    <t>Prov. izolace nopovou fólií svisle, vč.uchyc.prvků</t>
  </si>
  <si>
    <t>Hydroizolační povlak - nátěr</t>
  </si>
  <si>
    <t>DICHTUNGSSCHLÄMME, krystal.hydroizol., netlak.voda</t>
  </si>
  <si>
    <t>Přesun hmot pro izolace proti vodě, výšky do 6 m</t>
  </si>
  <si>
    <t>Vnitřní kanalizace</t>
  </si>
  <si>
    <t>Vpusť dvorní HL606, klapka, lapač</t>
  </si>
  <si>
    <t>litinová mřížka 226 x 226 D 110, 160 mm</t>
  </si>
  <si>
    <t>Potrubí HT připojovací D 50 x 1,8 mm</t>
  </si>
  <si>
    <t>Lapač střešních splavenin PP HL600, kloub</t>
  </si>
  <si>
    <t>zápachová klapka, koš na listí, DN 100</t>
  </si>
  <si>
    <t>Přesun hmot pro vnitřní kanalizaci, výšky do 6 m</t>
  </si>
  <si>
    <t>Rozvod potrubí</t>
  </si>
  <si>
    <t>Demontáž potrubí ocelového závitového do DN 50-80</t>
  </si>
  <si>
    <t>Potrubí hladké bezešvé nízkotlaké D 76 x 3,2 mm</t>
  </si>
  <si>
    <t>Přesun hmot pro rozvody potrubí, výšky do 6 m</t>
  </si>
  <si>
    <t>Konstrukce klempířské</t>
  </si>
  <si>
    <t>Odpadní trouba PVC Marley kruhová, DN 105 mm</t>
  </si>
  <si>
    <t>Koleno 45° d 110 mm PE 100 +GF+</t>
  </si>
  <si>
    <t>Přesun hmot pro klempířské konstr., výšky do 6 m</t>
  </si>
  <si>
    <t>Konstrukce truhlářské</t>
  </si>
  <si>
    <t>Montáž vstupních dveří plastových</t>
  </si>
  <si>
    <t>Dveře vstupní plastové 1kř+boční NSV 130x240cm</t>
  </si>
  <si>
    <t>Přesun hmot pro truhlářské konstr., výšky do 6 m</t>
  </si>
  <si>
    <t>Konstrukce doplňkové stavební (zámečnické)</t>
  </si>
  <si>
    <t>Montáž vstupní branky, pl.do 6 m2</t>
  </si>
  <si>
    <t>Branka ocelová š.100 cm</t>
  </si>
  <si>
    <t>Zábradlí ocelové, nátěry-vč.madla</t>
  </si>
  <si>
    <t>Přesun hmot pro zámečnické konstr., výšky do 6 m</t>
  </si>
  <si>
    <t>Hodinové zúčtovací sazby (HZS)</t>
  </si>
  <si>
    <t>HZS-nespecifikované práce</t>
  </si>
  <si>
    <t>demontáž litinového svodu ajj.</t>
  </si>
  <si>
    <t>M.j.</t>
  </si>
  <si>
    <t>m3</t>
  </si>
  <si>
    <t>m</t>
  </si>
  <si>
    <t>m2</t>
  </si>
  <si>
    <t>t</t>
  </si>
  <si>
    <t>kus</t>
  </si>
  <si>
    <t>h</t>
  </si>
  <si>
    <t>Množství</t>
  </si>
  <si>
    <t>Jednot.</t>
  </si>
  <si>
    <t>cena (Kč)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</si>
  <si>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</si>
  <si>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</si>
  <si>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</si>
  <si>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</si>
  <si>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</si>
  <si>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</si>
  <si>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</si>
  <si>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</si>
  <si>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</si>
  <si>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</si>
  <si>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</si>
  <si>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</si>
  <si>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</si>
  <si>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</si>
  <si>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</si>
  <si>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</si>
  <si>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</si>
  <si>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</si>
  <si>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</si>
  <si>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</si>
  <si>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21_</t>
  </si>
  <si>
    <t>27_</t>
  </si>
  <si>
    <t>28_</t>
  </si>
  <si>
    <t>33_</t>
  </si>
  <si>
    <t>43_</t>
  </si>
  <si>
    <t>59_</t>
  </si>
  <si>
    <t>63_</t>
  </si>
  <si>
    <t>93_</t>
  </si>
  <si>
    <t>H99_</t>
  </si>
  <si>
    <t>96_</t>
  </si>
  <si>
    <t>S_</t>
  </si>
  <si>
    <t>711_</t>
  </si>
  <si>
    <t>721_</t>
  </si>
  <si>
    <t>733_</t>
  </si>
  <si>
    <t>764_</t>
  </si>
  <si>
    <t>766_</t>
  </si>
  <si>
    <t>767_</t>
  </si>
  <si>
    <t>90_</t>
  </si>
  <si>
    <t>1_</t>
  </si>
  <si>
    <t>2_</t>
  </si>
  <si>
    <t>3_</t>
  </si>
  <si>
    <t>4_</t>
  </si>
  <si>
    <t>5_</t>
  </si>
  <si>
    <t>6_</t>
  </si>
  <si>
    <t>9_</t>
  </si>
  <si>
    <t>71_</t>
  </si>
  <si>
    <t>72_</t>
  </si>
  <si>
    <t>73_</t>
  </si>
  <si>
    <t>76_</t>
  </si>
  <si>
    <t>_</t>
  </si>
  <si>
    <t>MAT</t>
  </si>
  <si>
    <t>WORK</t>
  </si>
  <si>
    <t>CELK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</si>
  <si>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</si>
  <si>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</si>
  <si>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</si>
  <si>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</si>
  <si>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</si>
  <si>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</si>
  <si>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</si>
  <si>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</si>
  <si>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</si>
  <si>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</si>
  <si>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</si>
  <si>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</si>
  <si>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</si>
  <si>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</si>
  <si>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</si>
  <si>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</si>
  <si>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</si>
  <si>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</si>
  <si>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</si>
  <si>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</si>
  <si>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</si>
  <si>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</si>
  <si>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</si>
  <si>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</si>
  <si>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</si>
  <si>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</si>
  <si>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</si>
  <si>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</si>
  <si>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</si>
  <si>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</si>
  <si>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</si>
  <si>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</si>
  <si>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</si>
  <si>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</si>
  <si>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</si>
  <si>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</si>
  <si>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</si>
  <si>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</si>
  <si>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</si>
  <si>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</si>
  <si>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</si>
  <si>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</si>
  <si>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</si>
  <si>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</si>
  <si>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</si>
  <si>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Náklady na umístění stavby (NUS)</t>
  </si>
  <si>
    <t>Slepý stavební rozpočet - Odizolování budovy školy včetně dílčích prací</t>
  </si>
  <si>
    <t>Slepý stavební rozpočet - rekapitulace - Odizolování budovy školy včetně dílčích prací</t>
  </si>
  <si>
    <t>Krycí list slepého rozpočtu - Odizolování budovy školy včetně dílčích prací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</si>
</sst>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1" fillId="34" borderId="28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0" borderId="28" xfId="0" applyNumberFormat="1" applyFont="1" applyFill="1" applyBorder="1" applyAlignment="1" applyProtection="1">
      <alignment horizontal="right" vertical="center"/>
      <protection/>
    </xf>
    <xf numFmtId="49" fontId="13" fillId="0" borderId="28" xfId="0" applyNumberFormat="1" applyFont="1" applyFill="1" applyBorder="1" applyAlignment="1" applyProtection="1">
      <alignment horizontal="right" vertical="center"/>
      <protection/>
    </xf>
    <xf numFmtId="4" fontId="13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 horizontal="right" vertical="center"/>
      <protection/>
    </xf>
    <xf numFmtId="166" fontId="6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34" borderId="37" xfId="0" applyNumberFormat="1" applyFont="1" applyFill="1" applyBorder="1" applyAlignment="1" applyProtection="1">
      <alignment horizontal="left" vertical="center"/>
      <protection/>
    </xf>
    <xf numFmtId="0" fontId="12" fillId="34" borderId="48" xfId="0" applyNumberFormat="1" applyFont="1" applyFill="1" applyBorder="1" applyAlignment="1" applyProtection="1">
      <alignment horizontal="left" vertical="center"/>
      <protection/>
    </xf>
    <xf numFmtId="49" fontId="13" fillId="0" borderId="49" xfId="0" applyNumberFormat="1" applyFont="1" applyFill="1" applyBorder="1" applyAlignment="1" applyProtection="1">
      <alignment horizontal="left" vertical="center"/>
      <protection/>
    </xf>
    <xf numFmtId="0" fontId="13" fillId="0" borderId="32" xfId="0" applyNumberFormat="1" applyFont="1" applyFill="1" applyBorder="1" applyAlignment="1" applyProtection="1">
      <alignment horizontal="left" vertical="center"/>
      <protection/>
    </xf>
    <xf numFmtId="0" fontId="13" fillId="0" borderId="50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1" xfId="0" applyNumberFormat="1" applyFont="1" applyFill="1" applyBorder="1" applyAlignment="1" applyProtection="1">
      <alignment horizontal="left" vertical="center"/>
      <protection/>
    </xf>
    <xf numFmtId="49" fontId="13" fillId="0" borderId="52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5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19" sqref="Q1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5.57421875" style="0" customWidth="1"/>
    <col min="4" max="5" width="11.5742187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2" width="12.140625" style="0" hidden="1" customWidth="1"/>
  </cols>
  <sheetData>
    <row r="1" spans="1:12" ht="72.75" customHeight="1">
      <c r="A1" s="56" t="s">
        <v>324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2.75">
      <c r="A2" s="1" t="s">
        <v>0</v>
      </c>
      <c r="B2" s="9" t="s">
        <v>57</v>
      </c>
      <c r="C2" s="58" t="s">
        <v>124</v>
      </c>
      <c r="D2" s="59"/>
      <c r="E2" s="60"/>
      <c r="F2" s="9" t="s">
        <v>215</v>
      </c>
      <c r="G2" s="13" t="s">
        <v>222</v>
      </c>
      <c r="H2" s="16" t="s">
        <v>223</v>
      </c>
      <c r="I2" s="61" t="s">
        <v>225</v>
      </c>
      <c r="J2" s="62"/>
      <c r="K2" s="63"/>
      <c r="L2" s="21" t="s">
        <v>230</v>
      </c>
      <c r="M2" s="27"/>
    </row>
    <row r="3" spans="1:62" ht="12.75">
      <c r="A3" s="2" t="s">
        <v>1</v>
      </c>
      <c r="B3" s="10" t="s">
        <v>1</v>
      </c>
      <c r="C3" s="68" t="s">
        <v>125</v>
      </c>
      <c r="D3" s="69"/>
      <c r="E3" s="70"/>
      <c r="F3" s="10" t="s">
        <v>1</v>
      </c>
      <c r="G3" s="10" t="s">
        <v>1</v>
      </c>
      <c r="H3" s="17" t="s">
        <v>224</v>
      </c>
      <c r="I3" s="18" t="s">
        <v>226</v>
      </c>
      <c r="J3" s="19" t="s">
        <v>228</v>
      </c>
      <c r="K3" s="20" t="s">
        <v>229</v>
      </c>
      <c r="L3" s="22" t="s">
        <v>231</v>
      </c>
      <c r="M3" s="27"/>
      <c r="Z3" s="24" t="s">
        <v>233</v>
      </c>
      <c r="AA3" s="24" t="s">
        <v>234</v>
      </c>
      <c r="AB3" s="24" t="s">
        <v>235</v>
      </c>
      <c r="AC3" s="24" t="s">
        <v>236</v>
      </c>
      <c r="AD3" s="24" t="s">
        <v>237</v>
      </c>
      <c r="AE3" s="24" t="s">
        <v>238</v>
      </c>
      <c r="AF3" s="24" t="s">
        <v>239</v>
      </c>
      <c r="AG3" s="24" t="s">
        <v>240</v>
      </c>
      <c r="AH3" s="24" t="s">
        <v>241</v>
      </c>
      <c r="BH3" s="24" t="s">
        <v>275</v>
      </c>
      <c r="BI3" s="24" t="s">
        <v>276</v>
      </c>
      <c r="BJ3" s="24" t="s">
        <v>277</v>
      </c>
    </row>
    <row r="4" spans="1:47" ht="12.75">
      <c r="A4" s="4"/>
      <c r="B4" s="11" t="s">
        <v>14</v>
      </c>
      <c r="C4" s="71" t="s">
        <v>126</v>
      </c>
      <c r="D4" s="72"/>
      <c r="E4" s="72"/>
      <c r="F4" s="4" t="s">
        <v>1</v>
      </c>
      <c r="G4" s="4" t="s">
        <v>1</v>
      </c>
      <c r="H4" s="4" t="s">
        <v>1</v>
      </c>
      <c r="I4" s="30">
        <f>SUM(I5:I7)</f>
        <v>0</v>
      </c>
      <c r="J4" s="30">
        <f>SUM(J5:J7)</f>
        <v>0</v>
      </c>
      <c r="K4" s="30">
        <f>SUM(K5:K7)</f>
        <v>0</v>
      </c>
      <c r="L4" s="24"/>
      <c r="AI4" s="24"/>
      <c r="AS4" s="30">
        <f>SUM(AJ5:AJ7)</f>
        <v>0</v>
      </c>
      <c r="AT4" s="30">
        <f>SUM(AK5:AK7)</f>
        <v>0</v>
      </c>
      <c r="AU4" s="30">
        <f>SUM(AL5:AL7)</f>
        <v>0</v>
      </c>
    </row>
    <row r="5" spans="1:62" ht="12.75">
      <c r="A5" s="3" t="s">
        <v>2</v>
      </c>
      <c r="B5" s="3" t="s">
        <v>58</v>
      </c>
      <c r="C5" s="64" t="s">
        <v>127</v>
      </c>
      <c r="D5" s="65"/>
      <c r="E5" s="65"/>
      <c r="F5" s="3" t="s">
        <v>216</v>
      </c>
      <c r="G5" s="54">
        <v>130</v>
      </c>
      <c r="H5" s="14">
        <v>0</v>
      </c>
      <c r="I5" s="14">
        <f>G5*AO5</f>
        <v>0</v>
      </c>
      <c r="J5" s="14">
        <f>G5*AP5</f>
        <v>0</v>
      </c>
      <c r="K5" s="14">
        <f>G5*H5</f>
        <v>0</v>
      </c>
      <c r="L5" s="23" t="s">
        <v>232</v>
      </c>
      <c r="Z5" s="28">
        <f>IF(AQ5="5",BJ5,0)</f>
        <v>0</v>
      </c>
      <c r="AB5" s="28">
        <f>IF(AQ5="1",BH5,0)</f>
        <v>0</v>
      </c>
      <c r="AC5" s="28">
        <f>IF(AQ5="1",BI5,0)</f>
        <v>0</v>
      </c>
      <c r="AD5" s="28">
        <f>IF(AQ5="7",BH5,0)</f>
        <v>0</v>
      </c>
      <c r="AE5" s="28">
        <f>IF(AQ5="7",BI5,0)</f>
        <v>0</v>
      </c>
      <c r="AF5" s="28">
        <f>IF(AQ5="2",BH5,0)</f>
        <v>0</v>
      </c>
      <c r="AG5" s="28">
        <f>IF(AQ5="2",BI5,0)</f>
        <v>0</v>
      </c>
      <c r="AH5" s="28">
        <f>IF(AQ5="0",BJ5,0)</f>
        <v>0</v>
      </c>
      <c r="AI5" s="24"/>
      <c r="AJ5" s="14">
        <f>IF(AN5=0,K5,0)</f>
        <v>0</v>
      </c>
      <c r="AK5" s="14">
        <f>IF(AN5=15,K5,0)</f>
        <v>0</v>
      </c>
      <c r="AL5" s="14">
        <f>IF(AN5=21,K5,0)</f>
        <v>0</v>
      </c>
      <c r="AN5" s="28">
        <v>21</v>
      </c>
      <c r="AO5" s="28">
        <f>H5*0</f>
        <v>0</v>
      </c>
      <c r="AP5" s="28">
        <f>H5*(1-0)</f>
        <v>0</v>
      </c>
      <c r="AQ5" s="23" t="s">
        <v>2</v>
      </c>
      <c r="AV5" s="28">
        <f>AW5+AX5</f>
        <v>0</v>
      </c>
      <c r="AW5" s="28">
        <f>G5*AO5</f>
        <v>0</v>
      </c>
      <c r="AX5" s="28">
        <f>G5*AP5</f>
        <v>0</v>
      </c>
      <c r="AY5" s="29" t="s">
        <v>242</v>
      </c>
      <c r="AZ5" s="29" t="s">
        <v>263</v>
      </c>
      <c r="BA5" s="24" t="s">
        <v>274</v>
      </c>
      <c r="BC5" s="28">
        <f>AW5+AX5</f>
        <v>0</v>
      </c>
      <c r="BD5" s="28">
        <f>H5/(100-BE5)*100</f>
        <v>0</v>
      </c>
      <c r="BE5" s="28">
        <v>0</v>
      </c>
      <c r="BF5" s="28">
        <f>15</f>
        <v>15</v>
      </c>
      <c r="BH5" s="14">
        <f>G5*AO5</f>
        <v>0</v>
      </c>
      <c r="BI5" s="14">
        <f>G5*AP5</f>
        <v>0</v>
      </c>
      <c r="BJ5" s="14">
        <f>G5*H5</f>
        <v>0</v>
      </c>
    </row>
    <row r="6" spans="3:5" ht="12.75">
      <c r="C6" s="66" t="s">
        <v>128</v>
      </c>
      <c r="D6" s="67"/>
      <c r="E6" s="67"/>
    </row>
    <row r="7" spans="1:62" ht="12.75">
      <c r="A7" s="3" t="s">
        <v>3</v>
      </c>
      <c r="B7" s="3" t="s">
        <v>58</v>
      </c>
      <c r="C7" s="64" t="s">
        <v>127</v>
      </c>
      <c r="D7" s="65"/>
      <c r="E7" s="65"/>
      <c r="F7" s="3" t="s">
        <v>216</v>
      </c>
      <c r="G7" s="54">
        <v>13.5</v>
      </c>
      <c r="H7" s="14">
        <v>0</v>
      </c>
      <c r="I7" s="14">
        <f>G7*AO7</f>
        <v>0</v>
      </c>
      <c r="J7" s="14">
        <f>G7*AP7</f>
        <v>0</v>
      </c>
      <c r="K7" s="14">
        <f>G7*H7</f>
        <v>0</v>
      </c>
      <c r="L7" s="23" t="s">
        <v>232</v>
      </c>
      <c r="Z7" s="28">
        <f>IF(AQ7="5",BJ7,0)</f>
        <v>0</v>
      </c>
      <c r="AB7" s="28">
        <f>IF(AQ7="1",BH7,0)</f>
        <v>0</v>
      </c>
      <c r="AC7" s="28">
        <f>IF(AQ7="1",BI7,0)</f>
        <v>0</v>
      </c>
      <c r="AD7" s="28">
        <f>IF(AQ7="7",BH7,0)</f>
        <v>0</v>
      </c>
      <c r="AE7" s="28">
        <f>IF(AQ7="7",BI7,0)</f>
        <v>0</v>
      </c>
      <c r="AF7" s="28">
        <f>IF(AQ7="2",BH7,0)</f>
        <v>0</v>
      </c>
      <c r="AG7" s="28">
        <f>IF(AQ7="2",BI7,0)</f>
        <v>0</v>
      </c>
      <c r="AH7" s="28">
        <f>IF(AQ7="0",BJ7,0)</f>
        <v>0</v>
      </c>
      <c r="AI7" s="24"/>
      <c r="AJ7" s="14">
        <f>IF(AN7=0,K7,0)</f>
        <v>0</v>
      </c>
      <c r="AK7" s="14">
        <f>IF(AN7=15,K7,0)</f>
        <v>0</v>
      </c>
      <c r="AL7" s="14">
        <f>IF(AN7=21,K7,0)</f>
        <v>0</v>
      </c>
      <c r="AN7" s="28">
        <v>21</v>
      </c>
      <c r="AO7" s="28">
        <f>H7*0</f>
        <v>0</v>
      </c>
      <c r="AP7" s="28">
        <f>H7*(1-0)</f>
        <v>0</v>
      </c>
      <c r="AQ7" s="23" t="s">
        <v>2</v>
      </c>
      <c r="AV7" s="28">
        <f>AW7+AX7</f>
        <v>0</v>
      </c>
      <c r="AW7" s="28">
        <f>G7*AO7</f>
        <v>0</v>
      </c>
      <c r="AX7" s="28">
        <f>G7*AP7</f>
        <v>0</v>
      </c>
      <c r="AY7" s="29" t="s">
        <v>242</v>
      </c>
      <c r="AZ7" s="29" t="s">
        <v>263</v>
      </c>
      <c r="BA7" s="24" t="s">
        <v>274</v>
      </c>
      <c r="BC7" s="28">
        <f>AW7+AX7</f>
        <v>0</v>
      </c>
      <c r="BD7" s="28">
        <f>H7/(100-BE7)*100</f>
        <v>0</v>
      </c>
      <c r="BE7" s="28">
        <v>0</v>
      </c>
      <c r="BF7" s="28">
        <f>17</f>
        <v>17</v>
      </c>
      <c r="BH7" s="14">
        <f>G7*AO7</f>
        <v>0</v>
      </c>
      <c r="BI7" s="14">
        <f>G7*AP7</f>
        <v>0</v>
      </c>
      <c r="BJ7" s="14">
        <f>G7*H7</f>
        <v>0</v>
      </c>
    </row>
    <row r="8" spans="3:5" ht="12.75">
      <c r="C8" s="66" t="s">
        <v>129</v>
      </c>
      <c r="D8" s="67"/>
      <c r="E8" s="67"/>
    </row>
    <row r="9" spans="1:47" ht="12.75">
      <c r="A9" s="4"/>
      <c r="B9" s="11" t="s">
        <v>17</v>
      </c>
      <c r="C9" s="71" t="s">
        <v>130</v>
      </c>
      <c r="D9" s="72"/>
      <c r="E9" s="72"/>
      <c r="F9" s="4" t="s">
        <v>1</v>
      </c>
      <c r="G9" s="4" t="s">
        <v>1</v>
      </c>
      <c r="H9" s="4" t="s">
        <v>1</v>
      </c>
      <c r="I9" s="30">
        <f>SUM(I10:I11)</f>
        <v>0</v>
      </c>
      <c r="J9" s="30">
        <f>SUM(J10:J11)</f>
        <v>0</v>
      </c>
      <c r="K9" s="30">
        <f>SUM(K10:K11)</f>
        <v>0</v>
      </c>
      <c r="L9" s="24"/>
      <c r="AI9" s="24"/>
      <c r="AS9" s="30">
        <f>SUM(AJ10:AJ11)</f>
        <v>0</v>
      </c>
      <c r="AT9" s="30">
        <f>SUM(AK10:AK11)</f>
        <v>0</v>
      </c>
      <c r="AU9" s="30">
        <f>SUM(AL10:AL11)</f>
        <v>0</v>
      </c>
    </row>
    <row r="10" spans="1:62" ht="12.75">
      <c r="A10" s="3" t="s">
        <v>4</v>
      </c>
      <c r="B10" s="3" t="s">
        <v>59</v>
      </c>
      <c r="C10" s="64" t="s">
        <v>131</v>
      </c>
      <c r="D10" s="65"/>
      <c r="E10" s="65"/>
      <c r="F10" s="3" t="s">
        <v>216</v>
      </c>
      <c r="G10" s="54">
        <v>38.5</v>
      </c>
      <c r="H10" s="14">
        <v>0</v>
      </c>
      <c r="I10" s="14">
        <f>G10*AO10</f>
        <v>0</v>
      </c>
      <c r="J10" s="14">
        <f>G10*AP10</f>
        <v>0</v>
      </c>
      <c r="K10" s="14">
        <f>G10*H10</f>
        <v>0</v>
      </c>
      <c r="L10" s="23" t="s">
        <v>232</v>
      </c>
      <c r="Z10" s="28">
        <f>IF(AQ10="5",BJ10,0)</f>
        <v>0</v>
      </c>
      <c r="AB10" s="28">
        <f>IF(AQ10="1",BH10,0)</f>
        <v>0</v>
      </c>
      <c r="AC10" s="28">
        <f>IF(AQ10="1",BI10,0)</f>
        <v>0</v>
      </c>
      <c r="AD10" s="28">
        <f>IF(AQ10="7",BH10,0)</f>
        <v>0</v>
      </c>
      <c r="AE10" s="28">
        <f>IF(AQ10="7",BI10,0)</f>
        <v>0</v>
      </c>
      <c r="AF10" s="28">
        <f>IF(AQ10="2",BH10,0)</f>
        <v>0</v>
      </c>
      <c r="AG10" s="28">
        <f>IF(AQ10="2",BI10,0)</f>
        <v>0</v>
      </c>
      <c r="AH10" s="28">
        <f>IF(AQ10="0",BJ10,0)</f>
        <v>0</v>
      </c>
      <c r="AI10" s="24"/>
      <c r="AJ10" s="14">
        <f>IF(AN10=0,K10,0)</f>
        <v>0</v>
      </c>
      <c r="AK10" s="14">
        <f>IF(AN10=15,K10,0)</f>
        <v>0</v>
      </c>
      <c r="AL10" s="14">
        <f>IF(AN10=21,K10,0)</f>
        <v>0</v>
      </c>
      <c r="AN10" s="28">
        <v>21</v>
      </c>
      <c r="AO10" s="28">
        <f>H10*0</f>
        <v>0</v>
      </c>
      <c r="AP10" s="28">
        <f>H10*(1-0)</f>
        <v>0</v>
      </c>
      <c r="AQ10" s="23" t="s">
        <v>2</v>
      </c>
      <c r="AV10" s="28">
        <f>AW10+AX10</f>
        <v>0</v>
      </c>
      <c r="AW10" s="28">
        <f>G10*AO10</f>
        <v>0</v>
      </c>
      <c r="AX10" s="28">
        <f>G10*AP10</f>
        <v>0</v>
      </c>
      <c r="AY10" s="29" t="s">
        <v>243</v>
      </c>
      <c r="AZ10" s="29" t="s">
        <v>263</v>
      </c>
      <c r="BA10" s="24" t="s">
        <v>274</v>
      </c>
      <c r="BC10" s="28">
        <f>AW10+AX10</f>
        <v>0</v>
      </c>
      <c r="BD10" s="28">
        <f>H10/(100-BE10)*100</f>
        <v>0</v>
      </c>
      <c r="BE10" s="28">
        <v>0</v>
      </c>
      <c r="BF10" s="28">
        <f>20</f>
        <v>20</v>
      </c>
      <c r="BH10" s="14">
        <f>G10*AO10</f>
        <v>0</v>
      </c>
      <c r="BI10" s="14">
        <f>G10*AP10</f>
        <v>0</v>
      </c>
      <c r="BJ10" s="14">
        <f>G10*H10</f>
        <v>0</v>
      </c>
    </row>
    <row r="11" spans="1:62" ht="12.75">
      <c r="A11" s="3" t="s">
        <v>5</v>
      </c>
      <c r="B11" s="3" t="s">
        <v>60</v>
      </c>
      <c r="C11" s="64" t="s">
        <v>132</v>
      </c>
      <c r="D11" s="65"/>
      <c r="E11" s="65"/>
      <c r="F11" s="3" t="s">
        <v>216</v>
      </c>
      <c r="G11" s="54">
        <v>38.5</v>
      </c>
      <c r="H11" s="14">
        <v>0</v>
      </c>
      <c r="I11" s="14">
        <f>G11*AO11</f>
        <v>0</v>
      </c>
      <c r="J11" s="14">
        <f>G11*AP11</f>
        <v>0</v>
      </c>
      <c r="K11" s="14">
        <f>G11*H11</f>
        <v>0</v>
      </c>
      <c r="L11" s="23" t="s">
        <v>232</v>
      </c>
      <c r="Z11" s="28">
        <f>IF(AQ11="5",BJ11,0)</f>
        <v>0</v>
      </c>
      <c r="AB11" s="28">
        <f>IF(AQ11="1",BH11,0)</f>
        <v>0</v>
      </c>
      <c r="AC11" s="28">
        <f>IF(AQ11="1",BI11,0)</f>
        <v>0</v>
      </c>
      <c r="AD11" s="28">
        <f>IF(AQ11="7",BH11,0)</f>
        <v>0</v>
      </c>
      <c r="AE11" s="28">
        <f>IF(AQ11="7",BI11,0)</f>
        <v>0</v>
      </c>
      <c r="AF11" s="28">
        <f>IF(AQ11="2",BH11,0)</f>
        <v>0</v>
      </c>
      <c r="AG11" s="28">
        <f>IF(AQ11="2",BI11,0)</f>
        <v>0</v>
      </c>
      <c r="AH11" s="28">
        <f>IF(AQ11="0",BJ11,0)</f>
        <v>0</v>
      </c>
      <c r="AI11" s="24"/>
      <c r="AJ11" s="14">
        <f>IF(AN11=0,K11,0)</f>
        <v>0</v>
      </c>
      <c r="AK11" s="14">
        <f>IF(AN11=15,K11,0)</f>
        <v>0</v>
      </c>
      <c r="AL11" s="14">
        <f>IF(AN11=21,K11,0)</f>
        <v>0</v>
      </c>
      <c r="AN11" s="28">
        <v>21</v>
      </c>
      <c r="AO11" s="28">
        <f>H11*0</f>
        <v>0</v>
      </c>
      <c r="AP11" s="28">
        <f>H11*(1-0)</f>
        <v>0</v>
      </c>
      <c r="AQ11" s="23" t="s">
        <v>2</v>
      </c>
      <c r="AV11" s="28">
        <f>AW11+AX11</f>
        <v>0</v>
      </c>
      <c r="AW11" s="28">
        <f>G11*AO11</f>
        <v>0</v>
      </c>
      <c r="AX11" s="28">
        <f>G11*AP11</f>
        <v>0</v>
      </c>
      <c r="AY11" s="29" t="s">
        <v>243</v>
      </c>
      <c r="AZ11" s="29" t="s">
        <v>263</v>
      </c>
      <c r="BA11" s="24" t="s">
        <v>274</v>
      </c>
      <c r="BC11" s="28">
        <f>AW11+AX11</f>
        <v>0</v>
      </c>
      <c r="BD11" s="28">
        <f>H11/(100-BE11)*100</f>
        <v>0</v>
      </c>
      <c r="BE11" s="28">
        <v>0</v>
      </c>
      <c r="BF11" s="28">
        <f>21</f>
        <v>21</v>
      </c>
      <c r="BH11" s="14">
        <f>G11*AO11</f>
        <v>0</v>
      </c>
      <c r="BI11" s="14">
        <f>G11*AP11</f>
        <v>0</v>
      </c>
      <c r="BJ11" s="14">
        <f>G11*H11</f>
        <v>0</v>
      </c>
    </row>
    <row r="12" spans="1:47" ht="12.75">
      <c r="A12" s="4"/>
      <c r="B12" s="11" t="s">
        <v>18</v>
      </c>
      <c r="C12" s="71" t="s">
        <v>133</v>
      </c>
      <c r="D12" s="72"/>
      <c r="E12" s="72"/>
      <c r="F12" s="4" t="s">
        <v>1</v>
      </c>
      <c r="G12" s="4" t="s">
        <v>1</v>
      </c>
      <c r="H12" s="4" t="s">
        <v>1</v>
      </c>
      <c r="I12" s="30">
        <f>SUM(I13:I17)</f>
        <v>0</v>
      </c>
      <c r="J12" s="30">
        <f>SUM(J13:J17)</f>
        <v>0</v>
      </c>
      <c r="K12" s="30">
        <f>SUM(K13:K17)</f>
        <v>0</v>
      </c>
      <c r="L12" s="24"/>
      <c r="AI12" s="24"/>
      <c r="AS12" s="30">
        <f>SUM(AJ13:AJ17)</f>
        <v>0</v>
      </c>
      <c r="AT12" s="30">
        <f>SUM(AK13:AK17)</f>
        <v>0</v>
      </c>
      <c r="AU12" s="30">
        <f>SUM(AL13:AL17)</f>
        <v>0</v>
      </c>
    </row>
    <row r="13" spans="1:62" ht="12.75">
      <c r="A13" s="3" t="s">
        <v>6</v>
      </c>
      <c r="B13" s="3" t="s">
        <v>61</v>
      </c>
      <c r="C13" s="64" t="s">
        <v>134</v>
      </c>
      <c r="D13" s="65"/>
      <c r="E13" s="65"/>
      <c r="F13" s="3" t="s">
        <v>216</v>
      </c>
      <c r="G13" s="54">
        <v>25</v>
      </c>
      <c r="H13" s="14">
        <v>0</v>
      </c>
      <c r="I13" s="14">
        <f>G13*AO13</f>
        <v>0</v>
      </c>
      <c r="J13" s="14">
        <f>G13*AP13</f>
        <v>0</v>
      </c>
      <c r="K13" s="14">
        <f>G13*H13</f>
        <v>0</v>
      </c>
      <c r="L13" s="23" t="s">
        <v>232</v>
      </c>
      <c r="Z13" s="28">
        <f>IF(AQ13="5",BJ13,0)</f>
        <v>0</v>
      </c>
      <c r="AB13" s="28">
        <f>IF(AQ13="1",BH13,0)</f>
        <v>0</v>
      </c>
      <c r="AC13" s="28">
        <f>IF(AQ13="1",BI13,0)</f>
        <v>0</v>
      </c>
      <c r="AD13" s="28">
        <f>IF(AQ13="7",BH13,0)</f>
        <v>0</v>
      </c>
      <c r="AE13" s="28">
        <f>IF(AQ13="7",BI13,0)</f>
        <v>0</v>
      </c>
      <c r="AF13" s="28">
        <f>IF(AQ13="2",BH13,0)</f>
        <v>0</v>
      </c>
      <c r="AG13" s="28">
        <f>IF(AQ13="2",BI13,0)</f>
        <v>0</v>
      </c>
      <c r="AH13" s="28">
        <f>IF(AQ13="0",BJ13,0)</f>
        <v>0</v>
      </c>
      <c r="AI13" s="24"/>
      <c r="AJ13" s="14">
        <f>IF(AN13=0,K13,0)</f>
        <v>0</v>
      </c>
      <c r="AK13" s="14">
        <f>IF(AN13=15,K13,0)</f>
        <v>0</v>
      </c>
      <c r="AL13" s="14">
        <f>IF(AN13=21,K13,0)</f>
        <v>0</v>
      </c>
      <c r="AN13" s="28">
        <v>21</v>
      </c>
      <c r="AO13" s="28">
        <f>H13*0.572951739618406</f>
        <v>0</v>
      </c>
      <c r="AP13" s="28">
        <f>H13*(1-0.572951739618406)</f>
        <v>0</v>
      </c>
      <c r="AQ13" s="23" t="s">
        <v>2</v>
      </c>
      <c r="AV13" s="28">
        <f>AW13+AX13</f>
        <v>0</v>
      </c>
      <c r="AW13" s="28">
        <f>G13*AO13</f>
        <v>0</v>
      </c>
      <c r="AX13" s="28">
        <f>G13*AP13</f>
        <v>0</v>
      </c>
      <c r="AY13" s="29" t="s">
        <v>244</v>
      </c>
      <c r="AZ13" s="29" t="s">
        <v>263</v>
      </c>
      <c r="BA13" s="24" t="s">
        <v>274</v>
      </c>
      <c r="BC13" s="28">
        <f>AW13+AX13</f>
        <v>0</v>
      </c>
      <c r="BD13" s="28">
        <f>H13/(100-BE13)*100</f>
        <v>0</v>
      </c>
      <c r="BE13" s="28">
        <v>0</v>
      </c>
      <c r="BF13" s="28">
        <f>23</f>
        <v>23</v>
      </c>
      <c r="BH13" s="14">
        <f>G13*AO13</f>
        <v>0</v>
      </c>
      <c r="BI13" s="14">
        <f>G13*AP13</f>
        <v>0</v>
      </c>
      <c r="BJ13" s="14">
        <f>G13*H13</f>
        <v>0</v>
      </c>
    </row>
    <row r="14" spans="3:5" ht="12.75">
      <c r="C14" s="66" t="s">
        <v>135</v>
      </c>
      <c r="D14" s="67"/>
      <c r="E14" s="67"/>
    </row>
    <row r="15" spans="1:62" ht="12.75">
      <c r="A15" s="3" t="s">
        <v>7</v>
      </c>
      <c r="B15" s="3" t="s">
        <v>62</v>
      </c>
      <c r="C15" s="64" t="s">
        <v>136</v>
      </c>
      <c r="D15" s="65"/>
      <c r="E15" s="65"/>
      <c r="F15" s="3" t="s">
        <v>216</v>
      </c>
      <c r="G15" s="54">
        <v>105</v>
      </c>
      <c r="H15" s="14">
        <v>0</v>
      </c>
      <c r="I15" s="14">
        <f>G15*AO15</f>
        <v>0</v>
      </c>
      <c r="J15" s="14">
        <f>G15*AP15</f>
        <v>0</v>
      </c>
      <c r="K15" s="14">
        <f>G15*H15</f>
        <v>0</v>
      </c>
      <c r="L15" s="23" t="s">
        <v>232</v>
      </c>
      <c r="Z15" s="28">
        <f>IF(AQ15="5",BJ15,0)</f>
        <v>0</v>
      </c>
      <c r="AB15" s="28">
        <f>IF(AQ15="1",BH15,0)</f>
        <v>0</v>
      </c>
      <c r="AC15" s="28">
        <f>IF(AQ15="1",BI15,0)</f>
        <v>0</v>
      </c>
      <c r="AD15" s="28">
        <f>IF(AQ15="7",BH15,0)</f>
        <v>0</v>
      </c>
      <c r="AE15" s="28">
        <f>IF(AQ15="7",BI15,0)</f>
        <v>0</v>
      </c>
      <c r="AF15" s="28">
        <f>IF(AQ15="2",BH15,0)</f>
        <v>0</v>
      </c>
      <c r="AG15" s="28">
        <f>IF(AQ15="2",BI15,0)</f>
        <v>0</v>
      </c>
      <c r="AH15" s="28">
        <f>IF(AQ15="0",BJ15,0)</f>
        <v>0</v>
      </c>
      <c r="AI15" s="24"/>
      <c r="AJ15" s="14">
        <f>IF(AN15=0,K15,0)</f>
        <v>0</v>
      </c>
      <c r="AK15" s="14">
        <f>IF(AN15=15,K15,0)</f>
        <v>0</v>
      </c>
      <c r="AL15" s="14">
        <f>IF(AN15=21,K15,0)</f>
        <v>0</v>
      </c>
      <c r="AN15" s="28">
        <v>21</v>
      </c>
      <c r="AO15" s="28">
        <f>H15*0</f>
        <v>0</v>
      </c>
      <c r="AP15" s="28">
        <f>H15*(1-0)</f>
        <v>0</v>
      </c>
      <c r="AQ15" s="23" t="s">
        <v>2</v>
      </c>
      <c r="AV15" s="28">
        <f>AW15+AX15</f>
        <v>0</v>
      </c>
      <c r="AW15" s="28">
        <f>G15*AO15</f>
        <v>0</v>
      </c>
      <c r="AX15" s="28">
        <f>G15*AP15</f>
        <v>0</v>
      </c>
      <c r="AY15" s="29" t="s">
        <v>244</v>
      </c>
      <c r="AZ15" s="29" t="s">
        <v>263</v>
      </c>
      <c r="BA15" s="24" t="s">
        <v>274</v>
      </c>
      <c r="BC15" s="28">
        <f>AW15+AX15</f>
        <v>0</v>
      </c>
      <c r="BD15" s="28">
        <f>H15/(100-BE15)*100</f>
        <v>0</v>
      </c>
      <c r="BE15" s="28">
        <v>0</v>
      </c>
      <c r="BF15" s="28">
        <f>25</f>
        <v>25</v>
      </c>
      <c r="BH15" s="14">
        <f>G15*AO15</f>
        <v>0</v>
      </c>
      <c r="BI15" s="14">
        <f>G15*AP15</f>
        <v>0</v>
      </c>
      <c r="BJ15" s="14">
        <f>G15*H15</f>
        <v>0</v>
      </c>
    </row>
    <row r="16" spans="1:62" ht="12.75">
      <c r="A16" s="3" t="s">
        <v>8</v>
      </c>
      <c r="B16" s="3" t="s">
        <v>63</v>
      </c>
      <c r="C16" s="64" t="s">
        <v>137</v>
      </c>
      <c r="D16" s="65"/>
      <c r="E16" s="65"/>
      <c r="F16" s="3" t="s">
        <v>216</v>
      </c>
      <c r="G16" s="54">
        <v>38.5</v>
      </c>
      <c r="H16" s="14">
        <v>0</v>
      </c>
      <c r="I16" s="14">
        <f>G16*AO16</f>
        <v>0</v>
      </c>
      <c r="J16" s="14">
        <f>G16*AP16</f>
        <v>0</v>
      </c>
      <c r="K16" s="14">
        <f>G16*H16</f>
        <v>0</v>
      </c>
      <c r="L16" s="23" t="s">
        <v>232</v>
      </c>
      <c r="Z16" s="28">
        <f>IF(AQ16="5",BJ16,0)</f>
        <v>0</v>
      </c>
      <c r="AB16" s="28">
        <f>IF(AQ16="1",BH16,0)</f>
        <v>0</v>
      </c>
      <c r="AC16" s="28">
        <f>IF(AQ16="1",BI16,0)</f>
        <v>0</v>
      </c>
      <c r="AD16" s="28">
        <f>IF(AQ16="7",BH16,0)</f>
        <v>0</v>
      </c>
      <c r="AE16" s="28">
        <f>IF(AQ16="7",BI16,0)</f>
        <v>0</v>
      </c>
      <c r="AF16" s="28">
        <f>IF(AQ16="2",BH16,0)</f>
        <v>0</v>
      </c>
      <c r="AG16" s="28">
        <f>IF(AQ16="2",BI16,0)</f>
        <v>0</v>
      </c>
      <c r="AH16" s="28">
        <f>IF(AQ16="0",BJ16,0)</f>
        <v>0</v>
      </c>
      <c r="AI16" s="24"/>
      <c r="AJ16" s="14">
        <f>IF(AN16=0,K16,0)</f>
        <v>0</v>
      </c>
      <c r="AK16" s="14">
        <f>IF(AN16=15,K16,0)</f>
        <v>0</v>
      </c>
      <c r="AL16" s="14">
        <f>IF(AN16=21,K16,0)</f>
        <v>0</v>
      </c>
      <c r="AN16" s="28">
        <v>21</v>
      </c>
      <c r="AO16" s="28">
        <f>H16*0</f>
        <v>0</v>
      </c>
      <c r="AP16" s="28">
        <f>H16*(1-0)</f>
        <v>0</v>
      </c>
      <c r="AQ16" s="23" t="s">
        <v>2</v>
      </c>
      <c r="AV16" s="28">
        <f>AW16+AX16</f>
        <v>0</v>
      </c>
      <c r="AW16" s="28">
        <f>G16*AO16</f>
        <v>0</v>
      </c>
      <c r="AX16" s="28">
        <f>G16*AP16</f>
        <v>0</v>
      </c>
      <c r="AY16" s="29" t="s">
        <v>244</v>
      </c>
      <c r="AZ16" s="29" t="s">
        <v>263</v>
      </c>
      <c r="BA16" s="24" t="s">
        <v>274</v>
      </c>
      <c r="BC16" s="28">
        <f>AW16+AX16</f>
        <v>0</v>
      </c>
      <c r="BD16" s="28">
        <f>H16/(100-BE16)*100</f>
        <v>0</v>
      </c>
      <c r="BE16" s="28">
        <v>0</v>
      </c>
      <c r="BF16" s="28">
        <f>26</f>
        <v>26</v>
      </c>
      <c r="BH16" s="14">
        <f>G16*AO16</f>
        <v>0</v>
      </c>
      <c r="BI16" s="14">
        <f>G16*AP16</f>
        <v>0</v>
      </c>
      <c r="BJ16" s="14">
        <f>G16*H16</f>
        <v>0</v>
      </c>
    </row>
    <row r="17" spans="1:62" ht="12.75">
      <c r="A17" s="3" t="s">
        <v>9</v>
      </c>
      <c r="B17" s="3" t="s">
        <v>64</v>
      </c>
      <c r="C17" s="64" t="s">
        <v>138</v>
      </c>
      <c r="D17" s="65"/>
      <c r="E17" s="65"/>
      <c r="F17" s="3" t="s">
        <v>216</v>
      </c>
      <c r="G17" s="54">
        <v>38.5</v>
      </c>
      <c r="H17" s="14">
        <v>0</v>
      </c>
      <c r="I17" s="14">
        <f>G17*AO17</f>
        <v>0</v>
      </c>
      <c r="J17" s="14">
        <f>G17*AP17</f>
        <v>0</v>
      </c>
      <c r="K17" s="14">
        <f>G17*H17</f>
        <v>0</v>
      </c>
      <c r="L17" s="23" t="s">
        <v>232</v>
      </c>
      <c r="Z17" s="28">
        <f>IF(AQ17="5",BJ17,0)</f>
        <v>0</v>
      </c>
      <c r="AB17" s="28">
        <f>IF(AQ17="1",BH17,0)</f>
        <v>0</v>
      </c>
      <c r="AC17" s="28">
        <f>IF(AQ17="1",BI17,0)</f>
        <v>0</v>
      </c>
      <c r="AD17" s="28">
        <f>IF(AQ17="7",BH17,0)</f>
        <v>0</v>
      </c>
      <c r="AE17" s="28">
        <f>IF(AQ17="7",BI17,0)</f>
        <v>0</v>
      </c>
      <c r="AF17" s="28">
        <f>IF(AQ17="2",BH17,0)</f>
        <v>0</v>
      </c>
      <c r="AG17" s="28">
        <f>IF(AQ17="2",BI17,0)</f>
        <v>0</v>
      </c>
      <c r="AH17" s="28">
        <f>IF(AQ17="0",BJ17,0)</f>
        <v>0</v>
      </c>
      <c r="AI17" s="24"/>
      <c r="AJ17" s="14">
        <f>IF(AN17=0,K17,0)</f>
        <v>0</v>
      </c>
      <c r="AK17" s="14">
        <f>IF(AN17=15,K17,0)</f>
        <v>0</v>
      </c>
      <c r="AL17" s="14">
        <f>IF(AN17=21,K17,0)</f>
        <v>0</v>
      </c>
      <c r="AN17" s="28">
        <v>21</v>
      </c>
      <c r="AO17" s="28">
        <f>H17*0</f>
        <v>0</v>
      </c>
      <c r="AP17" s="28">
        <f>H17*(1-0)</f>
        <v>0</v>
      </c>
      <c r="AQ17" s="23" t="s">
        <v>2</v>
      </c>
      <c r="AV17" s="28">
        <f>AW17+AX17</f>
        <v>0</v>
      </c>
      <c r="AW17" s="28">
        <f>G17*AO17</f>
        <v>0</v>
      </c>
      <c r="AX17" s="28">
        <f>G17*AP17</f>
        <v>0</v>
      </c>
      <c r="AY17" s="29" t="s">
        <v>244</v>
      </c>
      <c r="AZ17" s="29" t="s">
        <v>263</v>
      </c>
      <c r="BA17" s="24" t="s">
        <v>274</v>
      </c>
      <c r="BC17" s="28">
        <f>AW17+AX17</f>
        <v>0</v>
      </c>
      <c r="BD17" s="28">
        <f>H17/(100-BE17)*100</f>
        <v>0</v>
      </c>
      <c r="BE17" s="28">
        <v>0</v>
      </c>
      <c r="BF17" s="28">
        <f>27</f>
        <v>27</v>
      </c>
      <c r="BH17" s="14">
        <f>G17*AO17</f>
        <v>0</v>
      </c>
      <c r="BI17" s="14">
        <f>G17*AP17</f>
        <v>0</v>
      </c>
      <c r="BJ17" s="14">
        <f>G17*H17</f>
        <v>0</v>
      </c>
    </row>
    <row r="18" spans="1:47" ht="12.75">
      <c r="A18" s="4"/>
      <c r="B18" s="11" t="s">
        <v>22</v>
      </c>
      <c r="C18" s="71" t="s">
        <v>139</v>
      </c>
      <c r="D18" s="72"/>
      <c r="E18" s="72"/>
      <c r="F18" s="4" t="s">
        <v>1</v>
      </c>
      <c r="G18" s="4" t="s">
        <v>1</v>
      </c>
      <c r="H18" s="4" t="s">
        <v>1</v>
      </c>
      <c r="I18" s="30">
        <f>SUM(I19:I19)</f>
        <v>0</v>
      </c>
      <c r="J18" s="30">
        <f>SUM(J19:J19)</f>
        <v>0</v>
      </c>
      <c r="K18" s="30">
        <f>SUM(K19:K19)</f>
        <v>0</v>
      </c>
      <c r="L18" s="24"/>
      <c r="AI18" s="24"/>
      <c r="AS18" s="30">
        <f>SUM(AJ19:AJ19)</f>
        <v>0</v>
      </c>
      <c r="AT18" s="30">
        <f>SUM(AK19:AK19)</f>
        <v>0</v>
      </c>
      <c r="AU18" s="30">
        <f>SUM(AL19:AL19)</f>
        <v>0</v>
      </c>
    </row>
    <row r="19" spans="1:62" ht="12.75">
      <c r="A19" s="3" t="s">
        <v>10</v>
      </c>
      <c r="B19" s="3" t="s">
        <v>65</v>
      </c>
      <c r="C19" s="64" t="s">
        <v>140</v>
      </c>
      <c r="D19" s="65"/>
      <c r="E19" s="65"/>
      <c r="F19" s="3" t="s">
        <v>217</v>
      </c>
      <c r="G19" s="54">
        <v>130</v>
      </c>
      <c r="H19" s="14">
        <v>0</v>
      </c>
      <c r="I19" s="14">
        <f>G19*AO19</f>
        <v>0</v>
      </c>
      <c r="J19" s="14">
        <f>G19*AP19</f>
        <v>0</v>
      </c>
      <c r="K19" s="14">
        <f>G19*H19</f>
        <v>0</v>
      </c>
      <c r="L19" s="23" t="s">
        <v>232</v>
      </c>
      <c r="Z19" s="28">
        <f>IF(AQ19="5",BJ19,0)</f>
        <v>0</v>
      </c>
      <c r="AB19" s="28">
        <f>IF(AQ19="1",BH19,0)</f>
        <v>0</v>
      </c>
      <c r="AC19" s="28">
        <f>IF(AQ19="1",BI19,0)</f>
        <v>0</v>
      </c>
      <c r="AD19" s="28">
        <f>IF(AQ19="7",BH19,0)</f>
        <v>0</v>
      </c>
      <c r="AE19" s="28">
        <f>IF(AQ19="7",BI19,0)</f>
        <v>0</v>
      </c>
      <c r="AF19" s="28">
        <f>IF(AQ19="2",BH19,0)</f>
        <v>0</v>
      </c>
      <c r="AG19" s="28">
        <f>IF(AQ19="2",BI19,0)</f>
        <v>0</v>
      </c>
      <c r="AH19" s="28">
        <f>IF(AQ19="0",BJ19,0)</f>
        <v>0</v>
      </c>
      <c r="AI19" s="24"/>
      <c r="AJ19" s="14">
        <f>IF(AN19=0,K19,0)</f>
        <v>0</v>
      </c>
      <c r="AK19" s="14">
        <f>IF(AN19=15,K19,0)</f>
        <v>0</v>
      </c>
      <c r="AL19" s="14">
        <f>IF(AN19=21,K19,0)</f>
        <v>0</v>
      </c>
      <c r="AN19" s="28">
        <v>21</v>
      </c>
      <c r="AO19" s="28">
        <f>H19*0.487490715411511</f>
        <v>0</v>
      </c>
      <c r="AP19" s="28">
        <f>H19*(1-0.487490715411511)</f>
        <v>0</v>
      </c>
      <c r="AQ19" s="23" t="s">
        <v>2</v>
      </c>
      <c r="AV19" s="28">
        <f>AW19+AX19</f>
        <v>0</v>
      </c>
      <c r="AW19" s="28">
        <f>G19*AO19</f>
        <v>0</v>
      </c>
      <c r="AX19" s="28">
        <f>G19*AP19</f>
        <v>0</v>
      </c>
      <c r="AY19" s="29" t="s">
        <v>245</v>
      </c>
      <c r="AZ19" s="29" t="s">
        <v>264</v>
      </c>
      <c r="BA19" s="24" t="s">
        <v>274</v>
      </c>
      <c r="BC19" s="28">
        <f>AW19+AX19</f>
        <v>0</v>
      </c>
      <c r="BD19" s="28">
        <f>H19/(100-BE19)*100</f>
        <v>0</v>
      </c>
      <c r="BE19" s="28">
        <v>0</v>
      </c>
      <c r="BF19" s="28">
        <f>29</f>
        <v>29</v>
      </c>
      <c r="BH19" s="14">
        <f>G19*AO19</f>
        <v>0</v>
      </c>
      <c r="BI19" s="14">
        <f>G19*AP19</f>
        <v>0</v>
      </c>
      <c r="BJ19" s="14">
        <f>G19*H19</f>
        <v>0</v>
      </c>
    </row>
    <row r="20" spans="3:5" ht="12.75">
      <c r="C20" s="66" t="s">
        <v>141</v>
      </c>
      <c r="D20" s="67"/>
      <c r="E20" s="67"/>
    </row>
    <row r="21" spans="1:47" ht="12.75">
      <c r="A21" s="4"/>
      <c r="B21" s="11" t="s">
        <v>28</v>
      </c>
      <c r="C21" s="71" t="s">
        <v>142</v>
      </c>
      <c r="D21" s="72"/>
      <c r="E21" s="72"/>
      <c r="F21" s="4" t="s">
        <v>1</v>
      </c>
      <c r="G21" s="4" t="s">
        <v>1</v>
      </c>
      <c r="H21" s="4" t="s">
        <v>1</v>
      </c>
      <c r="I21" s="30">
        <f>SUM(I22:I26)</f>
        <v>0</v>
      </c>
      <c r="J21" s="30">
        <f>SUM(J22:J26)</f>
        <v>0</v>
      </c>
      <c r="K21" s="30">
        <f>SUM(K22:K26)</f>
        <v>0</v>
      </c>
      <c r="L21" s="24"/>
      <c r="AI21" s="24"/>
      <c r="AS21" s="30">
        <f>SUM(AJ22:AJ26)</f>
        <v>0</v>
      </c>
      <c r="AT21" s="30">
        <f>SUM(AK22:AK26)</f>
        <v>0</v>
      </c>
      <c r="AU21" s="30">
        <f>SUM(AL22:AL26)</f>
        <v>0</v>
      </c>
    </row>
    <row r="22" spans="1:62" ht="12.75">
      <c r="A22" s="3" t="s">
        <v>11</v>
      </c>
      <c r="B22" s="3" t="s">
        <v>66</v>
      </c>
      <c r="C22" s="64" t="s">
        <v>143</v>
      </c>
      <c r="D22" s="65"/>
      <c r="E22" s="65"/>
      <c r="F22" s="3" t="s">
        <v>216</v>
      </c>
      <c r="G22" s="54">
        <v>2.1</v>
      </c>
      <c r="H22" s="14">
        <v>0</v>
      </c>
      <c r="I22" s="14">
        <f>G22*AO22</f>
        <v>0</v>
      </c>
      <c r="J22" s="14">
        <f>G22*AP22</f>
        <v>0</v>
      </c>
      <c r="K22" s="14">
        <f>G22*H22</f>
        <v>0</v>
      </c>
      <c r="L22" s="23" t="s">
        <v>232</v>
      </c>
      <c r="Z22" s="28">
        <f>IF(AQ22="5",BJ22,0)</f>
        <v>0</v>
      </c>
      <c r="AB22" s="28">
        <f>IF(AQ22="1",BH22,0)</f>
        <v>0</v>
      </c>
      <c r="AC22" s="28">
        <f>IF(AQ22="1",BI22,0)</f>
        <v>0</v>
      </c>
      <c r="AD22" s="28">
        <f>IF(AQ22="7",BH22,0)</f>
        <v>0</v>
      </c>
      <c r="AE22" s="28">
        <f>IF(AQ22="7",BI22,0)</f>
        <v>0</v>
      </c>
      <c r="AF22" s="28">
        <f>IF(AQ22="2",BH22,0)</f>
        <v>0</v>
      </c>
      <c r="AG22" s="28">
        <f>IF(AQ22="2",BI22,0)</f>
        <v>0</v>
      </c>
      <c r="AH22" s="28">
        <f>IF(AQ22="0",BJ22,0)</f>
        <v>0</v>
      </c>
      <c r="AI22" s="24"/>
      <c r="AJ22" s="14">
        <f>IF(AN22=0,K22,0)</f>
        <v>0</v>
      </c>
      <c r="AK22" s="14">
        <f>IF(AN22=15,K22,0)</f>
        <v>0</v>
      </c>
      <c r="AL22" s="14">
        <f>IF(AN22=21,K22,0)</f>
        <v>0</v>
      </c>
      <c r="AN22" s="28">
        <v>21</v>
      </c>
      <c r="AO22" s="28">
        <f>H22*0.881151785714286</f>
        <v>0</v>
      </c>
      <c r="AP22" s="28">
        <f>H22*(1-0.881151785714286)</f>
        <v>0</v>
      </c>
      <c r="AQ22" s="23" t="s">
        <v>2</v>
      </c>
      <c r="AV22" s="28">
        <f>AW22+AX22</f>
        <v>0</v>
      </c>
      <c r="AW22" s="28">
        <f>G22*AO22</f>
        <v>0</v>
      </c>
      <c r="AX22" s="28">
        <f>G22*AP22</f>
        <v>0</v>
      </c>
      <c r="AY22" s="29" t="s">
        <v>246</v>
      </c>
      <c r="AZ22" s="29" t="s">
        <v>264</v>
      </c>
      <c r="BA22" s="24" t="s">
        <v>274</v>
      </c>
      <c r="BC22" s="28">
        <f>AW22+AX22</f>
        <v>0</v>
      </c>
      <c r="BD22" s="28">
        <f>H22/(100-BE22)*100</f>
        <v>0</v>
      </c>
      <c r="BE22" s="28">
        <v>0</v>
      </c>
      <c r="BF22" s="28">
        <f>32</f>
        <v>32</v>
      </c>
      <c r="BH22" s="14">
        <f>G22*AO22</f>
        <v>0</v>
      </c>
      <c r="BI22" s="14">
        <f>G22*AP22</f>
        <v>0</v>
      </c>
      <c r="BJ22" s="14">
        <f>G22*H22</f>
        <v>0</v>
      </c>
    </row>
    <row r="23" spans="3:5" ht="12.75">
      <c r="C23" s="66" t="s">
        <v>144</v>
      </c>
      <c r="D23" s="67"/>
      <c r="E23" s="67"/>
    </row>
    <row r="24" spans="1:62" ht="12.75">
      <c r="A24" s="3" t="s">
        <v>12</v>
      </c>
      <c r="B24" s="3" t="s">
        <v>67</v>
      </c>
      <c r="C24" s="64" t="s">
        <v>145</v>
      </c>
      <c r="D24" s="65"/>
      <c r="E24" s="65"/>
      <c r="F24" s="3" t="s">
        <v>218</v>
      </c>
      <c r="G24" s="54">
        <v>5.83</v>
      </c>
      <c r="H24" s="14">
        <v>0</v>
      </c>
      <c r="I24" s="14">
        <f>G24*AO24</f>
        <v>0</v>
      </c>
      <c r="J24" s="14">
        <f>G24*AP24</f>
        <v>0</v>
      </c>
      <c r="K24" s="14">
        <f>G24*H24</f>
        <v>0</v>
      </c>
      <c r="L24" s="23" t="s">
        <v>232</v>
      </c>
      <c r="Z24" s="28">
        <f>IF(AQ24="5",BJ24,0)</f>
        <v>0</v>
      </c>
      <c r="AB24" s="28">
        <f>IF(AQ24="1",BH24,0)</f>
        <v>0</v>
      </c>
      <c r="AC24" s="28">
        <f>IF(AQ24="1",BI24,0)</f>
        <v>0</v>
      </c>
      <c r="AD24" s="28">
        <f>IF(AQ24="7",BH24,0)</f>
        <v>0</v>
      </c>
      <c r="AE24" s="28">
        <f>IF(AQ24="7",BI24,0)</f>
        <v>0</v>
      </c>
      <c r="AF24" s="28">
        <f>IF(AQ24="2",BH24,0)</f>
        <v>0</v>
      </c>
      <c r="AG24" s="28">
        <f>IF(AQ24="2",BI24,0)</f>
        <v>0</v>
      </c>
      <c r="AH24" s="28">
        <f>IF(AQ24="0",BJ24,0)</f>
        <v>0</v>
      </c>
      <c r="AI24" s="24"/>
      <c r="AJ24" s="14">
        <f>IF(AN24=0,K24,0)</f>
        <v>0</v>
      </c>
      <c r="AK24" s="14">
        <f>IF(AN24=15,K24,0)</f>
        <v>0</v>
      </c>
      <c r="AL24" s="14">
        <f>IF(AN24=21,K24,0)</f>
        <v>0</v>
      </c>
      <c r="AN24" s="28">
        <v>21</v>
      </c>
      <c r="AO24" s="28">
        <f>H24*0.624709054727149</f>
        <v>0</v>
      </c>
      <c r="AP24" s="28">
        <f>H24*(1-0.624709054727149)</f>
        <v>0</v>
      </c>
      <c r="AQ24" s="23" t="s">
        <v>2</v>
      </c>
      <c r="AV24" s="28">
        <f>AW24+AX24</f>
        <v>0</v>
      </c>
      <c r="AW24" s="28">
        <f>G24*AO24</f>
        <v>0</v>
      </c>
      <c r="AX24" s="28">
        <f>G24*AP24</f>
        <v>0</v>
      </c>
      <c r="AY24" s="29" t="s">
        <v>246</v>
      </c>
      <c r="AZ24" s="29" t="s">
        <v>264</v>
      </c>
      <c r="BA24" s="24" t="s">
        <v>274</v>
      </c>
      <c r="BC24" s="28">
        <f>AW24+AX24</f>
        <v>0</v>
      </c>
      <c r="BD24" s="28">
        <f>H24/(100-BE24)*100</f>
        <v>0</v>
      </c>
      <c r="BE24" s="28">
        <v>0</v>
      </c>
      <c r="BF24" s="28">
        <f>34</f>
        <v>34</v>
      </c>
      <c r="BH24" s="14">
        <f>G24*AO24</f>
        <v>0</v>
      </c>
      <c r="BI24" s="14">
        <f>G24*AP24</f>
        <v>0</v>
      </c>
      <c r="BJ24" s="14">
        <f>G24*H24</f>
        <v>0</v>
      </c>
    </row>
    <row r="25" spans="3:5" ht="12.75">
      <c r="C25" s="66" t="s">
        <v>146</v>
      </c>
      <c r="D25" s="67"/>
      <c r="E25" s="67"/>
    </row>
    <row r="26" spans="1:62" ht="12.75">
      <c r="A26" s="3" t="s">
        <v>13</v>
      </c>
      <c r="B26" s="3" t="s">
        <v>68</v>
      </c>
      <c r="C26" s="64" t="s">
        <v>147</v>
      </c>
      <c r="D26" s="65"/>
      <c r="E26" s="65"/>
      <c r="F26" s="3" t="s">
        <v>219</v>
      </c>
      <c r="G26" s="54">
        <v>0.05</v>
      </c>
      <c r="H26" s="14">
        <v>0</v>
      </c>
      <c r="I26" s="14">
        <f>G26*AO26</f>
        <v>0</v>
      </c>
      <c r="J26" s="14">
        <f>G26*AP26</f>
        <v>0</v>
      </c>
      <c r="K26" s="14">
        <f>G26*H26</f>
        <v>0</v>
      </c>
      <c r="L26" s="23" t="s">
        <v>232</v>
      </c>
      <c r="Z26" s="28">
        <f>IF(AQ26="5",BJ26,0)</f>
        <v>0</v>
      </c>
      <c r="AB26" s="28">
        <f>IF(AQ26="1",BH26,0)</f>
        <v>0</v>
      </c>
      <c r="AC26" s="28">
        <f>IF(AQ26="1",BI26,0)</f>
        <v>0</v>
      </c>
      <c r="AD26" s="28">
        <f>IF(AQ26="7",BH26,0)</f>
        <v>0</v>
      </c>
      <c r="AE26" s="28">
        <f>IF(AQ26="7",BI26,0)</f>
        <v>0</v>
      </c>
      <c r="AF26" s="28">
        <f>IF(AQ26="2",BH26,0)</f>
        <v>0</v>
      </c>
      <c r="AG26" s="28">
        <f>IF(AQ26="2",BI26,0)</f>
        <v>0</v>
      </c>
      <c r="AH26" s="28">
        <f>IF(AQ26="0",BJ26,0)</f>
        <v>0</v>
      </c>
      <c r="AI26" s="24"/>
      <c r="AJ26" s="14">
        <f>IF(AN26=0,K26,0)</f>
        <v>0</v>
      </c>
      <c r="AK26" s="14">
        <f>IF(AN26=15,K26,0)</f>
        <v>0</v>
      </c>
      <c r="AL26" s="14">
        <f>IF(AN26=21,K26,0)</f>
        <v>0</v>
      </c>
      <c r="AN26" s="28">
        <v>21</v>
      </c>
      <c r="AO26" s="28">
        <f>H26*0.716404872107186</f>
        <v>0</v>
      </c>
      <c r="AP26" s="28">
        <f>H26*(1-0.716404872107186)</f>
        <v>0</v>
      </c>
      <c r="AQ26" s="23" t="s">
        <v>2</v>
      </c>
      <c r="AV26" s="28">
        <f>AW26+AX26</f>
        <v>0</v>
      </c>
      <c r="AW26" s="28">
        <f>G26*AO26</f>
        <v>0</v>
      </c>
      <c r="AX26" s="28">
        <f>G26*AP26</f>
        <v>0</v>
      </c>
      <c r="AY26" s="29" t="s">
        <v>246</v>
      </c>
      <c r="AZ26" s="29" t="s">
        <v>264</v>
      </c>
      <c r="BA26" s="24" t="s">
        <v>274</v>
      </c>
      <c r="BC26" s="28">
        <f>AW26+AX26</f>
        <v>0</v>
      </c>
      <c r="BD26" s="28">
        <f>H26/(100-BE26)*100</f>
        <v>0</v>
      </c>
      <c r="BE26" s="28">
        <v>0</v>
      </c>
      <c r="BF26" s="28">
        <f>36</f>
        <v>36</v>
      </c>
      <c r="BH26" s="14">
        <f>G26*AO26</f>
        <v>0</v>
      </c>
      <c r="BI26" s="14">
        <f>G26*AP26</f>
        <v>0</v>
      </c>
      <c r="BJ26" s="14">
        <f>G26*H26</f>
        <v>0</v>
      </c>
    </row>
    <row r="27" spans="1:47" ht="12.75">
      <c r="A27" s="4"/>
      <c r="B27" s="11" t="s">
        <v>29</v>
      </c>
      <c r="C27" s="71" t="s">
        <v>148</v>
      </c>
      <c r="D27" s="72"/>
      <c r="E27" s="72"/>
      <c r="F27" s="4" t="s">
        <v>1</v>
      </c>
      <c r="G27" s="4" t="s">
        <v>1</v>
      </c>
      <c r="H27" s="4" t="s">
        <v>1</v>
      </c>
      <c r="I27" s="30">
        <f>SUM(I28:I28)</f>
        <v>0</v>
      </c>
      <c r="J27" s="30">
        <f>SUM(J28:J28)</f>
        <v>0</v>
      </c>
      <c r="K27" s="30">
        <f>SUM(K28:K28)</f>
        <v>0</v>
      </c>
      <c r="L27" s="24"/>
      <c r="AI27" s="24"/>
      <c r="AS27" s="30">
        <f>SUM(AJ28:AJ28)</f>
        <v>0</v>
      </c>
      <c r="AT27" s="30">
        <f>SUM(AK28:AK28)</f>
        <v>0</v>
      </c>
      <c r="AU27" s="30">
        <f>SUM(AL28:AL28)</f>
        <v>0</v>
      </c>
    </row>
    <row r="28" spans="1:62" ht="12.75">
      <c r="A28" s="3" t="s">
        <v>14</v>
      </c>
      <c r="B28" s="3" t="s">
        <v>69</v>
      </c>
      <c r="C28" s="64" t="s">
        <v>149</v>
      </c>
      <c r="D28" s="65"/>
      <c r="E28" s="65"/>
      <c r="F28" s="3" t="s">
        <v>218</v>
      </c>
      <c r="G28" s="54">
        <v>98.4</v>
      </c>
      <c r="H28" s="14">
        <v>0</v>
      </c>
      <c r="I28" s="14">
        <f>G28*AO28</f>
        <v>0</v>
      </c>
      <c r="J28" s="14">
        <f>G28*AP28</f>
        <v>0</v>
      </c>
      <c r="K28" s="14">
        <f>G28*H28</f>
        <v>0</v>
      </c>
      <c r="L28" s="23" t="s">
        <v>232</v>
      </c>
      <c r="Z28" s="28">
        <f>IF(AQ28="5",BJ28,0)</f>
        <v>0</v>
      </c>
      <c r="AB28" s="28">
        <f>IF(AQ28="1",BH28,0)</f>
        <v>0</v>
      </c>
      <c r="AC28" s="28">
        <f>IF(AQ28="1",BI28,0)</f>
        <v>0</v>
      </c>
      <c r="AD28" s="28">
        <f>IF(AQ28="7",BH28,0)</f>
        <v>0</v>
      </c>
      <c r="AE28" s="28">
        <f>IF(AQ28="7",BI28,0)</f>
        <v>0</v>
      </c>
      <c r="AF28" s="28">
        <f>IF(AQ28="2",BH28,0)</f>
        <v>0</v>
      </c>
      <c r="AG28" s="28">
        <f>IF(AQ28="2",BI28,0)</f>
        <v>0</v>
      </c>
      <c r="AH28" s="28">
        <f>IF(AQ28="0",BJ28,0)</f>
        <v>0</v>
      </c>
      <c r="AI28" s="24"/>
      <c r="AJ28" s="14">
        <f>IF(AN28=0,K28,0)</f>
        <v>0</v>
      </c>
      <c r="AK28" s="14">
        <f>IF(AN28=15,K28,0)</f>
        <v>0</v>
      </c>
      <c r="AL28" s="14">
        <f>IF(AN28=21,K28,0)</f>
        <v>0</v>
      </c>
      <c r="AN28" s="28">
        <v>21</v>
      </c>
      <c r="AO28" s="28">
        <f>H28*0.31578431372549</f>
        <v>0</v>
      </c>
      <c r="AP28" s="28">
        <f>H28*(1-0.31578431372549)</f>
        <v>0</v>
      </c>
      <c r="AQ28" s="23" t="s">
        <v>2</v>
      </c>
      <c r="AV28" s="28">
        <f>AW28+AX28</f>
        <v>0</v>
      </c>
      <c r="AW28" s="28">
        <f>G28*AO28</f>
        <v>0</v>
      </c>
      <c r="AX28" s="28">
        <f>G28*AP28</f>
        <v>0</v>
      </c>
      <c r="AY28" s="29" t="s">
        <v>247</v>
      </c>
      <c r="AZ28" s="29" t="s">
        <v>264</v>
      </c>
      <c r="BA28" s="24" t="s">
        <v>274</v>
      </c>
      <c r="BC28" s="28">
        <f>AW28+AX28</f>
        <v>0</v>
      </c>
      <c r="BD28" s="28">
        <f>H28/(100-BE28)*100</f>
        <v>0</v>
      </c>
      <c r="BE28" s="28">
        <v>0</v>
      </c>
      <c r="BF28" s="28">
        <f>38</f>
        <v>38</v>
      </c>
      <c r="BH28" s="14">
        <f>G28*AO28</f>
        <v>0</v>
      </c>
      <c r="BI28" s="14">
        <f>G28*AP28</f>
        <v>0</v>
      </c>
      <c r="BJ28" s="14">
        <f>G28*H28</f>
        <v>0</v>
      </c>
    </row>
    <row r="29" spans="1:47" ht="12.75">
      <c r="A29" s="4"/>
      <c r="B29" s="11" t="s">
        <v>34</v>
      </c>
      <c r="C29" s="71" t="s">
        <v>150</v>
      </c>
      <c r="D29" s="72"/>
      <c r="E29" s="72"/>
      <c r="F29" s="4" t="s">
        <v>1</v>
      </c>
      <c r="G29" s="4" t="s">
        <v>1</v>
      </c>
      <c r="H29" s="4" t="s">
        <v>1</v>
      </c>
      <c r="I29" s="30">
        <f>SUM(I30:I31)</f>
        <v>0</v>
      </c>
      <c r="J29" s="30">
        <f>SUM(J30:J31)</f>
        <v>0</v>
      </c>
      <c r="K29" s="30">
        <f>SUM(K30:K31)</f>
        <v>0</v>
      </c>
      <c r="L29" s="24"/>
      <c r="AI29" s="24"/>
      <c r="AS29" s="30">
        <f>SUM(AJ30:AJ31)</f>
        <v>0</v>
      </c>
      <c r="AT29" s="30">
        <f>SUM(AK30:AK31)</f>
        <v>0</v>
      </c>
      <c r="AU29" s="30">
        <f>SUM(AL30:AL31)</f>
        <v>0</v>
      </c>
    </row>
    <row r="30" spans="1:62" ht="12.75">
      <c r="A30" s="3" t="s">
        <v>15</v>
      </c>
      <c r="B30" s="3" t="s">
        <v>70</v>
      </c>
      <c r="C30" s="64" t="s">
        <v>151</v>
      </c>
      <c r="D30" s="65"/>
      <c r="E30" s="65"/>
      <c r="F30" s="3" t="s">
        <v>217</v>
      </c>
      <c r="G30" s="54">
        <v>7.2</v>
      </c>
      <c r="H30" s="14">
        <v>0</v>
      </c>
      <c r="I30" s="14">
        <f>G30*AO30</f>
        <v>0</v>
      </c>
      <c r="J30" s="14">
        <f>G30*AP30</f>
        <v>0</v>
      </c>
      <c r="K30" s="14">
        <f>G30*H30</f>
        <v>0</v>
      </c>
      <c r="L30" s="23" t="s">
        <v>232</v>
      </c>
      <c r="Z30" s="28">
        <f>IF(AQ30="5",BJ30,0)</f>
        <v>0</v>
      </c>
      <c r="AB30" s="28">
        <f>IF(AQ30="1",BH30,0)</f>
        <v>0</v>
      </c>
      <c r="AC30" s="28">
        <f>IF(AQ30="1",BI30,0)</f>
        <v>0</v>
      </c>
      <c r="AD30" s="28">
        <f>IF(AQ30="7",BH30,0)</f>
        <v>0</v>
      </c>
      <c r="AE30" s="28">
        <f>IF(AQ30="7",BI30,0)</f>
        <v>0</v>
      </c>
      <c r="AF30" s="28">
        <f>IF(AQ30="2",BH30,0)</f>
        <v>0</v>
      </c>
      <c r="AG30" s="28">
        <f>IF(AQ30="2",BI30,0)</f>
        <v>0</v>
      </c>
      <c r="AH30" s="28">
        <f>IF(AQ30="0",BJ30,0)</f>
        <v>0</v>
      </c>
      <c r="AI30" s="24"/>
      <c r="AJ30" s="14">
        <f>IF(AN30=0,K30,0)</f>
        <v>0</v>
      </c>
      <c r="AK30" s="14">
        <f>IF(AN30=15,K30,0)</f>
        <v>0</v>
      </c>
      <c r="AL30" s="14">
        <f>IF(AN30=21,K30,0)</f>
        <v>0</v>
      </c>
      <c r="AN30" s="28">
        <v>21</v>
      </c>
      <c r="AO30" s="28">
        <f>H30*0.152196601941748</f>
        <v>0</v>
      </c>
      <c r="AP30" s="28">
        <f>H30*(1-0.152196601941748)</f>
        <v>0</v>
      </c>
      <c r="AQ30" s="23" t="s">
        <v>2</v>
      </c>
      <c r="AV30" s="28">
        <f>AW30+AX30</f>
        <v>0</v>
      </c>
      <c r="AW30" s="28">
        <f>G30*AO30</f>
        <v>0</v>
      </c>
      <c r="AX30" s="28">
        <f>G30*AP30</f>
        <v>0</v>
      </c>
      <c r="AY30" s="29" t="s">
        <v>248</v>
      </c>
      <c r="AZ30" s="29" t="s">
        <v>265</v>
      </c>
      <c r="BA30" s="24" t="s">
        <v>274</v>
      </c>
      <c r="BC30" s="28">
        <f>AW30+AX30</f>
        <v>0</v>
      </c>
      <c r="BD30" s="28">
        <f>H30/(100-BE30)*100</f>
        <v>0</v>
      </c>
      <c r="BE30" s="28">
        <v>0</v>
      </c>
      <c r="BF30" s="28">
        <f>40</f>
        <v>40</v>
      </c>
      <c r="BH30" s="14">
        <f>G30*AO30</f>
        <v>0</v>
      </c>
      <c r="BI30" s="14">
        <f>G30*AP30</f>
        <v>0</v>
      </c>
      <c r="BJ30" s="14">
        <f>G30*H30</f>
        <v>0</v>
      </c>
    </row>
    <row r="31" spans="1:62" ht="12.75">
      <c r="A31" s="5" t="s">
        <v>16</v>
      </c>
      <c r="B31" s="5" t="s">
        <v>71</v>
      </c>
      <c r="C31" s="73" t="s">
        <v>152</v>
      </c>
      <c r="D31" s="74"/>
      <c r="E31" s="74"/>
      <c r="F31" s="5" t="s">
        <v>220</v>
      </c>
      <c r="G31" s="55">
        <v>13</v>
      </c>
      <c r="H31" s="15">
        <v>0</v>
      </c>
      <c r="I31" s="15">
        <f>G31*AO31</f>
        <v>0</v>
      </c>
      <c r="J31" s="15">
        <f>G31*AP31</f>
        <v>0</v>
      </c>
      <c r="K31" s="15">
        <f>G31*H31</f>
        <v>0</v>
      </c>
      <c r="L31" s="25" t="s">
        <v>232</v>
      </c>
      <c r="Z31" s="28">
        <f>IF(AQ31="5",BJ31,0)</f>
        <v>0</v>
      </c>
      <c r="AB31" s="28">
        <f>IF(AQ31="1",BH31,0)</f>
        <v>0</v>
      </c>
      <c r="AC31" s="28">
        <f>IF(AQ31="1",BI31,0)</f>
        <v>0</v>
      </c>
      <c r="AD31" s="28">
        <f>IF(AQ31="7",BH31,0)</f>
        <v>0</v>
      </c>
      <c r="AE31" s="28">
        <f>IF(AQ31="7",BI31,0)</f>
        <v>0</v>
      </c>
      <c r="AF31" s="28">
        <f>IF(AQ31="2",BH31,0)</f>
        <v>0</v>
      </c>
      <c r="AG31" s="28">
        <f>IF(AQ31="2",BI31,0)</f>
        <v>0</v>
      </c>
      <c r="AH31" s="28">
        <f>IF(AQ31="0",BJ31,0)</f>
        <v>0</v>
      </c>
      <c r="AI31" s="24"/>
      <c r="AJ31" s="15">
        <f>IF(AN31=0,K31,0)</f>
        <v>0</v>
      </c>
      <c r="AK31" s="15">
        <f>IF(AN31=15,K31,0)</f>
        <v>0</v>
      </c>
      <c r="AL31" s="15">
        <f>IF(AN31=21,K31,0)</f>
        <v>0</v>
      </c>
      <c r="AN31" s="28">
        <v>21</v>
      </c>
      <c r="AO31" s="28">
        <f>H31*1</f>
        <v>0</v>
      </c>
      <c r="AP31" s="28">
        <f>H31*(1-1)</f>
        <v>0</v>
      </c>
      <c r="AQ31" s="25" t="s">
        <v>2</v>
      </c>
      <c r="AV31" s="28">
        <f>AW31+AX31</f>
        <v>0</v>
      </c>
      <c r="AW31" s="28">
        <f>G31*AO31</f>
        <v>0</v>
      </c>
      <c r="AX31" s="28">
        <f>G31*AP31</f>
        <v>0</v>
      </c>
      <c r="AY31" s="29" t="s">
        <v>248</v>
      </c>
      <c r="AZ31" s="29" t="s">
        <v>265</v>
      </c>
      <c r="BA31" s="24" t="s">
        <v>274</v>
      </c>
      <c r="BC31" s="28">
        <f>AW31+AX31</f>
        <v>0</v>
      </c>
      <c r="BD31" s="28">
        <f>H31/(100-BE31)*100</f>
        <v>0</v>
      </c>
      <c r="BE31" s="28">
        <v>0</v>
      </c>
      <c r="BF31" s="28">
        <f>41</f>
        <v>41</v>
      </c>
      <c r="BH31" s="15">
        <f>G31*AO31</f>
        <v>0</v>
      </c>
      <c r="BI31" s="15">
        <f>G31*AP31</f>
        <v>0</v>
      </c>
      <c r="BJ31" s="15">
        <f>G31*H31</f>
        <v>0</v>
      </c>
    </row>
    <row r="32" spans="1:47" ht="12.75">
      <c r="A32" s="4"/>
      <c r="B32" s="11" t="s">
        <v>44</v>
      </c>
      <c r="C32" s="71" t="s">
        <v>153</v>
      </c>
      <c r="D32" s="72"/>
      <c r="E32" s="72"/>
      <c r="F32" s="4" t="s">
        <v>1</v>
      </c>
      <c r="G32" s="4" t="s">
        <v>1</v>
      </c>
      <c r="H32" s="4" t="s">
        <v>1</v>
      </c>
      <c r="I32" s="30">
        <f>SUM(I33:I33)</f>
        <v>0</v>
      </c>
      <c r="J32" s="30">
        <f>SUM(J33:J33)</f>
        <v>0</v>
      </c>
      <c r="K32" s="30">
        <f>SUM(K33:K33)</f>
        <v>0</v>
      </c>
      <c r="L32" s="24"/>
      <c r="AI32" s="24"/>
      <c r="AS32" s="30">
        <f>SUM(AJ33:AJ33)</f>
        <v>0</v>
      </c>
      <c r="AT32" s="30">
        <f>SUM(AK33:AK33)</f>
        <v>0</v>
      </c>
      <c r="AU32" s="30">
        <f>SUM(AL33:AL33)</f>
        <v>0</v>
      </c>
    </row>
    <row r="33" spans="1:62" ht="12.75">
      <c r="A33" s="3" t="s">
        <v>17</v>
      </c>
      <c r="B33" s="3" t="s">
        <v>72</v>
      </c>
      <c r="C33" s="64" t="s">
        <v>154</v>
      </c>
      <c r="D33" s="65"/>
      <c r="E33" s="65"/>
      <c r="F33" s="3" t="s">
        <v>217</v>
      </c>
      <c r="G33" s="54">
        <v>5.1</v>
      </c>
      <c r="H33" s="14">
        <v>0</v>
      </c>
      <c r="I33" s="14">
        <f>G33*AO33</f>
        <v>0</v>
      </c>
      <c r="J33" s="14">
        <f>G33*AP33</f>
        <v>0</v>
      </c>
      <c r="K33" s="14">
        <f>G33*H33</f>
        <v>0</v>
      </c>
      <c r="L33" s="23" t="s">
        <v>232</v>
      </c>
      <c r="Z33" s="28">
        <f>IF(AQ33="5",BJ33,0)</f>
        <v>0</v>
      </c>
      <c r="AB33" s="28">
        <f>IF(AQ33="1",BH33,0)</f>
        <v>0</v>
      </c>
      <c r="AC33" s="28">
        <f>IF(AQ33="1",BI33,0)</f>
        <v>0</v>
      </c>
      <c r="AD33" s="28">
        <f>IF(AQ33="7",BH33,0)</f>
        <v>0</v>
      </c>
      <c r="AE33" s="28">
        <f>IF(AQ33="7",BI33,0)</f>
        <v>0</v>
      </c>
      <c r="AF33" s="28">
        <f>IF(AQ33="2",BH33,0)</f>
        <v>0</v>
      </c>
      <c r="AG33" s="28">
        <f>IF(AQ33="2",BI33,0)</f>
        <v>0</v>
      </c>
      <c r="AH33" s="28">
        <f>IF(AQ33="0",BJ33,0)</f>
        <v>0</v>
      </c>
      <c r="AI33" s="24"/>
      <c r="AJ33" s="14">
        <f>IF(AN33=0,K33,0)</f>
        <v>0</v>
      </c>
      <c r="AK33" s="14">
        <f>IF(AN33=15,K33,0)</f>
        <v>0</v>
      </c>
      <c r="AL33" s="14">
        <f>IF(AN33=21,K33,0)</f>
        <v>0</v>
      </c>
      <c r="AN33" s="28">
        <v>21</v>
      </c>
      <c r="AO33" s="28">
        <f>H33*0.326084692692881</f>
        <v>0</v>
      </c>
      <c r="AP33" s="28">
        <f>H33*(1-0.326084692692881)</f>
        <v>0</v>
      </c>
      <c r="AQ33" s="23" t="s">
        <v>2</v>
      </c>
      <c r="AV33" s="28">
        <f>AW33+AX33</f>
        <v>0</v>
      </c>
      <c r="AW33" s="28">
        <f>G33*AO33</f>
        <v>0</v>
      </c>
      <c r="AX33" s="28">
        <f>G33*AP33</f>
        <v>0</v>
      </c>
      <c r="AY33" s="29" t="s">
        <v>249</v>
      </c>
      <c r="AZ33" s="29" t="s">
        <v>266</v>
      </c>
      <c r="BA33" s="24" t="s">
        <v>274</v>
      </c>
      <c r="BC33" s="28">
        <f>AW33+AX33</f>
        <v>0</v>
      </c>
      <c r="BD33" s="28">
        <f>H33/(100-BE33)*100</f>
        <v>0</v>
      </c>
      <c r="BE33" s="28">
        <v>0</v>
      </c>
      <c r="BF33" s="28">
        <f>43</f>
        <v>43</v>
      </c>
      <c r="BH33" s="14">
        <f>G33*AO33</f>
        <v>0</v>
      </c>
      <c r="BI33" s="14">
        <f>G33*AP33</f>
        <v>0</v>
      </c>
      <c r="BJ33" s="14">
        <f>G33*H33</f>
        <v>0</v>
      </c>
    </row>
    <row r="34" spans="1:47" ht="12.75">
      <c r="A34" s="4"/>
      <c r="B34" s="11" t="s">
        <v>73</v>
      </c>
      <c r="C34" s="71" t="s">
        <v>155</v>
      </c>
      <c r="D34" s="72"/>
      <c r="E34" s="72"/>
      <c r="F34" s="4" t="s">
        <v>1</v>
      </c>
      <c r="G34" s="4" t="s">
        <v>1</v>
      </c>
      <c r="H34" s="4" t="s">
        <v>1</v>
      </c>
      <c r="I34" s="30">
        <f>SUM(I35:I35)</f>
        <v>0</v>
      </c>
      <c r="J34" s="30">
        <f>SUM(J35:J35)</f>
        <v>0</v>
      </c>
      <c r="K34" s="30">
        <f>SUM(K35:K35)</f>
        <v>0</v>
      </c>
      <c r="L34" s="24"/>
      <c r="AI34" s="24"/>
      <c r="AS34" s="30">
        <f>SUM(AJ35:AJ35)</f>
        <v>0</v>
      </c>
      <c r="AT34" s="30">
        <f>SUM(AK35:AK35)</f>
        <v>0</v>
      </c>
      <c r="AU34" s="30">
        <f>SUM(AL35:AL35)</f>
        <v>0</v>
      </c>
    </row>
    <row r="35" spans="1:62" ht="12.75">
      <c r="A35" s="3" t="s">
        <v>18</v>
      </c>
      <c r="B35" s="3" t="s">
        <v>74</v>
      </c>
      <c r="C35" s="64" t="s">
        <v>156</v>
      </c>
      <c r="D35" s="65"/>
      <c r="E35" s="65"/>
      <c r="F35" s="3" t="s">
        <v>218</v>
      </c>
      <c r="G35" s="54">
        <v>70</v>
      </c>
      <c r="H35" s="14">
        <v>0</v>
      </c>
      <c r="I35" s="14">
        <f>G35*AO35</f>
        <v>0</v>
      </c>
      <c r="J35" s="14">
        <f>G35*AP35</f>
        <v>0</v>
      </c>
      <c r="K35" s="14">
        <f>G35*H35</f>
        <v>0</v>
      </c>
      <c r="L35" s="23" t="s">
        <v>232</v>
      </c>
      <c r="Z35" s="28">
        <f>IF(AQ35="5",BJ35,0)</f>
        <v>0</v>
      </c>
      <c r="AB35" s="28">
        <f>IF(AQ35="1",BH35,0)</f>
        <v>0</v>
      </c>
      <c r="AC35" s="28">
        <f>IF(AQ35="1",BI35,0)</f>
        <v>0</v>
      </c>
      <c r="AD35" s="28">
        <f>IF(AQ35="7",BH35,0)</f>
        <v>0</v>
      </c>
      <c r="AE35" s="28">
        <f>IF(AQ35="7",BI35,0)</f>
        <v>0</v>
      </c>
      <c r="AF35" s="28">
        <f>IF(AQ35="2",BH35,0)</f>
        <v>0</v>
      </c>
      <c r="AG35" s="28">
        <f>IF(AQ35="2",BI35,0)</f>
        <v>0</v>
      </c>
      <c r="AH35" s="28">
        <f>IF(AQ35="0",BJ35,0)</f>
        <v>0</v>
      </c>
      <c r="AI35" s="24"/>
      <c r="AJ35" s="14">
        <f>IF(AN35=0,K35,0)</f>
        <v>0</v>
      </c>
      <c r="AK35" s="14">
        <f>IF(AN35=15,K35,0)</f>
        <v>0</v>
      </c>
      <c r="AL35" s="14">
        <f>IF(AN35=21,K35,0)</f>
        <v>0</v>
      </c>
      <c r="AN35" s="28">
        <v>21</v>
      </c>
      <c r="AO35" s="28">
        <f>H35*0.462707423580786</f>
        <v>0</v>
      </c>
      <c r="AP35" s="28">
        <f>H35*(1-0.462707423580786)</f>
        <v>0</v>
      </c>
      <c r="AQ35" s="23" t="s">
        <v>2</v>
      </c>
      <c r="AV35" s="28">
        <f>AW35+AX35</f>
        <v>0</v>
      </c>
      <c r="AW35" s="28">
        <f>G35*AO35</f>
        <v>0</v>
      </c>
      <c r="AX35" s="28">
        <f>G35*AP35</f>
        <v>0</v>
      </c>
      <c r="AY35" s="29" t="s">
        <v>250</v>
      </c>
      <c r="AZ35" s="29" t="s">
        <v>267</v>
      </c>
      <c r="BA35" s="24" t="s">
        <v>274</v>
      </c>
      <c r="BC35" s="28">
        <f>AW35+AX35</f>
        <v>0</v>
      </c>
      <c r="BD35" s="28">
        <f>H35/(100-BE35)*100</f>
        <v>0</v>
      </c>
      <c r="BE35" s="28">
        <v>0</v>
      </c>
      <c r="BF35" s="28">
        <f>45</f>
        <v>45</v>
      </c>
      <c r="BH35" s="14">
        <f>G35*AO35</f>
        <v>0</v>
      </c>
      <c r="BI35" s="14">
        <f>G35*AP35</f>
        <v>0</v>
      </c>
      <c r="BJ35" s="14">
        <f>G35*H35</f>
        <v>0</v>
      </c>
    </row>
    <row r="36" spans="3:5" ht="12.75">
      <c r="C36" s="66" t="s">
        <v>157</v>
      </c>
      <c r="D36" s="67"/>
      <c r="E36" s="67"/>
    </row>
    <row r="37" spans="1:47" ht="12.75">
      <c r="A37" s="4"/>
      <c r="B37" s="11" t="s">
        <v>75</v>
      </c>
      <c r="C37" s="71" t="s">
        <v>158</v>
      </c>
      <c r="D37" s="72"/>
      <c r="E37" s="72"/>
      <c r="F37" s="4" t="s">
        <v>1</v>
      </c>
      <c r="G37" s="4" t="s">
        <v>1</v>
      </c>
      <c r="H37" s="4" t="s">
        <v>1</v>
      </c>
      <c r="I37" s="30">
        <f>SUM(I38:I38)</f>
        <v>0</v>
      </c>
      <c r="J37" s="30">
        <f>SUM(J38:J38)</f>
        <v>0</v>
      </c>
      <c r="K37" s="30">
        <f>SUM(K38:K38)</f>
        <v>0</v>
      </c>
      <c r="L37" s="24"/>
      <c r="AI37" s="24"/>
      <c r="AS37" s="30">
        <f>SUM(AJ38:AJ38)</f>
        <v>0</v>
      </c>
      <c r="AT37" s="30">
        <f>SUM(AK38:AK38)</f>
        <v>0</v>
      </c>
      <c r="AU37" s="30">
        <f>SUM(AL38:AL38)</f>
        <v>0</v>
      </c>
    </row>
    <row r="38" spans="1:62" ht="12.75">
      <c r="A38" s="3" t="s">
        <v>19</v>
      </c>
      <c r="B38" s="3" t="s">
        <v>76</v>
      </c>
      <c r="C38" s="64" t="s">
        <v>159</v>
      </c>
      <c r="D38" s="65"/>
      <c r="E38" s="65"/>
      <c r="F38" s="3" t="s">
        <v>218</v>
      </c>
      <c r="G38" s="54">
        <v>80</v>
      </c>
      <c r="H38" s="14">
        <v>0</v>
      </c>
      <c r="I38" s="14">
        <f>G38*AO38</f>
        <v>0</v>
      </c>
      <c r="J38" s="14">
        <f>G38*AP38</f>
        <v>0</v>
      </c>
      <c r="K38" s="14">
        <f>G38*H38</f>
        <v>0</v>
      </c>
      <c r="L38" s="23" t="s">
        <v>232</v>
      </c>
      <c r="Z38" s="28">
        <f>IF(AQ38="5",BJ38,0)</f>
        <v>0</v>
      </c>
      <c r="AB38" s="28">
        <f>IF(AQ38="1",BH38,0)</f>
        <v>0</v>
      </c>
      <c r="AC38" s="28">
        <f>IF(AQ38="1",BI38,0)</f>
        <v>0</v>
      </c>
      <c r="AD38" s="28">
        <f>IF(AQ38="7",BH38,0)</f>
        <v>0</v>
      </c>
      <c r="AE38" s="28">
        <f>IF(AQ38="7",BI38,0)</f>
        <v>0</v>
      </c>
      <c r="AF38" s="28">
        <f>IF(AQ38="2",BH38,0)</f>
        <v>0</v>
      </c>
      <c r="AG38" s="28">
        <f>IF(AQ38="2",BI38,0)</f>
        <v>0</v>
      </c>
      <c r="AH38" s="28">
        <f>IF(AQ38="0",BJ38,0)</f>
        <v>0</v>
      </c>
      <c r="AI38" s="24"/>
      <c r="AJ38" s="14">
        <f>IF(AN38=0,K38,0)</f>
        <v>0</v>
      </c>
      <c r="AK38" s="14">
        <f>IF(AN38=15,K38,0)</f>
        <v>0</v>
      </c>
      <c r="AL38" s="14">
        <f>IF(AN38=21,K38,0)</f>
        <v>0</v>
      </c>
      <c r="AN38" s="28">
        <v>21</v>
      </c>
      <c r="AO38" s="28">
        <f>H38*0.676578073089701</f>
        <v>0</v>
      </c>
      <c r="AP38" s="28">
        <f>H38*(1-0.676578073089701)</f>
        <v>0</v>
      </c>
      <c r="AQ38" s="23" t="s">
        <v>2</v>
      </c>
      <c r="AV38" s="28">
        <f>AW38+AX38</f>
        <v>0</v>
      </c>
      <c r="AW38" s="28">
        <f>G38*AO38</f>
        <v>0</v>
      </c>
      <c r="AX38" s="28">
        <f>G38*AP38</f>
        <v>0</v>
      </c>
      <c r="AY38" s="29" t="s">
        <v>251</v>
      </c>
      <c r="AZ38" s="29" t="s">
        <v>268</v>
      </c>
      <c r="BA38" s="24" t="s">
        <v>274</v>
      </c>
      <c r="BC38" s="28">
        <f>AW38+AX38</f>
        <v>0</v>
      </c>
      <c r="BD38" s="28">
        <f>H38/(100-BE38)*100</f>
        <v>0</v>
      </c>
      <c r="BE38" s="28">
        <v>0</v>
      </c>
      <c r="BF38" s="28">
        <f>48</f>
        <v>48</v>
      </c>
      <c r="BH38" s="14">
        <f>G38*AO38</f>
        <v>0</v>
      </c>
      <c r="BI38" s="14">
        <f>G38*AP38</f>
        <v>0</v>
      </c>
      <c r="BJ38" s="14">
        <f>G38*H38</f>
        <v>0</v>
      </c>
    </row>
    <row r="39" spans="3:5" ht="12.75">
      <c r="C39" s="66" t="s">
        <v>160</v>
      </c>
      <c r="D39" s="67"/>
      <c r="E39" s="67"/>
    </row>
    <row r="40" spans="1:47" ht="12.75">
      <c r="A40" s="4"/>
      <c r="B40" s="11" t="s">
        <v>77</v>
      </c>
      <c r="C40" s="71" t="s">
        <v>161</v>
      </c>
      <c r="D40" s="72"/>
      <c r="E40" s="72"/>
      <c r="F40" s="4" t="s">
        <v>1</v>
      </c>
      <c r="G40" s="4" t="s">
        <v>1</v>
      </c>
      <c r="H40" s="4" t="s">
        <v>1</v>
      </c>
      <c r="I40" s="30">
        <f>SUM(I41:I42)</f>
        <v>0</v>
      </c>
      <c r="J40" s="30">
        <f>SUM(J41:J42)</f>
        <v>0</v>
      </c>
      <c r="K40" s="30">
        <f>SUM(K41:K42)</f>
        <v>0</v>
      </c>
      <c r="L40" s="24"/>
      <c r="AI40" s="24"/>
      <c r="AS40" s="30">
        <f>SUM(AJ41:AJ42)</f>
        <v>0</v>
      </c>
      <c r="AT40" s="30">
        <f>SUM(AK41:AK42)</f>
        <v>0</v>
      </c>
      <c r="AU40" s="30">
        <f>SUM(AL41:AL42)</f>
        <v>0</v>
      </c>
    </row>
    <row r="41" spans="1:62" ht="12.75">
      <c r="A41" s="3" t="s">
        <v>20</v>
      </c>
      <c r="B41" s="3" t="s">
        <v>78</v>
      </c>
      <c r="C41" s="64" t="s">
        <v>162</v>
      </c>
      <c r="D41" s="65"/>
      <c r="E41" s="65"/>
      <c r="F41" s="3" t="s">
        <v>218</v>
      </c>
      <c r="G41" s="54">
        <v>10.2</v>
      </c>
      <c r="H41" s="14">
        <v>0</v>
      </c>
      <c r="I41" s="14">
        <f>G41*AO41</f>
        <v>0</v>
      </c>
      <c r="J41" s="14">
        <f>G41*AP41</f>
        <v>0</v>
      </c>
      <c r="K41" s="14">
        <f>G41*H41</f>
        <v>0</v>
      </c>
      <c r="L41" s="23" t="s">
        <v>232</v>
      </c>
      <c r="Z41" s="28">
        <f>IF(AQ41="5",BJ41,0)</f>
        <v>0</v>
      </c>
      <c r="AB41" s="28">
        <f>IF(AQ41="1",BH41,0)</f>
        <v>0</v>
      </c>
      <c r="AC41" s="28">
        <f>IF(AQ41="1",BI41,0)</f>
        <v>0</v>
      </c>
      <c r="AD41" s="28">
        <f>IF(AQ41="7",BH41,0)</f>
        <v>0</v>
      </c>
      <c r="AE41" s="28">
        <f>IF(AQ41="7",BI41,0)</f>
        <v>0</v>
      </c>
      <c r="AF41" s="28">
        <f>IF(AQ41="2",BH41,0)</f>
        <v>0</v>
      </c>
      <c r="AG41" s="28">
        <f>IF(AQ41="2",BI41,0)</f>
        <v>0</v>
      </c>
      <c r="AH41" s="28">
        <f>IF(AQ41="0",BJ41,0)</f>
        <v>0</v>
      </c>
      <c r="AI41" s="24"/>
      <c r="AJ41" s="14">
        <f>IF(AN41=0,K41,0)</f>
        <v>0</v>
      </c>
      <c r="AK41" s="14">
        <f>IF(AN41=15,K41,0)</f>
        <v>0</v>
      </c>
      <c r="AL41" s="14">
        <f>IF(AN41=21,K41,0)</f>
        <v>0</v>
      </c>
      <c r="AN41" s="28">
        <v>21</v>
      </c>
      <c r="AO41" s="28">
        <f>H41*0.249266296641413</f>
        <v>0</v>
      </c>
      <c r="AP41" s="28">
        <f>H41*(1-0.249266296641413)</f>
        <v>0</v>
      </c>
      <c r="AQ41" s="23" t="s">
        <v>2</v>
      </c>
      <c r="AV41" s="28">
        <f>AW41+AX41</f>
        <v>0</v>
      </c>
      <c r="AW41" s="28">
        <f>G41*AO41</f>
        <v>0</v>
      </c>
      <c r="AX41" s="28">
        <f>G41*AP41</f>
        <v>0</v>
      </c>
      <c r="AY41" s="29" t="s">
        <v>252</v>
      </c>
      <c r="AZ41" s="29" t="s">
        <v>269</v>
      </c>
      <c r="BA41" s="24" t="s">
        <v>274</v>
      </c>
      <c r="BC41" s="28">
        <f>AW41+AX41</f>
        <v>0</v>
      </c>
      <c r="BD41" s="28">
        <f>H41/(100-BE41)*100</f>
        <v>0</v>
      </c>
      <c r="BE41" s="28">
        <v>0</v>
      </c>
      <c r="BF41" s="28">
        <f>51</f>
        <v>51</v>
      </c>
      <c r="BH41" s="14">
        <f>G41*AO41</f>
        <v>0</v>
      </c>
      <c r="BI41" s="14">
        <f>G41*AP41</f>
        <v>0</v>
      </c>
      <c r="BJ41" s="14">
        <f>G41*H41</f>
        <v>0</v>
      </c>
    </row>
    <row r="42" spans="1:62" ht="12.75">
      <c r="A42" s="5" t="s">
        <v>21</v>
      </c>
      <c r="B42" s="5" t="s">
        <v>79</v>
      </c>
      <c r="C42" s="73" t="s">
        <v>163</v>
      </c>
      <c r="D42" s="74"/>
      <c r="E42" s="74"/>
      <c r="F42" s="5" t="s">
        <v>220</v>
      </c>
      <c r="G42" s="55">
        <v>54</v>
      </c>
      <c r="H42" s="15">
        <v>0</v>
      </c>
      <c r="I42" s="15">
        <f>G42*AO42</f>
        <v>0</v>
      </c>
      <c r="J42" s="15">
        <f>G42*AP42</f>
        <v>0</v>
      </c>
      <c r="K42" s="15">
        <f>G42*H42</f>
        <v>0</v>
      </c>
      <c r="L42" s="25" t="s">
        <v>232</v>
      </c>
      <c r="Z42" s="28">
        <f>IF(AQ42="5",BJ42,0)</f>
        <v>0</v>
      </c>
      <c r="AB42" s="28">
        <f>IF(AQ42="1",BH42,0)</f>
        <v>0</v>
      </c>
      <c r="AC42" s="28">
        <f>IF(AQ42="1",BI42,0)</f>
        <v>0</v>
      </c>
      <c r="AD42" s="28">
        <f>IF(AQ42="7",BH42,0)</f>
        <v>0</v>
      </c>
      <c r="AE42" s="28">
        <f>IF(AQ42="7",BI42,0)</f>
        <v>0</v>
      </c>
      <c r="AF42" s="28">
        <f>IF(AQ42="2",BH42,0)</f>
        <v>0</v>
      </c>
      <c r="AG42" s="28">
        <f>IF(AQ42="2",BI42,0)</f>
        <v>0</v>
      </c>
      <c r="AH42" s="28">
        <f>IF(AQ42="0",BJ42,0)</f>
        <v>0</v>
      </c>
      <c r="AI42" s="24"/>
      <c r="AJ42" s="15">
        <f>IF(AN42=0,K42,0)</f>
        <v>0</v>
      </c>
      <c r="AK42" s="15">
        <f>IF(AN42=15,K42,0)</f>
        <v>0</v>
      </c>
      <c r="AL42" s="15">
        <f>IF(AN42=21,K42,0)</f>
        <v>0</v>
      </c>
      <c r="AN42" s="28">
        <v>21</v>
      </c>
      <c r="AO42" s="28">
        <f>H42*1</f>
        <v>0</v>
      </c>
      <c r="AP42" s="28">
        <f>H42*(1-1)</f>
        <v>0</v>
      </c>
      <c r="AQ42" s="25" t="s">
        <v>2</v>
      </c>
      <c r="AV42" s="28">
        <f>AW42+AX42</f>
        <v>0</v>
      </c>
      <c r="AW42" s="28">
        <f>G42*AO42</f>
        <v>0</v>
      </c>
      <c r="AX42" s="28">
        <f>G42*AP42</f>
        <v>0</v>
      </c>
      <c r="AY42" s="29" t="s">
        <v>252</v>
      </c>
      <c r="AZ42" s="29" t="s">
        <v>269</v>
      </c>
      <c r="BA42" s="24" t="s">
        <v>274</v>
      </c>
      <c r="BC42" s="28">
        <f>AW42+AX42</f>
        <v>0</v>
      </c>
      <c r="BD42" s="28">
        <f>H42/(100-BE42)*100</f>
        <v>0</v>
      </c>
      <c r="BE42" s="28">
        <v>0</v>
      </c>
      <c r="BF42" s="28">
        <f>52</f>
        <v>52</v>
      </c>
      <c r="BH42" s="15">
        <f>G42*AO42</f>
        <v>0</v>
      </c>
      <c r="BI42" s="15">
        <f>G42*AP42</f>
        <v>0</v>
      </c>
      <c r="BJ42" s="15">
        <f>G42*H42</f>
        <v>0</v>
      </c>
    </row>
    <row r="43" spans="1:47" ht="12.75">
      <c r="A43" s="4"/>
      <c r="B43" s="11" t="s">
        <v>80</v>
      </c>
      <c r="C43" s="71" t="s">
        <v>164</v>
      </c>
      <c r="D43" s="72"/>
      <c r="E43" s="72"/>
      <c r="F43" s="4" t="s">
        <v>1</v>
      </c>
      <c r="G43" s="4" t="s">
        <v>1</v>
      </c>
      <c r="H43" s="4" t="s">
        <v>1</v>
      </c>
      <c r="I43" s="30">
        <f>SUM(I44:I44)</f>
        <v>0</v>
      </c>
      <c r="J43" s="30">
        <f>SUM(J44:J44)</f>
        <v>0</v>
      </c>
      <c r="K43" s="30">
        <f>SUM(K44:K44)</f>
        <v>0</v>
      </c>
      <c r="L43" s="24"/>
      <c r="AI43" s="24"/>
      <c r="AS43" s="30">
        <f>SUM(AJ44:AJ44)</f>
        <v>0</v>
      </c>
      <c r="AT43" s="30">
        <f>SUM(AK44:AK44)</f>
        <v>0</v>
      </c>
      <c r="AU43" s="30">
        <f>SUM(AL44:AL44)</f>
        <v>0</v>
      </c>
    </row>
    <row r="44" spans="1:62" ht="12.75">
      <c r="A44" s="3" t="s">
        <v>22</v>
      </c>
      <c r="B44" s="3" t="s">
        <v>81</v>
      </c>
      <c r="C44" s="64" t="s">
        <v>165</v>
      </c>
      <c r="D44" s="65"/>
      <c r="E44" s="65"/>
      <c r="F44" s="3" t="s">
        <v>219</v>
      </c>
      <c r="G44" s="54">
        <v>141.846</v>
      </c>
      <c r="H44" s="14">
        <v>0</v>
      </c>
      <c r="I44" s="14">
        <f>G44*AO44</f>
        <v>0</v>
      </c>
      <c r="J44" s="14">
        <f>G44*AP44</f>
        <v>0</v>
      </c>
      <c r="K44" s="14">
        <f>G44*H44</f>
        <v>0</v>
      </c>
      <c r="L44" s="23" t="s">
        <v>232</v>
      </c>
      <c r="Z44" s="28">
        <f>IF(AQ44="5",BJ44,0)</f>
        <v>0</v>
      </c>
      <c r="AB44" s="28">
        <f>IF(AQ44="1",BH44,0)</f>
        <v>0</v>
      </c>
      <c r="AC44" s="28">
        <f>IF(AQ44="1",BI44,0)</f>
        <v>0</v>
      </c>
      <c r="AD44" s="28">
        <f>IF(AQ44="7",BH44,0)</f>
        <v>0</v>
      </c>
      <c r="AE44" s="28">
        <f>IF(AQ44="7",BI44,0)</f>
        <v>0</v>
      </c>
      <c r="AF44" s="28">
        <f>IF(AQ44="2",BH44,0)</f>
        <v>0</v>
      </c>
      <c r="AG44" s="28">
        <f>IF(AQ44="2",BI44,0)</f>
        <v>0</v>
      </c>
      <c r="AH44" s="28">
        <f>IF(AQ44="0",BJ44,0)</f>
        <v>0</v>
      </c>
      <c r="AI44" s="24"/>
      <c r="AJ44" s="14">
        <f>IF(AN44=0,K44,0)</f>
        <v>0</v>
      </c>
      <c r="AK44" s="14">
        <f>IF(AN44=15,K44,0)</f>
        <v>0</v>
      </c>
      <c r="AL44" s="14">
        <f>IF(AN44=21,K44,0)</f>
        <v>0</v>
      </c>
      <c r="AN44" s="28">
        <v>21</v>
      </c>
      <c r="AO44" s="28">
        <f>H44*0</f>
        <v>0</v>
      </c>
      <c r="AP44" s="28">
        <f>H44*(1-0)</f>
        <v>0</v>
      </c>
      <c r="AQ44" s="23" t="s">
        <v>6</v>
      </c>
      <c r="AV44" s="28">
        <f>AW44+AX44</f>
        <v>0</v>
      </c>
      <c r="AW44" s="28">
        <f>G44*AO44</f>
        <v>0</v>
      </c>
      <c r="AX44" s="28">
        <f>G44*AP44</f>
        <v>0</v>
      </c>
      <c r="AY44" s="29" t="s">
        <v>253</v>
      </c>
      <c r="AZ44" s="29" t="s">
        <v>269</v>
      </c>
      <c r="BA44" s="24" t="s">
        <v>274</v>
      </c>
      <c r="BC44" s="28">
        <f>AW44+AX44</f>
        <v>0</v>
      </c>
      <c r="BD44" s="28">
        <f>H44/(100-BE44)*100</f>
        <v>0</v>
      </c>
      <c r="BE44" s="28">
        <v>0</v>
      </c>
      <c r="BF44" s="28">
        <f>54</f>
        <v>54</v>
      </c>
      <c r="BH44" s="14">
        <f>G44*AO44</f>
        <v>0</v>
      </c>
      <c r="BI44" s="14">
        <f>G44*AP44</f>
        <v>0</v>
      </c>
      <c r="BJ44" s="14">
        <f>G44*H44</f>
        <v>0</v>
      </c>
    </row>
    <row r="45" spans="1:47" ht="12.75">
      <c r="A45" s="4"/>
      <c r="B45" s="11" t="s">
        <v>82</v>
      </c>
      <c r="C45" s="71" t="s">
        <v>166</v>
      </c>
      <c r="D45" s="72"/>
      <c r="E45" s="72"/>
      <c r="F45" s="4" t="s">
        <v>1</v>
      </c>
      <c r="G45" s="4" t="s">
        <v>1</v>
      </c>
      <c r="H45" s="4" t="s">
        <v>1</v>
      </c>
      <c r="I45" s="30">
        <f>SUM(I46:I52)</f>
        <v>0</v>
      </c>
      <c r="J45" s="30">
        <f>SUM(J46:J52)</f>
        <v>0</v>
      </c>
      <c r="K45" s="30">
        <f>SUM(K46:K52)</f>
        <v>0</v>
      </c>
      <c r="L45" s="24"/>
      <c r="AI45" s="24"/>
      <c r="AS45" s="30">
        <f>SUM(AJ46:AJ52)</f>
        <v>0</v>
      </c>
      <c r="AT45" s="30">
        <f>SUM(AK46:AK52)</f>
        <v>0</v>
      </c>
      <c r="AU45" s="30">
        <f>SUM(AL46:AL52)</f>
        <v>0</v>
      </c>
    </row>
    <row r="46" spans="1:62" ht="12.75">
      <c r="A46" s="3" t="s">
        <v>23</v>
      </c>
      <c r="B46" s="3" t="s">
        <v>83</v>
      </c>
      <c r="C46" s="64" t="s">
        <v>167</v>
      </c>
      <c r="D46" s="65"/>
      <c r="E46" s="65"/>
      <c r="F46" s="3" t="s">
        <v>216</v>
      </c>
      <c r="G46" s="54">
        <v>1.6</v>
      </c>
      <c r="H46" s="14">
        <v>0</v>
      </c>
      <c r="I46" s="14">
        <f>G46*AO46</f>
        <v>0</v>
      </c>
      <c r="J46" s="14">
        <f>G46*AP46</f>
        <v>0</v>
      </c>
      <c r="K46" s="14">
        <f>G46*H46</f>
        <v>0</v>
      </c>
      <c r="L46" s="23" t="s">
        <v>232</v>
      </c>
      <c r="Z46" s="28">
        <f>IF(AQ46="5",BJ46,0)</f>
        <v>0</v>
      </c>
      <c r="AB46" s="28">
        <f>IF(AQ46="1",BH46,0)</f>
        <v>0</v>
      </c>
      <c r="AC46" s="28">
        <f>IF(AQ46="1",BI46,0)</f>
        <v>0</v>
      </c>
      <c r="AD46" s="28">
        <f>IF(AQ46="7",BH46,0)</f>
        <v>0</v>
      </c>
      <c r="AE46" s="28">
        <f>IF(AQ46="7",BI46,0)</f>
        <v>0</v>
      </c>
      <c r="AF46" s="28">
        <f>IF(AQ46="2",BH46,0)</f>
        <v>0</v>
      </c>
      <c r="AG46" s="28">
        <f>IF(AQ46="2",BI46,0)</f>
        <v>0</v>
      </c>
      <c r="AH46" s="28">
        <f>IF(AQ46="0",BJ46,0)</f>
        <v>0</v>
      </c>
      <c r="AI46" s="24"/>
      <c r="AJ46" s="14">
        <f>IF(AN46=0,K46,0)</f>
        <v>0</v>
      </c>
      <c r="AK46" s="14">
        <f>IF(AN46=15,K46,0)</f>
        <v>0</v>
      </c>
      <c r="AL46" s="14">
        <f>IF(AN46=21,K46,0)</f>
        <v>0</v>
      </c>
      <c r="AN46" s="28">
        <v>21</v>
      </c>
      <c r="AO46" s="28">
        <f>H46*0.036031339326708</f>
        <v>0</v>
      </c>
      <c r="AP46" s="28">
        <f>H46*(1-0.036031339326708)</f>
        <v>0</v>
      </c>
      <c r="AQ46" s="23" t="s">
        <v>2</v>
      </c>
      <c r="AV46" s="28">
        <f>AW46+AX46</f>
        <v>0</v>
      </c>
      <c r="AW46" s="28">
        <f>G46*AO46</f>
        <v>0</v>
      </c>
      <c r="AX46" s="28">
        <f>G46*AP46</f>
        <v>0</v>
      </c>
      <c r="AY46" s="29" t="s">
        <v>254</v>
      </c>
      <c r="AZ46" s="29" t="s">
        <v>269</v>
      </c>
      <c r="BA46" s="24" t="s">
        <v>274</v>
      </c>
      <c r="BC46" s="28">
        <f>AW46+AX46</f>
        <v>0</v>
      </c>
      <c r="BD46" s="28">
        <f>H46/(100-BE46)*100</f>
        <v>0</v>
      </c>
      <c r="BE46" s="28">
        <v>0</v>
      </c>
      <c r="BF46" s="28">
        <f>56</f>
        <v>56</v>
      </c>
      <c r="BH46" s="14">
        <f>G46*AO46</f>
        <v>0</v>
      </c>
      <c r="BI46" s="14">
        <f>G46*AP46</f>
        <v>0</v>
      </c>
      <c r="BJ46" s="14">
        <f>G46*H46</f>
        <v>0</v>
      </c>
    </row>
    <row r="47" spans="1:62" ht="12.75">
      <c r="A47" s="3" t="s">
        <v>24</v>
      </c>
      <c r="B47" s="3" t="s">
        <v>84</v>
      </c>
      <c r="C47" s="64" t="s">
        <v>168</v>
      </c>
      <c r="D47" s="65"/>
      <c r="E47" s="65"/>
      <c r="F47" s="3" t="s">
        <v>218</v>
      </c>
      <c r="G47" s="54">
        <v>2.08</v>
      </c>
      <c r="H47" s="14">
        <v>0</v>
      </c>
      <c r="I47" s="14">
        <f>G47*AO47</f>
        <v>0</v>
      </c>
      <c r="J47" s="14">
        <f>G47*AP47</f>
        <v>0</v>
      </c>
      <c r="K47" s="14">
        <f>G47*H47</f>
        <v>0</v>
      </c>
      <c r="L47" s="23" t="s">
        <v>232</v>
      </c>
      <c r="Z47" s="28">
        <f>IF(AQ47="5",BJ47,0)</f>
        <v>0</v>
      </c>
      <c r="AB47" s="28">
        <f>IF(AQ47="1",BH47,0)</f>
        <v>0</v>
      </c>
      <c r="AC47" s="28">
        <f>IF(AQ47="1",BI47,0)</f>
        <v>0</v>
      </c>
      <c r="AD47" s="28">
        <f>IF(AQ47="7",BH47,0)</f>
        <v>0</v>
      </c>
      <c r="AE47" s="28">
        <f>IF(AQ47="7",BI47,0)</f>
        <v>0</v>
      </c>
      <c r="AF47" s="28">
        <f>IF(AQ47="2",BH47,0)</f>
        <v>0</v>
      </c>
      <c r="AG47" s="28">
        <f>IF(AQ47="2",BI47,0)</f>
        <v>0</v>
      </c>
      <c r="AH47" s="28">
        <f>IF(AQ47="0",BJ47,0)</f>
        <v>0</v>
      </c>
      <c r="AI47" s="24"/>
      <c r="AJ47" s="14">
        <f>IF(AN47=0,K47,0)</f>
        <v>0</v>
      </c>
      <c r="AK47" s="14">
        <f>IF(AN47=15,K47,0)</f>
        <v>0</v>
      </c>
      <c r="AL47" s="14">
        <f>IF(AN47=21,K47,0)</f>
        <v>0</v>
      </c>
      <c r="AN47" s="28">
        <v>21</v>
      </c>
      <c r="AO47" s="28">
        <f>H47*0.115858325925233</f>
        <v>0</v>
      </c>
      <c r="AP47" s="28">
        <f>H47*(1-0.115858325925233)</f>
        <v>0</v>
      </c>
      <c r="AQ47" s="23" t="s">
        <v>2</v>
      </c>
      <c r="AV47" s="28">
        <f>AW47+AX47</f>
        <v>0</v>
      </c>
      <c r="AW47" s="28">
        <f>G47*AO47</f>
        <v>0</v>
      </c>
      <c r="AX47" s="28">
        <f>G47*AP47</f>
        <v>0</v>
      </c>
      <c r="AY47" s="29" t="s">
        <v>254</v>
      </c>
      <c r="AZ47" s="29" t="s">
        <v>269</v>
      </c>
      <c r="BA47" s="24" t="s">
        <v>274</v>
      </c>
      <c r="BC47" s="28">
        <f>AW47+AX47</f>
        <v>0</v>
      </c>
      <c r="BD47" s="28">
        <f>H47/(100-BE47)*100</f>
        <v>0</v>
      </c>
      <c r="BE47" s="28">
        <v>0</v>
      </c>
      <c r="BF47" s="28">
        <f>57</f>
        <v>57</v>
      </c>
      <c r="BH47" s="14">
        <f>G47*AO47</f>
        <v>0</v>
      </c>
      <c r="BI47" s="14">
        <f>G47*AP47</f>
        <v>0</v>
      </c>
      <c r="BJ47" s="14">
        <f>G47*H47</f>
        <v>0</v>
      </c>
    </row>
    <row r="48" spans="1:62" ht="12.75">
      <c r="A48" s="3" t="s">
        <v>25</v>
      </c>
      <c r="B48" s="3" t="s">
        <v>85</v>
      </c>
      <c r="C48" s="64" t="s">
        <v>169</v>
      </c>
      <c r="D48" s="65"/>
      <c r="E48" s="65"/>
      <c r="F48" s="3" t="s">
        <v>217</v>
      </c>
      <c r="G48" s="54">
        <v>1.3</v>
      </c>
      <c r="H48" s="14">
        <v>0</v>
      </c>
      <c r="I48" s="14">
        <f>G48*AO48</f>
        <v>0</v>
      </c>
      <c r="J48" s="14">
        <f>G48*AP48</f>
        <v>0</v>
      </c>
      <c r="K48" s="14">
        <f>G48*H48</f>
        <v>0</v>
      </c>
      <c r="L48" s="23" t="s">
        <v>232</v>
      </c>
      <c r="Z48" s="28">
        <f>IF(AQ48="5",BJ48,0)</f>
        <v>0</v>
      </c>
      <c r="AB48" s="28">
        <f>IF(AQ48="1",BH48,0)</f>
        <v>0</v>
      </c>
      <c r="AC48" s="28">
        <f>IF(AQ48="1",BI48,0)</f>
        <v>0</v>
      </c>
      <c r="AD48" s="28">
        <f>IF(AQ48="7",BH48,0)</f>
        <v>0</v>
      </c>
      <c r="AE48" s="28">
        <f>IF(AQ48="7",BI48,0)</f>
        <v>0</v>
      </c>
      <c r="AF48" s="28">
        <f>IF(AQ48="2",BH48,0)</f>
        <v>0</v>
      </c>
      <c r="AG48" s="28">
        <f>IF(AQ48="2",BI48,0)</f>
        <v>0</v>
      </c>
      <c r="AH48" s="28">
        <f>IF(AQ48="0",BJ48,0)</f>
        <v>0</v>
      </c>
      <c r="AI48" s="24"/>
      <c r="AJ48" s="14">
        <f>IF(AN48=0,K48,0)</f>
        <v>0</v>
      </c>
      <c r="AK48" s="14">
        <f>IF(AN48=15,K48,0)</f>
        <v>0</v>
      </c>
      <c r="AL48" s="14">
        <f>IF(AN48=21,K48,0)</f>
        <v>0</v>
      </c>
      <c r="AN48" s="28">
        <v>21</v>
      </c>
      <c r="AO48" s="28">
        <f>H48*0</f>
        <v>0</v>
      </c>
      <c r="AP48" s="28">
        <f>H48*(1-0)</f>
        <v>0</v>
      </c>
      <c r="AQ48" s="23" t="s">
        <v>2</v>
      </c>
      <c r="AV48" s="28">
        <f>AW48+AX48</f>
        <v>0</v>
      </c>
      <c r="AW48" s="28">
        <f>G48*AO48</f>
        <v>0</v>
      </c>
      <c r="AX48" s="28">
        <f>G48*AP48</f>
        <v>0</v>
      </c>
      <c r="AY48" s="29" t="s">
        <v>254</v>
      </c>
      <c r="AZ48" s="29" t="s">
        <v>269</v>
      </c>
      <c r="BA48" s="24" t="s">
        <v>274</v>
      </c>
      <c r="BC48" s="28">
        <f>AW48+AX48</f>
        <v>0</v>
      </c>
      <c r="BD48" s="28">
        <f>H48/(100-BE48)*100</f>
        <v>0</v>
      </c>
      <c r="BE48" s="28">
        <v>0</v>
      </c>
      <c r="BF48" s="28">
        <f>58</f>
        <v>58</v>
      </c>
      <c r="BH48" s="14">
        <f>G48*AO48</f>
        <v>0</v>
      </c>
      <c r="BI48" s="14">
        <f>G48*AP48</f>
        <v>0</v>
      </c>
      <c r="BJ48" s="14">
        <f>G48*H48</f>
        <v>0</v>
      </c>
    </row>
    <row r="49" spans="1:62" ht="12.75">
      <c r="A49" s="3" t="s">
        <v>26</v>
      </c>
      <c r="B49" s="3" t="s">
        <v>86</v>
      </c>
      <c r="C49" s="64" t="s">
        <v>170</v>
      </c>
      <c r="D49" s="65"/>
      <c r="E49" s="65"/>
      <c r="F49" s="3" t="s">
        <v>218</v>
      </c>
      <c r="G49" s="54">
        <v>42</v>
      </c>
      <c r="H49" s="14">
        <v>0</v>
      </c>
      <c r="I49" s="14">
        <f>G49*AO49</f>
        <v>0</v>
      </c>
      <c r="J49" s="14">
        <f>G49*AP49</f>
        <v>0</v>
      </c>
      <c r="K49" s="14">
        <f>G49*H49</f>
        <v>0</v>
      </c>
      <c r="L49" s="23" t="s">
        <v>232</v>
      </c>
      <c r="Z49" s="28">
        <f>IF(AQ49="5",BJ49,0)</f>
        <v>0</v>
      </c>
      <c r="AB49" s="28">
        <f>IF(AQ49="1",BH49,0)</f>
        <v>0</v>
      </c>
      <c r="AC49" s="28">
        <f>IF(AQ49="1",BI49,0)</f>
        <v>0</v>
      </c>
      <c r="AD49" s="28">
        <f>IF(AQ49="7",BH49,0)</f>
        <v>0</v>
      </c>
      <c r="AE49" s="28">
        <f>IF(AQ49="7",BI49,0)</f>
        <v>0</v>
      </c>
      <c r="AF49" s="28">
        <f>IF(AQ49="2",BH49,0)</f>
        <v>0</v>
      </c>
      <c r="AG49" s="28">
        <f>IF(AQ49="2",BI49,0)</f>
        <v>0</v>
      </c>
      <c r="AH49" s="28">
        <f>IF(AQ49="0",BJ49,0)</f>
        <v>0</v>
      </c>
      <c r="AI49" s="24"/>
      <c r="AJ49" s="14">
        <f>IF(AN49=0,K49,0)</f>
        <v>0</v>
      </c>
      <c r="AK49" s="14">
        <f>IF(AN49=15,K49,0)</f>
        <v>0</v>
      </c>
      <c r="AL49" s="14">
        <f>IF(AN49=21,K49,0)</f>
        <v>0</v>
      </c>
      <c r="AN49" s="28">
        <v>21</v>
      </c>
      <c r="AO49" s="28">
        <f>H49*0</f>
        <v>0</v>
      </c>
      <c r="AP49" s="28">
        <f>H49*(1-0)</f>
        <v>0</v>
      </c>
      <c r="AQ49" s="23" t="s">
        <v>2</v>
      </c>
      <c r="AV49" s="28">
        <f>AW49+AX49</f>
        <v>0</v>
      </c>
      <c r="AW49" s="28">
        <f>G49*AO49</f>
        <v>0</v>
      </c>
      <c r="AX49" s="28">
        <f>G49*AP49</f>
        <v>0</v>
      </c>
      <c r="AY49" s="29" t="s">
        <v>254</v>
      </c>
      <c r="AZ49" s="29" t="s">
        <v>269</v>
      </c>
      <c r="BA49" s="24" t="s">
        <v>274</v>
      </c>
      <c r="BC49" s="28">
        <f>AW49+AX49</f>
        <v>0</v>
      </c>
      <c r="BD49" s="28">
        <f>H49/(100-BE49)*100</f>
        <v>0</v>
      </c>
      <c r="BE49" s="28">
        <v>0</v>
      </c>
      <c r="BF49" s="28">
        <f>59</f>
        <v>59</v>
      </c>
      <c r="BH49" s="14">
        <f>G49*AO49</f>
        <v>0</v>
      </c>
      <c r="BI49" s="14">
        <f>G49*AP49</f>
        <v>0</v>
      </c>
      <c r="BJ49" s="14">
        <f>G49*H49</f>
        <v>0</v>
      </c>
    </row>
    <row r="50" spans="3:5" ht="12.75">
      <c r="C50" s="66" t="s">
        <v>171</v>
      </c>
      <c r="D50" s="67"/>
      <c r="E50" s="67"/>
    </row>
    <row r="51" spans="1:62" ht="12.75">
      <c r="A51" s="3" t="s">
        <v>27</v>
      </c>
      <c r="B51" s="3" t="s">
        <v>87</v>
      </c>
      <c r="C51" s="64" t="s">
        <v>172</v>
      </c>
      <c r="D51" s="65"/>
      <c r="E51" s="65"/>
      <c r="F51" s="3" t="s">
        <v>218</v>
      </c>
      <c r="G51" s="54">
        <v>1</v>
      </c>
      <c r="H51" s="14">
        <v>0</v>
      </c>
      <c r="I51" s="14">
        <f>G51*AO51</f>
        <v>0</v>
      </c>
      <c r="J51" s="14">
        <f>G51*AP51</f>
        <v>0</v>
      </c>
      <c r="K51" s="14">
        <f>G51*H51</f>
        <v>0</v>
      </c>
      <c r="L51" s="23" t="s">
        <v>232</v>
      </c>
      <c r="Z51" s="28">
        <f>IF(AQ51="5",BJ51,0)</f>
        <v>0</v>
      </c>
      <c r="AB51" s="28">
        <f>IF(AQ51="1",BH51,0)</f>
        <v>0</v>
      </c>
      <c r="AC51" s="28">
        <f>IF(AQ51="1",BI51,0)</f>
        <v>0</v>
      </c>
      <c r="AD51" s="28">
        <f>IF(AQ51="7",BH51,0)</f>
        <v>0</v>
      </c>
      <c r="AE51" s="28">
        <f>IF(AQ51="7",BI51,0)</f>
        <v>0</v>
      </c>
      <c r="AF51" s="28">
        <f>IF(AQ51="2",BH51,0)</f>
        <v>0</v>
      </c>
      <c r="AG51" s="28">
        <f>IF(AQ51="2",BI51,0)</f>
        <v>0</v>
      </c>
      <c r="AH51" s="28">
        <f>IF(AQ51="0",BJ51,0)</f>
        <v>0</v>
      </c>
      <c r="AI51" s="24"/>
      <c r="AJ51" s="14">
        <f>IF(AN51=0,K51,0)</f>
        <v>0</v>
      </c>
      <c r="AK51" s="14">
        <f>IF(AN51=15,K51,0)</f>
        <v>0</v>
      </c>
      <c r="AL51" s="14">
        <f>IF(AN51=21,K51,0)</f>
        <v>0</v>
      </c>
      <c r="AN51" s="28">
        <v>21</v>
      </c>
      <c r="AO51" s="28">
        <f>H51*0</f>
        <v>0</v>
      </c>
      <c r="AP51" s="28">
        <f>H51*(1-0)</f>
        <v>0</v>
      </c>
      <c r="AQ51" s="23" t="s">
        <v>2</v>
      </c>
      <c r="AV51" s="28">
        <f>AW51+AX51</f>
        <v>0</v>
      </c>
      <c r="AW51" s="28">
        <f>G51*AO51</f>
        <v>0</v>
      </c>
      <c r="AX51" s="28">
        <f>G51*AP51</f>
        <v>0</v>
      </c>
      <c r="AY51" s="29" t="s">
        <v>254</v>
      </c>
      <c r="AZ51" s="29" t="s">
        <v>269</v>
      </c>
      <c r="BA51" s="24" t="s">
        <v>274</v>
      </c>
      <c r="BC51" s="28">
        <f>AW51+AX51</f>
        <v>0</v>
      </c>
      <c r="BD51" s="28">
        <f>H51/(100-BE51)*100</f>
        <v>0</v>
      </c>
      <c r="BE51" s="28">
        <v>0</v>
      </c>
      <c r="BF51" s="28">
        <f>61</f>
        <v>61</v>
      </c>
      <c r="BH51" s="14">
        <f>G51*AO51</f>
        <v>0</v>
      </c>
      <c r="BI51" s="14">
        <f>G51*AP51</f>
        <v>0</v>
      </c>
      <c r="BJ51" s="14">
        <f>G51*H51</f>
        <v>0</v>
      </c>
    </row>
    <row r="52" spans="1:62" ht="12.75">
      <c r="A52" s="3" t="s">
        <v>28</v>
      </c>
      <c r="B52" s="3" t="s">
        <v>88</v>
      </c>
      <c r="C52" s="64" t="s">
        <v>173</v>
      </c>
      <c r="D52" s="65"/>
      <c r="E52" s="65"/>
      <c r="F52" s="3" t="s">
        <v>220</v>
      </c>
      <c r="G52" s="54">
        <v>1</v>
      </c>
      <c r="H52" s="14">
        <v>0</v>
      </c>
      <c r="I52" s="14">
        <f>G52*AO52</f>
        <v>0</v>
      </c>
      <c r="J52" s="14">
        <f>G52*AP52</f>
        <v>0</v>
      </c>
      <c r="K52" s="14">
        <f>G52*H52</f>
        <v>0</v>
      </c>
      <c r="L52" s="23" t="s">
        <v>232</v>
      </c>
      <c r="Z52" s="28">
        <f>IF(AQ52="5",BJ52,0)</f>
        <v>0</v>
      </c>
      <c r="AB52" s="28">
        <f>IF(AQ52="1",BH52,0)</f>
        <v>0</v>
      </c>
      <c r="AC52" s="28">
        <f>IF(AQ52="1",BI52,0)</f>
        <v>0</v>
      </c>
      <c r="AD52" s="28">
        <f>IF(AQ52="7",BH52,0)</f>
        <v>0</v>
      </c>
      <c r="AE52" s="28">
        <f>IF(AQ52="7",BI52,0)</f>
        <v>0</v>
      </c>
      <c r="AF52" s="28">
        <f>IF(AQ52="2",BH52,0)</f>
        <v>0</v>
      </c>
      <c r="AG52" s="28">
        <f>IF(AQ52="2",BI52,0)</f>
        <v>0</v>
      </c>
      <c r="AH52" s="28">
        <f>IF(AQ52="0",BJ52,0)</f>
        <v>0</v>
      </c>
      <c r="AI52" s="24"/>
      <c r="AJ52" s="14">
        <f>IF(AN52=0,K52,0)</f>
        <v>0</v>
      </c>
      <c r="AK52" s="14">
        <f>IF(AN52=15,K52,0)</f>
        <v>0</v>
      </c>
      <c r="AL52" s="14">
        <f>IF(AN52=21,K52,0)</f>
        <v>0</v>
      </c>
      <c r="AN52" s="28">
        <v>21</v>
      </c>
      <c r="AO52" s="28">
        <f>H52*0.062514707035846</f>
        <v>0</v>
      </c>
      <c r="AP52" s="28">
        <f>H52*(1-0.062514707035846)</f>
        <v>0</v>
      </c>
      <c r="AQ52" s="23" t="s">
        <v>2</v>
      </c>
      <c r="AV52" s="28">
        <f>AW52+AX52</f>
        <v>0</v>
      </c>
      <c r="AW52" s="28">
        <f>G52*AO52</f>
        <v>0</v>
      </c>
      <c r="AX52" s="28">
        <f>G52*AP52</f>
        <v>0</v>
      </c>
      <c r="AY52" s="29" t="s">
        <v>254</v>
      </c>
      <c r="AZ52" s="29" t="s">
        <v>269</v>
      </c>
      <c r="BA52" s="24" t="s">
        <v>274</v>
      </c>
      <c r="BC52" s="28">
        <f>AW52+AX52</f>
        <v>0</v>
      </c>
      <c r="BD52" s="28">
        <f>H52/(100-BE52)*100</f>
        <v>0</v>
      </c>
      <c r="BE52" s="28">
        <v>0</v>
      </c>
      <c r="BF52" s="28">
        <f>62</f>
        <v>62</v>
      </c>
      <c r="BH52" s="14">
        <f>G52*AO52</f>
        <v>0</v>
      </c>
      <c r="BI52" s="14">
        <f>G52*AP52</f>
        <v>0</v>
      </c>
      <c r="BJ52" s="14">
        <f>G52*H52</f>
        <v>0</v>
      </c>
    </row>
    <row r="53" spans="3:5" ht="12.75">
      <c r="C53" s="66" t="s">
        <v>174</v>
      </c>
      <c r="D53" s="67"/>
      <c r="E53" s="67"/>
    </row>
    <row r="54" spans="1:47" ht="12.75">
      <c r="A54" s="4"/>
      <c r="B54" s="11" t="s">
        <v>89</v>
      </c>
      <c r="C54" s="71" t="s">
        <v>175</v>
      </c>
      <c r="D54" s="72"/>
      <c r="E54" s="72"/>
      <c r="F54" s="4" t="s">
        <v>1</v>
      </c>
      <c r="G54" s="4" t="s">
        <v>1</v>
      </c>
      <c r="H54" s="4" t="s">
        <v>1</v>
      </c>
      <c r="I54" s="30">
        <f>SUM(I55:I61)</f>
        <v>0</v>
      </c>
      <c r="J54" s="30">
        <f>SUM(J55:J61)</f>
        <v>0</v>
      </c>
      <c r="K54" s="30">
        <f>SUM(K55:K61)</f>
        <v>0</v>
      </c>
      <c r="L54" s="24"/>
      <c r="AI54" s="24"/>
      <c r="AS54" s="30">
        <f>SUM(AJ55:AJ61)</f>
        <v>0</v>
      </c>
      <c r="AT54" s="30">
        <f>SUM(AK55:AK61)</f>
        <v>0</v>
      </c>
      <c r="AU54" s="30">
        <f>SUM(AL55:AL61)</f>
        <v>0</v>
      </c>
    </row>
    <row r="55" spans="1:62" ht="12.75">
      <c r="A55" s="3" t="s">
        <v>29</v>
      </c>
      <c r="B55" s="3" t="s">
        <v>90</v>
      </c>
      <c r="C55" s="64" t="s">
        <v>176</v>
      </c>
      <c r="D55" s="65"/>
      <c r="E55" s="65"/>
      <c r="F55" s="3" t="s">
        <v>219</v>
      </c>
      <c r="G55" s="54">
        <v>18.235</v>
      </c>
      <c r="H55" s="14">
        <v>0</v>
      </c>
      <c r="I55" s="14">
        <f>G55*AO55</f>
        <v>0</v>
      </c>
      <c r="J55" s="14">
        <f>G55*AP55</f>
        <v>0</v>
      </c>
      <c r="K55" s="14">
        <f>G55*H55</f>
        <v>0</v>
      </c>
      <c r="L55" s="23" t="s">
        <v>232</v>
      </c>
      <c r="Z55" s="28">
        <f>IF(AQ55="5",BJ55,0)</f>
        <v>0</v>
      </c>
      <c r="AB55" s="28">
        <f>IF(AQ55="1",BH55,0)</f>
        <v>0</v>
      </c>
      <c r="AC55" s="28">
        <f>IF(AQ55="1",BI55,0)</f>
        <v>0</v>
      </c>
      <c r="AD55" s="28">
        <f>IF(AQ55="7",BH55,0)</f>
        <v>0</v>
      </c>
      <c r="AE55" s="28">
        <f>IF(AQ55="7",BI55,0)</f>
        <v>0</v>
      </c>
      <c r="AF55" s="28">
        <f>IF(AQ55="2",BH55,0)</f>
        <v>0</v>
      </c>
      <c r="AG55" s="28">
        <f>IF(AQ55="2",BI55,0)</f>
        <v>0</v>
      </c>
      <c r="AH55" s="28">
        <f>IF(AQ55="0",BJ55,0)</f>
        <v>0</v>
      </c>
      <c r="AI55" s="24"/>
      <c r="AJ55" s="14">
        <f>IF(AN55=0,K55,0)</f>
        <v>0</v>
      </c>
      <c r="AK55" s="14">
        <f>IF(AN55=15,K55,0)</f>
        <v>0</v>
      </c>
      <c r="AL55" s="14">
        <f>IF(AN55=21,K55,0)</f>
        <v>0</v>
      </c>
      <c r="AN55" s="28">
        <v>21</v>
      </c>
      <c r="AO55" s="28">
        <f>H55*0</f>
        <v>0</v>
      </c>
      <c r="AP55" s="28">
        <f>H55*(1-0)</f>
        <v>0</v>
      </c>
      <c r="AQ55" s="23" t="s">
        <v>6</v>
      </c>
      <c r="AV55" s="28">
        <f>AW55+AX55</f>
        <v>0</v>
      </c>
      <c r="AW55" s="28">
        <f>G55*AO55</f>
        <v>0</v>
      </c>
      <c r="AX55" s="28">
        <f>G55*AP55</f>
        <v>0</v>
      </c>
      <c r="AY55" s="29" t="s">
        <v>255</v>
      </c>
      <c r="AZ55" s="29" t="s">
        <v>269</v>
      </c>
      <c r="BA55" s="24" t="s">
        <v>274</v>
      </c>
      <c r="BC55" s="28">
        <f>AW55+AX55</f>
        <v>0</v>
      </c>
      <c r="BD55" s="28">
        <f>H55/(100-BE55)*100</f>
        <v>0</v>
      </c>
      <c r="BE55" s="28">
        <v>0</v>
      </c>
      <c r="BF55" s="28">
        <f>65</f>
        <v>65</v>
      </c>
      <c r="BH55" s="14">
        <f>G55*AO55</f>
        <v>0</v>
      </c>
      <c r="BI55" s="14">
        <f>G55*AP55</f>
        <v>0</v>
      </c>
      <c r="BJ55" s="14">
        <f>G55*H55</f>
        <v>0</v>
      </c>
    </row>
    <row r="56" spans="1:62" ht="12.75">
      <c r="A56" s="3" t="s">
        <v>30</v>
      </c>
      <c r="B56" s="3" t="s">
        <v>91</v>
      </c>
      <c r="C56" s="64" t="s">
        <v>177</v>
      </c>
      <c r="D56" s="65"/>
      <c r="E56" s="65"/>
      <c r="F56" s="3" t="s">
        <v>219</v>
      </c>
      <c r="G56" s="54">
        <v>18.235</v>
      </c>
      <c r="H56" s="14">
        <v>0</v>
      </c>
      <c r="I56" s="14">
        <f>G56*AO56</f>
        <v>0</v>
      </c>
      <c r="J56" s="14">
        <f>G56*AP56</f>
        <v>0</v>
      </c>
      <c r="K56" s="14">
        <f>G56*H56</f>
        <v>0</v>
      </c>
      <c r="L56" s="23" t="s">
        <v>232</v>
      </c>
      <c r="Z56" s="28">
        <f>IF(AQ56="5",BJ56,0)</f>
        <v>0</v>
      </c>
      <c r="AB56" s="28">
        <f>IF(AQ56="1",BH56,0)</f>
        <v>0</v>
      </c>
      <c r="AC56" s="28">
        <f>IF(AQ56="1",BI56,0)</f>
        <v>0</v>
      </c>
      <c r="AD56" s="28">
        <f>IF(AQ56="7",BH56,0)</f>
        <v>0</v>
      </c>
      <c r="AE56" s="28">
        <f>IF(AQ56="7",BI56,0)</f>
        <v>0</v>
      </c>
      <c r="AF56" s="28">
        <f>IF(AQ56="2",BH56,0)</f>
        <v>0</v>
      </c>
      <c r="AG56" s="28">
        <f>IF(AQ56="2",BI56,0)</f>
        <v>0</v>
      </c>
      <c r="AH56" s="28">
        <f>IF(AQ56="0",BJ56,0)</f>
        <v>0</v>
      </c>
      <c r="AI56" s="24"/>
      <c r="AJ56" s="14">
        <f>IF(AN56=0,K56,0)</f>
        <v>0</v>
      </c>
      <c r="AK56" s="14">
        <f>IF(AN56=15,K56,0)</f>
        <v>0</v>
      </c>
      <c r="AL56" s="14">
        <f>IF(AN56=21,K56,0)</f>
        <v>0</v>
      </c>
      <c r="AN56" s="28">
        <v>21</v>
      </c>
      <c r="AO56" s="28">
        <f>H56*0</f>
        <v>0</v>
      </c>
      <c r="AP56" s="28">
        <f>H56*(1-0)</f>
        <v>0</v>
      </c>
      <c r="AQ56" s="23" t="s">
        <v>6</v>
      </c>
      <c r="AV56" s="28">
        <f>AW56+AX56</f>
        <v>0</v>
      </c>
      <c r="AW56" s="28">
        <f>G56*AO56</f>
        <v>0</v>
      </c>
      <c r="AX56" s="28">
        <f>G56*AP56</f>
        <v>0</v>
      </c>
      <c r="AY56" s="29" t="s">
        <v>255</v>
      </c>
      <c r="AZ56" s="29" t="s">
        <v>269</v>
      </c>
      <c r="BA56" s="24" t="s">
        <v>274</v>
      </c>
      <c r="BC56" s="28">
        <f>AW56+AX56</f>
        <v>0</v>
      </c>
      <c r="BD56" s="28">
        <f>H56/(100-BE56)*100</f>
        <v>0</v>
      </c>
      <c r="BE56" s="28">
        <v>0</v>
      </c>
      <c r="BF56" s="28">
        <f>66</f>
        <v>66</v>
      </c>
      <c r="BH56" s="14">
        <f>G56*AO56</f>
        <v>0</v>
      </c>
      <c r="BI56" s="14">
        <f>G56*AP56</f>
        <v>0</v>
      </c>
      <c r="BJ56" s="14">
        <f>G56*H56</f>
        <v>0</v>
      </c>
    </row>
    <row r="57" spans="1:62" ht="12.75">
      <c r="A57" s="3" t="s">
        <v>31</v>
      </c>
      <c r="B57" s="3" t="s">
        <v>92</v>
      </c>
      <c r="C57" s="64" t="s">
        <v>178</v>
      </c>
      <c r="D57" s="65"/>
      <c r="E57" s="65"/>
      <c r="F57" s="3" t="s">
        <v>219</v>
      </c>
      <c r="G57" s="54">
        <v>18.235</v>
      </c>
      <c r="H57" s="14">
        <v>0</v>
      </c>
      <c r="I57" s="14">
        <f>G57*AO57</f>
        <v>0</v>
      </c>
      <c r="J57" s="14">
        <f>G57*AP57</f>
        <v>0</v>
      </c>
      <c r="K57" s="14">
        <f>G57*H57</f>
        <v>0</v>
      </c>
      <c r="L57" s="23" t="s">
        <v>232</v>
      </c>
      <c r="Z57" s="28">
        <f>IF(AQ57="5",BJ57,0)</f>
        <v>0</v>
      </c>
      <c r="AB57" s="28">
        <f>IF(AQ57="1",BH57,0)</f>
        <v>0</v>
      </c>
      <c r="AC57" s="28">
        <f>IF(AQ57="1",BI57,0)</f>
        <v>0</v>
      </c>
      <c r="AD57" s="28">
        <f>IF(AQ57="7",BH57,0)</f>
        <v>0</v>
      </c>
      <c r="AE57" s="28">
        <f>IF(AQ57="7",BI57,0)</f>
        <v>0</v>
      </c>
      <c r="AF57" s="28">
        <f>IF(AQ57="2",BH57,0)</f>
        <v>0</v>
      </c>
      <c r="AG57" s="28">
        <f>IF(AQ57="2",BI57,0)</f>
        <v>0</v>
      </c>
      <c r="AH57" s="28">
        <f>IF(AQ57="0",BJ57,0)</f>
        <v>0</v>
      </c>
      <c r="AI57" s="24"/>
      <c r="AJ57" s="14">
        <f>IF(AN57=0,K57,0)</f>
        <v>0</v>
      </c>
      <c r="AK57" s="14">
        <f>IF(AN57=15,K57,0)</f>
        <v>0</v>
      </c>
      <c r="AL57" s="14">
        <f>IF(AN57=21,K57,0)</f>
        <v>0</v>
      </c>
      <c r="AN57" s="28">
        <v>21</v>
      </c>
      <c r="AO57" s="28">
        <f>H57*0.0094224845482488</f>
        <v>0</v>
      </c>
      <c r="AP57" s="28">
        <f>H57*(1-0.0094224845482488)</f>
        <v>0</v>
      </c>
      <c r="AQ57" s="23" t="s">
        <v>6</v>
      </c>
      <c r="AV57" s="28">
        <f>AW57+AX57</f>
        <v>0</v>
      </c>
      <c r="AW57" s="28">
        <f>G57*AO57</f>
        <v>0</v>
      </c>
      <c r="AX57" s="28">
        <f>G57*AP57</f>
        <v>0</v>
      </c>
      <c r="AY57" s="29" t="s">
        <v>255</v>
      </c>
      <c r="AZ57" s="29" t="s">
        <v>269</v>
      </c>
      <c r="BA57" s="24" t="s">
        <v>274</v>
      </c>
      <c r="BC57" s="28">
        <f>AW57+AX57</f>
        <v>0</v>
      </c>
      <c r="BD57" s="28">
        <f>H57/(100-BE57)*100</f>
        <v>0</v>
      </c>
      <c r="BE57" s="28">
        <v>0</v>
      </c>
      <c r="BF57" s="28">
        <f>67</f>
        <v>67</v>
      </c>
      <c r="BH57" s="14">
        <f>G57*AO57</f>
        <v>0</v>
      </c>
      <c r="BI57" s="14">
        <f>G57*AP57</f>
        <v>0</v>
      </c>
      <c r="BJ57" s="14">
        <f>G57*H57</f>
        <v>0</v>
      </c>
    </row>
    <row r="58" spans="3:5" ht="12.75">
      <c r="C58" s="66" t="s">
        <v>179</v>
      </c>
      <c r="D58" s="67"/>
      <c r="E58" s="67"/>
    </row>
    <row r="59" spans="1:62" ht="12.75">
      <c r="A59" s="3" t="s">
        <v>32</v>
      </c>
      <c r="B59" s="3" t="s">
        <v>93</v>
      </c>
      <c r="C59" s="64" t="s">
        <v>180</v>
      </c>
      <c r="D59" s="65"/>
      <c r="E59" s="65"/>
      <c r="F59" s="3" t="s">
        <v>219</v>
      </c>
      <c r="G59" s="54">
        <v>72.94</v>
      </c>
      <c r="H59" s="14">
        <v>0</v>
      </c>
      <c r="I59" s="14">
        <f>G59*AO59</f>
        <v>0</v>
      </c>
      <c r="J59" s="14">
        <f>G59*AP59</f>
        <v>0</v>
      </c>
      <c r="K59" s="14">
        <f>G59*H59</f>
        <v>0</v>
      </c>
      <c r="L59" s="23" t="s">
        <v>232</v>
      </c>
      <c r="Z59" s="28">
        <f>IF(AQ59="5",BJ59,0)</f>
        <v>0</v>
      </c>
      <c r="AB59" s="28">
        <f>IF(AQ59="1",BH59,0)</f>
        <v>0</v>
      </c>
      <c r="AC59" s="28">
        <f>IF(AQ59="1",BI59,0)</f>
        <v>0</v>
      </c>
      <c r="AD59" s="28">
        <f>IF(AQ59="7",BH59,0)</f>
        <v>0</v>
      </c>
      <c r="AE59" s="28">
        <f>IF(AQ59="7",BI59,0)</f>
        <v>0</v>
      </c>
      <c r="AF59" s="28">
        <f>IF(AQ59="2",BH59,0)</f>
        <v>0</v>
      </c>
      <c r="AG59" s="28">
        <f>IF(AQ59="2",BI59,0)</f>
        <v>0</v>
      </c>
      <c r="AH59" s="28">
        <f>IF(AQ59="0",BJ59,0)</f>
        <v>0</v>
      </c>
      <c r="AI59" s="24"/>
      <c r="AJ59" s="14">
        <f>IF(AN59=0,K59,0)</f>
        <v>0</v>
      </c>
      <c r="AK59" s="14">
        <f>IF(AN59=15,K59,0)</f>
        <v>0</v>
      </c>
      <c r="AL59" s="14">
        <f>IF(AN59=21,K59,0)</f>
        <v>0</v>
      </c>
      <c r="AN59" s="28">
        <v>21</v>
      </c>
      <c r="AO59" s="28">
        <f>H59*0</f>
        <v>0</v>
      </c>
      <c r="AP59" s="28">
        <f>H59*(1-0)</f>
        <v>0</v>
      </c>
      <c r="AQ59" s="23" t="s">
        <v>6</v>
      </c>
      <c r="AV59" s="28">
        <f>AW59+AX59</f>
        <v>0</v>
      </c>
      <c r="AW59" s="28">
        <f>G59*AO59</f>
        <v>0</v>
      </c>
      <c r="AX59" s="28">
        <f>G59*AP59</f>
        <v>0</v>
      </c>
      <c r="AY59" s="29" t="s">
        <v>255</v>
      </c>
      <c r="AZ59" s="29" t="s">
        <v>269</v>
      </c>
      <c r="BA59" s="24" t="s">
        <v>274</v>
      </c>
      <c r="BC59" s="28">
        <f>AW59+AX59</f>
        <v>0</v>
      </c>
      <c r="BD59" s="28">
        <f>H59/(100-BE59)*100</f>
        <v>0</v>
      </c>
      <c r="BE59" s="28">
        <v>0</v>
      </c>
      <c r="BF59" s="28">
        <f>69</f>
        <v>69</v>
      </c>
      <c r="BH59" s="14">
        <f>G59*AO59</f>
        <v>0</v>
      </c>
      <c r="BI59" s="14">
        <f>G59*AP59</f>
        <v>0</v>
      </c>
      <c r="BJ59" s="14">
        <f>G59*H59</f>
        <v>0</v>
      </c>
    </row>
    <row r="60" spans="1:62" ht="12.75">
      <c r="A60" s="3" t="s">
        <v>33</v>
      </c>
      <c r="B60" s="3" t="s">
        <v>94</v>
      </c>
      <c r="C60" s="64" t="s">
        <v>181</v>
      </c>
      <c r="D60" s="65"/>
      <c r="E60" s="65"/>
      <c r="F60" s="3" t="s">
        <v>219</v>
      </c>
      <c r="G60" s="54">
        <v>18.212</v>
      </c>
      <c r="H60" s="14">
        <v>0</v>
      </c>
      <c r="I60" s="14">
        <f>G60*AO60</f>
        <v>0</v>
      </c>
      <c r="J60" s="14">
        <f>G60*AP60</f>
        <v>0</v>
      </c>
      <c r="K60" s="14">
        <f>G60*H60</f>
        <v>0</v>
      </c>
      <c r="L60" s="23" t="s">
        <v>232</v>
      </c>
      <c r="Z60" s="28">
        <f>IF(AQ60="5",BJ60,0)</f>
        <v>0</v>
      </c>
      <c r="AB60" s="28">
        <f>IF(AQ60="1",BH60,0)</f>
        <v>0</v>
      </c>
      <c r="AC60" s="28">
        <f>IF(AQ60="1",BI60,0)</f>
        <v>0</v>
      </c>
      <c r="AD60" s="28">
        <f>IF(AQ60="7",BH60,0)</f>
        <v>0</v>
      </c>
      <c r="AE60" s="28">
        <f>IF(AQ60="7",BI60,0)</f>
        <v>0</v>
      </c>
      <c r="AF60" s="28">
        <f>IF(AQ60="2",BH60,0)</f>
        <v>0</v>
      </c>
      <c r="AG60" s="28">
        <f>IF(AQ60="2",BI60,0)</f>
        <v>0</v>
      </c>
      <c r="AH60" s="28">
        <f>IF(AQ60="0",BJ60,0)</f>
        <v>0</v>
      </c>
      <c r="AI60" s="24"/>
      <c r="AJ60" s="14">
        <f>IF(AN60=0,K60,0)</f>
        <v>0</v>
      </c>
      <c r="AK60" s="14">
        <f>IF(AN60=15,K60,0)</f>
        <v>0</v>
      </c>
      <c r="AL60" s="14">
        <f>IF(AN60=21,K60,0)</f>
        <v>0</v>
      </c>
      <c r="AN60" s="28">
        <v>21</v>
      </c>
      <c r="AO60" s="28">
        <f>H60*0</f>
        <v>0</v>
      </c>
      <c r="AP60" s="28">
        <f>H60*(1-0)</f>
        <v>0</v>
      </c>
      <c r="AQ60" s="23" t="s">
        <v>6</v>
      </c>
      <c r="AV60" s="28">
        <f>AW60+AX60</f>
        <v>0</v>
      </c>
      <c r="AW60" s="28">
        <f>G60*AO60</f>
        <v>0</v>
      </c>
      <c r="AX60" s="28">
        <f>G60*AP60</f>
        <v>0</v>
      </c>
      <c r="AY60" s="29" t="s">
        <v>255</v>
      </c>
      <c r="AZ60" s="29" t="s">
        <v>269</v>
      </c>
      <c r="BA60" s="24" t="s">
        <v>274</v>
      </c>
      <c r="BC60" s="28">
        <f>AW60+AX60</f>
        <v>0</v>
      </c>
      <c r="BD60" s="28">
        <f>H60/(100-BE60)*100</f>
        <v>0</v>
      </c>
      <c r="BE60" s="28">
        <v>0</v>
      </c>
      <c r="BF60" s="28">
        <f>70</f>
        <v>70</v>
      </c>
      <c r="BH60" s="14">
        <f>G60*AO60</f>
        <v>0</v>
      </c>
      <c r="BI60" s="14">
        <f>G60*AP60</f>
        <v>0</v>
      </c>
      <c r="BJ60" s="14">
        <f>G60*H60</f>
        <v>0</v>
      </c>
    </row>
    <row r="61" spans="1:62" ht="12.75">
      <c r="A61" s="3" t="s">
        <v>34</v>
      </c>
      <c r="B61" s="3" t="s">
        <v>95</v>
      </c>
      <c r="C61" s="64" t="s">
        <v>182</v>
      </c>
      <c r="D61" s="65"/>
      <c r="E61" s="65"/>
      <c r="F61" s="3" t="s">
        <v>219</v>
      </c>
      <c r="G61" s="54">
        <v>0.093</v>
      </c>
      <c r="H61" s="14">
        <v>0</v>
      </c>
      <c r="I61" s="14">
        <f>G61*AO61</f>
        <v>0</v>
      </c>
      <c r="J61" s="14">
        <f>G61*AP61</f>
        <v>0</v>
      </c>
      <c r="K61" s="14">
        <f>G61*H61</f>
        <v>0</v>
      </c>
      <c r="L61" s="23" t="s">
        <v>232</v>
      </c>
      <c r="Z61" s="28">
        <f>IF(AQ61="5",BJ61,0)</f>
        <v>0</v>
      </c>
      <c r="AB61" s="28">
        <f>IF(AQ61="1",BH61,0)</f>
        <v>0</v>
      </c>
      <c r="AC61" s="28">
        <f>IF(AQ61="1",BI61,0)</f>
        <v>0</v>
      </c>
      <c r="AD61" s="28">
        <f>IF(AQ61="7",BH61,0)</f>
        <v>0</v>
      </c>
      <c r="AE61" s="28">
        <f>IF(AQ61="7",BI61,0)</f>
        <v>0</v>
      </c>
      <c r="AF61" s="28">
        <f>IF(AQ61="2",BH61,0)</f>
        <v>0</v>
      </c>
      <c r="AG61" s="28">
        <f>IF(AQ61="2",BI61,0)</f>
        <v>0</v>
      </c>
      <c r="AH61" s="28">
        <f>IF(AQ61="0",BJ61,0)</f>
        <v>0</v>
      </c>
      <c r="AI61" s="24"/>
      <c r="AJ61" s="14">
        <f>IF(AN61=0,K61,0)</f>
        <v>0</v>
      </c>
      <c r="AK61" s="14">
        <f>IF(AN61=15,K61,0)</f>
        <v>0</v>
      </c>
      <c r="AL61" s="14">
        <f>IF(AN61=21,K61,0)</f>
        <v>0</v>
      </c>
      <c r="AN61" s="28">
        <v>21</v>
      </c>
      <c r="AO61" s="28">
        <f>H61*0</f>
        <v>0</v>
      </c>
      <c r="AP61" s="28">
        <f>H61*(1-0)</f>
        <v>0</v>
      </c>
      <c r="AQ61" s="23" t="s">
        <v>6</v>
      </c>
      <c r="AV61" s="28">
        <f>AW61+AX61</f>
        <v>0</v>
      </c>
      <c r="AW61" s="28">
        <f>G61*AO61</f>
        <v>0</v>
      </c>
      <c r="AX61" s="28">
        <f>G61*AP61</f>
        <v>0</v>
      </c>
      <c r="AY61" s="29" t="s">
        <v>255</v>
      </c>
      <c r="AZ61" s="29" t="s">
        <v>269</v>
      </c>
      <c r="BA61" s="24" t="s">
        <v>274</v>
      </c>
      <c r="BC61" s="28">
        <f>AW61+AX61</f>
        <v>0</v>
      </c>
      <c r="BD61" s="28">
        <f>H61/(100-BE61)*100</f>
        <v>0</v>
      </c>
      <c r="BE61" s="28">
        <v>0</v>
      </c>
      <c r="BF61" s="28">
        <f>71</f>
        <v>71</v>
      </c>
      <c r="BH61" s="14">
        <f>G61*AO61</f>
        <v>0</v>
      </c>
      <c r="BI61" s="14">
        <f>G61*AP61</f>
        <v>0</v>
      </c>
      <c r="BJ61" s="14">
        <f>G61*H61</f>
        <v>0</v>
      </c>
    </row>
    <row r="62" spans="1:47" ht="12.75">
      <c r="A62" s="4"/>
      <c r="B62" s="11" t="s">
        <v>96</v>
      </c>
      <c r="C62" s="71" t="s">
        <v>183</v>
      </c>
      <c r="D62" s="72"/>
      <c r="E62" s="72"/>
      <c r="F62" s="4" t="s">
        <v>1</v>
      </c>
      <c r="G62" s="4" t="s">
        <v>1</v>
      </c>
      <c r="H62" s="4" t="s">
        <v>1</v>
      </c>
      <c r="I62" s="30">
        <f>SUM(I63:I66)</f>
        <v>0</v>
      </c>
      <c r="J62" s="30">
        <f>SUM(J63:J66)</f>
        <v>0</v>
      </c>
      <c r="K62" s="30">
        <f>SUM(K63:K66)</f>
        <v>0</v>
      </c>
      <c r="L62" s="24"/>
      <c r="AI62" s="24"/>
      <c r="AS62" s="30">
        <f>SUM(AJ63:AJ66)</f>
        <v>0</v>
      </c>
      <c r="AT62" s="30">
        <f>SUM(AK63:AK66)</f>
        <v>0</v>
      </c>
      <c r="AU62" s="30">
        <f>SUM(AL63:AL66)</f>
        <v>0</v>
      </c>
    </row>
    <row r="63" spans="1:62" ht="12.75">
      <c r="A63" s="3" t="s">
        <v>35</v>
      </c>
      <c r="B63" s="3" t="s">
        <v>97</v>
      </c>
      <c r="C63" s="64" t="s">
        <v>184</v>
      </c>
      <c r="D63" s="65"/>
      <c r="E63" s="65"/>
      <c r="F63" s="3" t="s">
        <v>218</v>
      </c>
      <c r="G63" s="54">
        <v>220</v>
      </c>
      <c r="H63" s="14">
        <v>0</v>
      </c>
      <c r="I63" s="14">
        <f>G63*AO63</f>
        <v>0</v>
      </c>
      <c r="J63" s="14">
        <f>G63*AP63</f>
        <v>0</v>
      </c>
      <c r="K63" s="14">
        <f>G63*H63</f>
        <v>0</v>
      </c>
      <c r="L63" s="23" t="s">
        <v>232</v>
      </c>
      <c r="Z63" s="28">
        <f>IF(AQ63="5",BJ63,0)</f>
        <v>0</v>
      </c>
      <c r="AB63" s="28">
        <f>IF(AQ63="1",BH63,0)</f>
        <v>0</v>
      </c>
      <c r="AC63" s="28">
        <f>IF(AQ63="1",BI63,0)</f>
        <v>0</v>
      </c>
      <c r="AD63" s="28">
        <f>IF(AQ63="7",BH63,0)</f>
        <v>0</v>
      </c>
      <c r="AE63" s="28">
        <f>IF(AQ63="7",BI63,0)</f>
        <v>0</v>
      </c>
      <c r="AF63" s="28">
        <f>IF(AQ63="2",BH63,0)</f>
        <v>0</v>
      </c>
      <c r="AG63" s="28">
        <f>IF(AQ63="2",BI63,0)</f>
        <v>0</v>
      </c>
      <c r="AH63" s="28">
        <f>IF(AQ63="0",BJ63,0)</f>
        <v>0</v>
      </c>
      <c r="AI63" s="24"/>
      <c r="AJ63" s="14">
        <f>IF(AN63=0,K63,0)</f>
        <v>0</v>
      </c>
      <c r="AK63" s="14">
        <f>IF(AN63=15,K63,0)</f>
        <v>0</v>
      </c>
      <c r="AL63" s="14">
        <f>IF(AN63=21,K63,0)</f>
        <v>0</v>
      </c>
      <c r="AN63" s="28">
        <v>21</v>
      </c>
      <c r="AO63" s="28">
        <f>H63*0.272609159667765</f>
        <v>0</v>
      </c>
      <c r="AP63" s="28">
        <f>H63*(1-0.272609159667765)</f>
        <v>0</v>
      </c>
      <c r="AQ63" s="23" t="s">
        <v>8</v>
      </c>
      <c r="AV63" s="28">
        <f>AW63+AX63</f>
        <v>0</v>
      </c>
      <c r="AW63" s="28">
        <f>G63*AO63</f>
        <v>0</v>
      </c>
      <c r="AX63" s="28">
        <f>G63*AP63</f>
        <v>0</v>
      </c>
      <c r="AY63" s="29" t="s">
        <v>256</v>
      </c>
      <c r="AZ63" s="29" t="s">
        <v>270</v>
      </c>
      <c r="BA63" s="24" t="s">
        <v>274</v>
      </c>
      <c r="BC63" s="28">
        <f>AW63+AX63</f>
        <v>0</v>
      </c>
      <c r="BD63" s="28">
        <f>H63/(100-BE63)*100</f>
        <v>0</v>
      </c>
      <c r="BE63" s="28">
        <v>0</v>
      </c>
      <c r="BF63" s="28">
        <f>73</f>
        <v>73</v>
      </c>
      <c r="BH63" s="14">
        <f>G63*AO63</f>
        <v>0</v>
      </c>
      <c r="BI63" s="14">
        <f>G63*AP63</f>
        <v>0</v>
      </c>
      <c r="BJ63" s="14">
        <f>G63*H63</f>
        <v>0</v>
      </c>
    </row>
    <row r="64" spans="1:62" ht="12.75">
      <c r="A64" s="3" t="s">
        <v>36</v>
      </c>
      <c r="B64" s="3" t="s">
        <v>98</v>
      </c>
      <c r="C64" s="64" t="s">
        <v>185</v>
      </c>
      <c r="D64" s="65"/>
      <c r="E64" s="65"/>
      <c r="F64" s="3" t="s">
        <v>218</v>
      </c>
      <c r="G64" s="54">
        <v>20</v>
      </c>
      <c r="H64" s="14">
        <v>0</v>
      </c>
      <c r="I64" s="14">
        <f>G64*AO64</f>
        <v>0</v>
      </c>
      <c r="J64" s="14">
        <f>G64*AP64</f>
        <v>0</v>
      </c>
      <c r="K64" s="14">
        <f>G64*H64</f>
        <v>0</v>
      </c>
      <c r="L64" s="23" t="s">
        <v>232</v>
      </c>
      <c r="Z64" s="28">
        <f>IF(AQ64="5",BJ64,0)</f>
        <v>0</v>
      </c>
      <c r="AB64" s="28">
        <f>IF(AQ64="1",BH64,0)</f>
        <v>0</v>
      </c>
      <c r="AC64" s="28">
        <f>IF(AQ64="1",BI64,0)</f>
        <v>0</v>
      </c>
      <c r="AD64" s="28">
        <f>IF(AQ64="7",BH64,0)</f>
        <v>0</v>
      </c>
      <c r="AE64" s="28">
        <f>IF(AQ64="7",BI64,0)</f>
        <v>0</v>
      </c>
      <c r="AF64" s="28">
        <f>IF(AQ64="2",BH64,0)</f>
        <v>0</v>
      </c>
      <c r="AG64" s="28">
        <f>IF(AQ64="2",BI64,0)</f>
        <v>0</v>
      </c>
      <c r="AH64" s="28">
        <f>IF(AQ64="0",BJ64,0)</f>
        <v>0</v>
      </c>
      <c r="AI64" s="24"/>
      <c r="AJ64" s="14">
        <f>IF(AN64=0,K64,0)</f>
        <v>0</v>
      </c>
      <c r="AK64" s="14">
        <f>IF(AN64=15,K64,0)</f>
        <v>0</v>
      </c>
      <c r="AL64" s="14">
        <f>IF(AN64=21,K64,0)</f>
        <v>0</v>
      </c>
      <c r="AN64" s="28">
        <v>21</v>
      </c>
      <c r="AO64" s="28">
        <f>H64*0.607377049180328</f>
        <v>0</v>
      </c>
      <c r="AP64" s="28">
        <f>H64*(1-0.607377049180328)</f>
        <v>0</v>
      </c>
      <c r="AQ64" s="23" t="s">
        <v>8</v>
      </c>
      <c r="AV64" s="28">
        <f>AW64+AX64</f>
        <v>0</v>
      </c>
      <c r="AW64" s="28">
        <f>G64*AO64</f>
        <v>0</v>
      </c>
      <c r="AX64" s="28">
        <f>G64*AP64</f>
        <v>0</v>
      </c>
      <c r="AY64" s="29" t="s">
        <v>256</v>
      </c>
      <c r="AZ64" s="29" t="s">
        <v>270</v>
      </c>
      <c r="BA64" s="24" t="s">
        <v>274</v>
      </c>
      <c r="BC64" s="28">
        <f>AW64+AX64</f>
        <v>0</v>
      </c>
      <c r="BD64" s="28">
        <f>H64/(100-BE64)*100</f>
        <v>0</v>
      </c>
      <c r="BE64" s="28">
        <v>0</v>
      </c>
      <c r="BF64" s="28">
        <f>74</f>
        <v>74</v>
      </c>
      <c r="BH64" s="14">
        <f>G64*AO64</f>
        <v>0</v>
      </c>
      <c r="BI64" s="14">
        <f>G64*AP64</f>
        <v>0</v>
      </c>
      <c r="BJ64" s="14">
        <f>G64*H64</f>
        <v>0</v>
      </c>
    </row>
    <row r="65" spans="3:5" ht="12.75">
      <c r="C65" s="66" t="s">
        <v>186</v>
      </c>
      <c r="D65" s="67"/>
      <c r="E65" s="67"/>
    </row>
    <row r="66" spans="1:62" ht="12.75">
      <c r="A66" s="3" t="s">
        <v>37</v>
      </c>
      <c r="B66" s="3" t="s">
        <v>99</v>
      </c>
      <c r="C66" s="64" t="s">
        <v>187</v>
      </c>
      <c r="D66" s="65"/>
      <c r="E66" s="65"/>
      <c r="F66" s="3" t="s">
        <v>219</v>
      </c>
      <c r="G66" s="54">
        <v>0.081</v>
      </c>
      <c r="H66" s="14">
        <v>0</v>
      </c>
      <c r="I66" s="14">
        <f>G66*AO66</f>
        <v>0</v>
      </c>
      <c r="J66" s="14">
        <f>G66*AP66</f>
        <v>0</v>
      </c>
      <c r="K66" s="14">
        <f>G66*H66</f>
        <v>0</v>
      </c>
      <c r="L66" s="23" t="s">
        <v>232</v>
      </c>
      <c r="Z66" s="28">
        <f>IF(AQ66="5",BJ66,0)</f>
        <v>0</v>
      </c>
      <c r="AB66" s="28">
        <f>IF(AQ66="1",BH66,0)</f>
        <v>0</v>
      </c>
      <c r="AC66" s="28">
        <f>IF(AQ66="1",BI66,0)</f>
        <v>0</v>
      </c>
      <c r="AD66" s="28">
        <f>IF(AQ66="7",BH66,0)</f>
        <v>0</v>
      </c>
      <c r="AE66" s="28">
        <f>IF(AQ66="7",BI66,0)</f>
        <v>0</v>
      </c>
      <c r="AF66" s="28">
        <f>IF(AQ66="2",BH66,0)</f>
        <v>0</v>
      </c>
      <c r="AG66" s="28">
        <f>IF(AQ66="2",BI66,0)</f>
        <v>0</v>
      </c>
      <c r="AH66" s="28">
        <f>IF(AQ66="0",BJ66,0)</f>
        <v>0</v>
      </c>
      <c r="AI66" s="24"/>
      <c r="AJ66" s="14">
        <f>IF(AN66=0,K66,0)</f>
        <v>0</v>
      </c>
      <c r="AK66" s="14">
        <f>IF(AN66=15,K66,0)</f>
        <v>0</v>
      </c>
      <c r="AL66" s="14">
        <f>IF(AN66=21,K66,0)</f>
        <v>0</v>
      </c>
      <c r="AN66" s="28">
        <v>21</v>
      </c>
      <c r="AO66" s="28">
        <f>H66*0</f>
        <v>0</v>
      </c>
      <c r="AP66" s="28">
        <f>H66*(1-0)</f>
        <v>0</v>
      </c>
      <c r="AQ66" s="23" t="s">
        <v>6</v>
      </c>
      <c r="AV66" s="28">
        <f>AW66+AX66</f>
        <v>0</v>
      </c>
      <c r="AW66" s="28">
        <f>G66*AO66</f>
        <v>0</v>
      </c>
      <c r="AX66" s="28">
        <f>G66*AP66</f>
        <v>0</v>
      </c>
      <c r="AY66" s="29" t="s">
        <v>256</v>
      </c>
      <c r="AZ66" s="29" t="s">
        <v>270</v>
      </c>
      <c r="BA66" s="24" t="s">
        <v>274</v>
      </c>
      <c r="BC66" s="28">
        <f>AW66+AX66</f>
        <v>0</v>
      </c>
      <c r="BD66" s="28">
        <f>H66/(100-BE66)*100</f>
        <v>0</v>
      </c>
      <c r="BE66" s="28">
        <v>0</v>
      </c>
      <c r="BF66" s="28">
        <f>76</f>
        <v>76</v>
      </c>
      <c r="BH66" s="14">
        <f>G66*AO66</f>
        <v>0</v>
      </c>
      <c r="BI66" s="14">
        <f>G66*AP66</f>
        <v>0</v>
      </c>
      <c r="BJ66" s="14">
        <f>G66*H66</f>
        <v>0</v>
      </c>
    </row>
    <row r="67" spans="1:47" ht="12.75">
      <c r="A67" s="4"/>
      <c r="B67" s="11" t="s">
        <v>100</v>
      </c>
      <c r="C67" s="71" t="s">
        <v>188</v>
      </c>
      <c r="D67" s="72"/>
      <c r="E67" s="72"/>
      <c r="F67" s="4" t="s">
        <v>1</v>
      </c>
      <c r="G67" s="4" t="s">
        <v>1</v>
      </c>
      <c r="H67" s="4" t="s">
        <v>1</v>
      </c>
      <c r="I67" s="30">
        <f>SUM(I68:I73)</f>
        <v>0</v>
      </c>
      <c r="J67" s="30">
        <f>SUM(J68:J73)</f>
        <v>0</v>
      </c>
      <c r="K67" s="30">
        <f>SUM(K68:K73)</f>
        <v>0</v>
      </c>
      <c r="L67" s="24"/>
      <c r="AI67" s="24"/>
      <c r="AS67" s="30">
        <f>SUM(AJ68:AJ73)</f>
        <v>0</v>
      </c>
      <c r="AT67" s="30">
        <f>SUM(AK68:AK73)</f>
        <v>0</v>
      </c>
      <c r="AU67" s="30">
        <f>SUM(AL68:AL73)</f>
        <v>0</v>
      </c>
    </row>
    <row r="68" spans="1:62" ht="12.75">
      <c r="A68" s="3" t="s">
        <v>38</v>
      </c>
      <c r="B68" s="3" t="s">
        <v>101</v>
      </c>
      <c r="C68" s="64" t="s">
        <v>189</v>
      </c>
      <c r="D68" s="65"/>
      <c r="E68" s="65"/>
      <c r="F68" s="3" t="s">
        <v>220</v>
      </c>
      <c r="G68" s="54">
        <v>1</v>
      </c>
      <c r="H68" s="14">
        <v>0</v>
      </c>
      <c r="I68" s="14">
        <f>G68*AO68</f>
        <v>0</v>
      </c>
      <c r="J68" s="14">
        <f>G68*AP68</f>
        <v>0</v>
      </c>
      <c r="K68" s="14">
        <f>G68*H68</f>
        <v>0</v>
      </c>
      <c r="L68" s="23" t="s">
        <v>232</v>
      </c>
      <c r="Z68" s="28">
        <f>IF(AQ68="5",BJ68,0)</f>
        <v>0</v>
      </c>
      <c r="AB68" s="28">
        <f>IF(AQ68="1",BH68,0)</f>
        <v>0</v>
      </c>
      <c r="AC68" s="28">
        <f>IF(AQ68="1",BI68,0)</f>
        <v>0</v>
      </c>
      <c r="AD68" s="28">
        <f>IF(AQ68="7",BH68,0)</f>
        <v>0</v>
      </c>
      <c r="AE68" s="28">
        <f>IF(AQ68="7",BI68,0)</f>
        <v>0</v>
      </c>
      <c r="AF68" s="28">
        <f>IF(AQ68="2",BH68,0)</f>
        <v>0</v>
      </c>
      <c r="AG68" s="28">
        <f>IF(AQ68="2",BI68,0)</f>
        <v>0</v>
      </c>
      <c r="AH68" s="28">
        <f>IF(AQ68="0",BJ68,0)</f>
        <v>0</v>
      </c>
      <c r="AI68" s="24"/>
      <c r="AJ68" s="14">
        <f>IF(AN68=0,K68,0)</f>
        <v>0</v>
      </c>
      <c r="AK68" s="14">
        <f>IF(AN68=15,K68,0)</f>
        <v>0</v>
      </c>
      <c r="AL68" s="14">
        <f>IF(AN68=21,K68,0)</f>
        <v>0</v>
      </c>
      <c r="AN68" s="28">
        <v>21</v>
      </c>
      <c r="AO68" s="28">
        <f>H68*0.939921739130435</f>
        <v>0</v>
      </c>
      <c r="AP68" s="28">
        <f>H68*(1-0.939921739130435)</f>
        <v>0</v>
      </c>
      <c r="AQ68" s="23" t="s">
        <v>8</v>
      </c>
      <c r="AV68" s="28">
        <f>AW68+AX68</f>
        <v>0</v>
      </c>
      <c r="AW68" s="28">
        <f>G68*AO68</f>
        <v>0</v>
      </c>
      <c r="AX68" s="28">
        <f>G68*AP68</f>
        <v>0</v>
      </c>
      <c r="AY68" s="29" t="s">
        <v>257</v>
      </c>
      <c r="AZ68" s="29" t="s">
        <v>271</v>
      </c>
      <c r="BA68" s="24" t="s">
        <v>274</v>
      </c>
      <c r="BC68" s="28">
        <f>AW68+AX68</f>
        <v>0</v>
      </c>
      <c r="BD68" s="28">
        <f>H68/(100-BE68)*100</f>
        <v>0</v>
      </c>
      <c r="BE68" s="28">
        <v>0</v>
      </c>
      <c r="BF68" s="28">
        <f>78</f>
        <v>78</v>
      </c>
      <c r="BH68" s="14">
        <f>G68*AO68</f>
        <v>0</v>
      </c>
      <c r="BI68" s="14">
        <f>G68*AP68</f>
        <v>0</v>
      </c>
      <c r="BJ68" s="14">
        <f>G68*H68</f>
        <v>0</v>
      </c>
    </row>
    <row r="69" spans="3:5" ht="12.75">
      <c r="C69" s="66" t="s">
        <v>190</v>
      </c>
      <c r="D69" s="67"/>
      <c r="E69" s="67"/>
    </row>
    <row r="70" spans="1:62" ht="12.75">
      <c r="A70" s="3" t="s">
        <v>39</v>
      </c>
      <c r="B70" s="3" t="s">
        <v>102</v>
      </c>
      <c r="C70" s="64" t="s">
        <v>191</v>
      </c>
      <c r="D70" s="65"/>
      <c r="E70" s="65"/>
      <c r="F70" s="3" t="s">
        <v>217</v>
      </c>
      <c r="G70" s="54">
        <v>0.5</v>
      </c>
      <c r="H70" s="14">
        <v>0</v>
      </c>
      <c r="I70" s="14">
        <f>G70*AO70</f>
        <v>0</v>
      </c>
      <c r="J70" s="14">
        <f>G70*AP70</f>
        <v>0</v>
      </c>
      <c r="K70" s="14">
        <f>G70*H70</f>
        <v>0</v>
      </c>
      <c r="L70" s="23" t="s">
        <v>232</v>
      </c>
      <c r="Z70" s="28">
        <f>IF(AQ70="5",BJ70,0)</f>
        <v>0</v>
      </c>
      <c r="AB70" s="28">
        <f>IF(AQ70="1",BH70,0)</f>
        <v>0</v>
      </c>
      <c r="AC70" s="28">
        <f>IF(AQ70="1",BI70,0)</f>
        <v>0</v>
      </c>
      <c r="AD70" s="28">
        <f>IF(AQ70="7",BH70,0)</f>
        <v>0</v>
      </c>
      <c r="AE70" s="28">
        <f>IF(AQ70="7",BI70,0)</f>
        <v>0</v>
      </c>
      <c r="AF70" s="28">
        <f>IF(AQ70="2",BH70,0)</f>
        <v>0</v>
      </c>
      <c r="AG70" s="28">
        <f>IF(AQ70="2",BI70,0)</f>
        <v>0</v>
      </c>
      <c r="AH70" s="28">
        <f>IF(AQ70="0",BJ70,0)</f>
        <v>0</v>
      </c>
      <c r="AI70" s="24"/>
      <c r="AJ70" s="14">
        <f>IF(AN70=0,K70,0)</f>
        <v>0</v>
      </c>
      <c r="AK70" s="14">
        <f>IF(AN70=15,K70,0)</f>
        <v>0</v>
      </c>
      <c r="AL70" s="14">
        <f>IF(AN70=21,K70,0)</f>
        <v>0</v>
      </c>
      <c r="AN70" s="28">
        <v>21</v>
      </c>
      <c r="AO70" s="28">
        <f>H70*0.323721881390593</f>
        <v>0</v>
      </c>
      <c r="AP70" s="28">
        <f>H70*(1-0.323721881390593)</f>
        <v>0</v>
      </c>
      <c r="AQ70" s="23" t="s">
        <v>8</v>
      </c>
      <c r="AV70" s="28">
        <f>AW70+AX70</f>
        <v>0</v>
      </c>
      <c r="AW70" s="28">
        <f>G70*AO70</f>
        <v>0</v>
      </c>
      <c r="AX70" s="28">
        <f>G70*AP70</f>
        <v>0</v>
      </c>
      <c r="AY70" s="29" t="s">
        <v>257</v>
      </c>
      <c r="AZ70" s="29" t="s">
        <v>271</v>
      </c>
      <c r="BA70" s="24" t="s">
        <v>274</v>
      </c>
      <c r="BC70" s="28">
        <f>AW70+AX70</f>
        <v>0</v>
      </c>
      <c r="BD70" s="28">
        <f>H70/(100-BE70)*100</f>
        <v>0</v>
      </c>
      <c r="BE70" s="28">
        <v>0</v>
      </c>
      <c r="BF70" s="28">
        <f>80</f>
        <v>80</v>
      </c>
      <c r="BH70" s="14">
        <f>G70*AO70</f>
        <v>0</v>
      </c>
      <c r="BI70" s="14">
        <f>G70*AP70</f>
        <v>0</v>
      </c>
      <c r="BJ70" s="14">
        <f>G70*H70</f>
        <v>0</v>
      </c>
    </row>
    <row r="71" spans="1:62" ht="12.75">
      <c r="A71" s="3" t="s">
        <v>40</v>
      </c>
      <c r="B71" s="3" t="s">
        <v>103</v>
      </c>
      <c r="C71" s="64" t="s">
        <v>192</v>
      </c>
      <c r="D71" s="65"/>
      <c r="E71" s="65"/>
      <c r="F71" s="3" t="s">
        <v>220</v>
      </c>
      <c r="G71" s="54">
        <v>1</v>
      </c>
      <c r="H71" s="14">
        <v>0</v>
      </c>
      <c r="I71" s="14">
        <f>G71*AO71</f>
        <v>0</v>
      </c>
      <c r="J71" s="14">
        <f>G71*AP71</f>
        <v>0</v>
      </c>
      <c r="K71" s="14">
        <f>G71*H71</f>
        <v>0</v>
      </c>
      <c r="L71" s="23" t="s">
        <v>232</v>
      </c>
      <c r="Z71" s="28">
        <f>IF(AQ71="5",BJ71,0)</f>
        <v>0</v>
      </c>
      <c r="AB71" s="28">
        <f>IF(AQ71="1",BH71,0)</f>
        <v>0</v>
      </c>
      <c r="AC71" s="28">
        <f>IF(AQ71="1",BI71,0)</f>
        <v>0</v>
      </c>
      <c r="AD71" s="28">
        <f>IF(AQ71="7",BH71,0)</f>
        <v>0</v>
      </c>
      <c r="AE71" s="28">
        <f>IF(AQ71="7",BI71,0)</f>
        <v>0</v>
      </c>
      <c r="AF71" s="28">
        <f>IF(AQ71="2",BH71,0)</f>
        <v>0</v>
      </c>
      <c r="AG71" s="28">
        <f>IF(AQ71="2",BI71,0)</f>
        <v>0</v>
      </c>
      <c r="AH71" s="28">
        <f>IF(AQ71="0",BJ71,0)</f>
        <v>0</v>
      </c>
      <c r="AI71" s="24"/>
      <c r="AJ71" s="14">
        <f>IF(AN71=0,K71,0)</f>
        <v>0</v>
      </c>
      <c r="AK71" s="14">
        <f>IF(AN71=15,K71,0)</f>
        <v>0</v>
      </c>
      <c r="AL71" s="14">
        <f>IF(AN71=21,K71,0)</f>
        <v>0</v>
      </c>
      <c r="AN71" s="28">
        <v>21</v>
      </c>
      <c r="AO71" s="28">
        <f>H71*0.914386617100372</f>
        <v>0</v>
      </c>
      <c r="AP71" s="28">
        <f>H71*(1-0.914386617100372)</f>
        <v>0</v>
      </c>
      <c r="AQ71" s="23" t="s">
        <v>8</v>
      </c>
      <c r="AV71" s="28">
        <f>AW71+AX71</f>
        <v>0</v>
      </c>
      <c r="AW71" s="28">
        <f>G71*AO71</f>
        <v>0</v>
      </c>
      <c r="AX71" s="28">
        <f>G71*AP71</f>
        <v>0</v>
      </c>
      <c r="AY71" s="29" t="s">
        <v>257</v>
      </c>
      <c r="AZ71" s="29" t="s">
        <v>271</v>
      </c>
      <c r="BA71" s="24" t="s">
        <v>274</v>
      </c>
      <c r="BC71" s="28">
        <f>AW71+AX71</f>
        <v>0</v>
      </c>
      <c r="BD71" s="28">
        <f>H71/(100-BE71)*100</f>
        <v>0</v>
      </c>
      <c r="BE71" s="28">
        <v>0</v>
      </c>
      <c r="BF71" s="28">
        <f>81</f>
        <v>81</v>
      </c>
      <c r="BH71" s="14">
        <f>G71*AO71</f>
        <v>0</v>
      </c>
      <c r="BI71" s="14">
        <f>G71*AP71</f>
        <v>0</v>
      </c>
      <c r="BJ71" s="14">
        <f>G71*H71</f>
        <v>0</v>
      </c>
    </row>
    <row r="72" spans="3:5" ht="12.75">
      <c r="C72" s="66" t="s">
        <v>193</v>
      </c>
      <c r="D72" s="67"/>
      <c r="E72" s="67"/>
    </row>
    <row r="73" spans="1:62" ht="12.75">
      <c r="A73" s="3" t="s">
        <v>41</v>
      </c>
      <c r="B73" s="3" t="s">
        <v>104</v>
      </c>
      <c r="C73" s="64" t="s">
        <v>194</v>
      </c>
      <c r="D73" s="65"/>
      <c r="E73" s="65"/>
      <c r="F73" s="3" t="s">
        <v>219</v>
      </c>
      <c r="G73" s="54">
        <v>0.159</v>
      </c>
      <c r="H73" s="14">
        <v>0</v>
      </c>
      <c r="I73" s="14">
        <f>G73*AO73</f>
        <v>0</v>
      </c>
      <c r="J73" s="14">
        <f>G73*AP73</f>
        <v>0</v>
      </c>
      <c r="K73" s="14">
        <f>G73*H73</f>
        <v>0</v>
      </c>
      <c r="L73" s="23" t="s">
        <v>232</v>
      </c>
      <c r="Z73" s="28">
        <f>IF(AQ73="5",BJ73,0)</f>
        <v>0</v>
      </c>
      <c r="AB73" s="28">
        <f>IF(AQ73="1",BH73,0)</f>
        <v>0</v>
      </c>
      <c r="AC73" s="28">
        <f>IF(AQ73="1",BI73,0)</f>
        <v>0</v>
      </c>
      <c r="AD73" s="28">
        <f>IF(AQ73="7",BH73,0)</f>
        <v>0</v>
      </c>
      <c r="AE73" s="28">
        <f>IF(AQ73="7",BI73,0)</f>
        <v>0</v>
      </c>
      <c r="AF73" s="28">
        <f>IF(AQ73="2",BH73,0)</f>
        <v>0</v>
      </c>
      <c r="AG73" s="28">
        <f>IF(AQ73="2",BI73,0)</f>
        <v>0</v>
      </c>
      <c r="AH73" s="28">
        <f>IF(AQ73="0",BJ73,0)</f>
        <v>0</v>
      </c>
      <c r="AI73" s="24"/>
      <c r="AJ73" s="14">
        <f>IF(AN73=0,K73,0)</f>
        <v>0</v>
      </c>
      <c r="AK73" s="14">
        <f>IF(AN73=15,K73,0)</f>
        <v>0</v>
      </c>
      <c r="AL73" s="14">
        <f>IF(AN73=21,K73,0)</f>
        <v>0</v>
      </c>
      <c r="AN73" s="28">
        <v>21</v>
      </c>
      <c r="AO73" s="28">
        <f>H73*0</f>
        <v>0</v>
      </c>
      <c r="AP73" s="28">
        <f>H73*(1-0)</f>
        <v>0</v>
      </c>
      <c r="AQ73" s="23" t="s">
        <v>6</v>
      </c>
      <c r="AV73" s="28">
        <f>AW73+AX73</f>
        <v>0</v>
      </c>
      <c r="AW73" s="28">
        <f>G73*AO73</f>
        <v>0</v>
      </c>
      <c r="AX73" s="28">
        <f>G73*AP73</f>
        <v>0</v>
      </c>
      <c r="AY73" s="29" t="s">
        <v>257</v>
      </c>
      <c r="AZ73" s="29" t="s">
        <v>271</v>
      </c>
      <c r="BA73" s="24" t="s">
        <v>274</v>
      </c>
      <c r="BC73" s="28">
        <f>AW73+AX73</f>
        <v>0</v>
      </c>
      <c r="BD73" s="28">
        <f>H73/(100-BE73)*100</f>
        <v>0</v>
      </c>
      <c r="BE73" s="28">
        <v>0</v>
      </c>
      <c r="BF73" s="28">
        <f>83</f>
        <v>83</v>
      </c>
      <c r="BH73" s="14">
        <f>G73*AO73</f>
        <v>0</v>
      </c>
      <c r="BI73" s="14">
        <f>G73*AP73</f>
        <v>0</v>
      </c>
      <c r="BJ73" s="14">
        <f>G73*H73</f>
        <v>0</v>
      </c>
    </row>
    <row r="74" spans="1:47" ht="12.75">
      <c r="A74" s="4"/>
      <c r="B74" s="11" t="s">
        <v>105</v>
      </c>
      <c r="C74" s="71" t="s">
        <v>195</v>
      </c>
      <c r="D74" s="72"/>
      <c r="E74" s="72"/>
      <c r="F74" s="4" t="s">
        <v>1</v>
      </c>
      <c r="G74" s="4" t="s">
        <v>1</v>
      </c>
      <c r="H74" s="4" t="s">
        <v>1</v>
      </c>
      <c r="I74" s="30">
        <f>SUM(I75:I77)</f>
        <v>0</v>
      </c>
      <c r="J74" s="30">
        <f>SUM(J75:J77)</f>
        <v>0</v>
      </c>
      <c r="K74" s="30">
        <f>SUM(K75:K77)</f>
        <v>0</v>
      </c>
      <c r="L74" s="24"/>
      <c r="AI74" s="24"/>
      <c r="AS74" s="30">
        <f>SUM(AJ75:AJ77)</f>
        <v>0</v>
      </c>
      <c r="AT74" s="30">
        <f>SUM(AK75:AK77)</f>
        <v>0</v>
      </c>
      <c r="AU74" s="30">
        <f>SUM(AL75:AL77)</f>
        <v>0</v>
      </c>
    </row>
    <row r="75" spans="1:62" ht="12.75">
      <c r="A75" s="3" t="s">
        <v>42</v>
      </c>
      <c r="B75" s="3" t="s">
        <v>106</v>
      </c>
      <c r="C75" s="64" t="s">
        <v>196</v>
      </c>
      <c r="D75" s="65"/>
      <c r="E75" s="65"/>
      <c r="F75" s="3" t="s">
        <v>217</v>
      </c>
      <c r="G75" s="54">
        <v>2.3</v>
      </c>
      <c r="H75" s="14">
        <v>0</v>
      </c>
      <c r="I75" s="14">
        <f>G75*AO75</f>
        <v>0</v>
      </c>
      <c r="J75" s="14">
        <f>G75*AP75</f>
        <v>0</v>
      </c>
      <c r="K75" s="14">
        <f>G75*H75</f>
        <v>0</v>
      </c>
      <c r="L75" s="23" t="s">
        <v>232</v>
      </c>
      <c r="Z75" s="28">
        <f>IF(AQ75="5",BJ75,0)</f>
        <v>0</v>
      </c>
      <c r="AB75" s="28">
        <f>IF(AQ75="1",BH75,0)</f>
        <v>0</v>
      </c>
      <c r="AC75" s="28">
        <f>IF(AQ75="1",BI75,0)</f>
        <v>0</v>
      </c>
      <c r="AD75" s="28">
        <f>IF(AQ75="7",BH75,0)</f>
        <v>0</v>
      </c>
      <c r="AE75" s="28">
        <f>IF(AQ75="7",BI75,0)</f>
        <v>0</v>
      </c>
      <c r="AF75" s="28">
        <f>IF(AQ75="2",BH75,0)</f>
        <v>0</v>
      </c>
      <c r="AG75" s="28">
        <f>IF(AQ75="2",BI75,0)</f>
        <v>0</v>
      </c>
      <c r="AH75" s="28">
        <f>IF(AQ75="0",BJ75,0)</f>
        <v>0</v>
      </c>
      <c r="AI75" s="24"/>
      <c r="AJ75" s="14">
        <f>IF(AN75=0,K75,0)</f>
        <v>0</v>
      </c>
      <c r="AK75" s="14">
        <f>IF(AN75=15,K75,0)</f>
        <v>0</v>
      </c>
      <c r="AL75" s="14">
        <f>IF(AN75=21,K75,0)</f>
        <v>0</v>
      </c>
      <c r="AN75" s="28">
        <v>21</v>
      </c>
      <c r="AO75" s="28">
        <f>H75*0.348710166919575</f>
        <v>0</v>
      </c>
      <c r="AP75" s="28">
        <f>H75*(1-0.348710166919575)</f>
        <v>0</v>
      </c>
      <c r="AQ75" s="23" t="s">
        <v>8</v>
      </c>
      <c r="AV75" s="28">
        <f>AW75+AX75</f>
        <v>0</v>
      </c>
      <c r="AW75" s="28">
        <f>G75*AO75</f>
        <v>0</v>
      </c>
      <c r="AX75" s="28">
        <f>G75*AP75</f>
        <v>0</v>
      </c>
      <c r="AY75" s="29" t="s">
        <v>258</v>
      </c>
      <c r="AZ75" s="29" t="s">
        <v>272</v>
      </c>
      <c r="BA75" s="24" t="s">
        <v>274</v>
      </c>
      <c r="BC75" s="28">
        <f>AW75+AX75</f>
        <v>0</v>
      </c>
      <c r="BD75" s="28">
        <f>H75/(100-BE75)*100</f>
        <v>0</v>
      </c>
      <c r="BE75" s="28">
        <v>0</v>
      </c>
      <c r="BF75" s="28">
        <f>85</f>
        <v>85</v>
      </c>
      <c r="BH75" s="14">
        <f>G75*AO75</f>
        <v>0</v>
      </c>
      <c r="BI75" s="14">
        <f>G75*AP75</f>
        <v>0</v>
      </c>
      <c r="BJ75" s="14">
        <f>G75*H75</f>
        <v>0</v>
      </c>
    </row>
    <row r="76" spans="1:62" ht="12.75">
      <c r="A76" s="3" t="s">
        <v>43</v>
      </c>
      <c r="B76" s="3" t="s">
        <v>107</v>
      </c>
      <c r="C76" s="64" t="s">
        <v>197</v>
      </c>
      <c r="D76" s="65"/>
      <c r="E76" s="65"/>
      <c r="F76" s="3" t="s">
        <v>217</v>
      </c>
      <c r="G76" s="54">
        <v>2.3</v>
      </c>
      <c r="H76" s="14">
        <v>0</v>
      </c>
      <c r="I76" s="14">
        <f>G76*AO76</f>
        <v>0</v>
      </c>
      <c r="J76" s="14">
        <f>G76*AP76</f>
        <v>0</v>
      </c>
      <c r="K76" s="14">
        <f>G76*H76</f>
        <v>0</v>
      </c>
      <c r="L76" s="23" t="s">
        <v>232</v>
      </c>
      <c r="Z76" s="28">
        <f>IF(AQ76="5",BJ76,0)</f>
        <v>0</v>
      </c>
      <c r="AB76" s="28">
        <f>IF(AQ76="1",BH76,0)</f>
        <v>0</v>
      </c>
      <c r="AC76" s="28">
        <f>IF(AQ76="1",BI76,0)</f>
        <v>0</v>
      </c>
      <c r="AD76" s="28">
        <f>IF(AQ76="7",BH76,0)</f>
        <v>0</v>
      </c>
      <c r="AE76" s="28">
        <f>IF(AQ76="7",BI76,0)</f>
        <v>0</v>
      </c>
      <c r="AF76" s="28">
        <f>IF(AQ76="2",BH76,0)</f>
        <v>0</v>
      </c>
      <c r="AG76" s="28">
        <f>IF(AQ76="2",BI76,0)</f>
        <v>0</v>
      </c>
      <c r="AH76" s="28">
        <f>IF(AQ76="0",BJ76,0)</f>
        <v>0</v>
      </c>
      <c r="AI76" s="24"/>
      <c r="AJ76" s="14">
        <f>IF(AN76=0,K76,0)</f>
        <v>0</v>
      </c>
      <c r="AK76" s="14">
        <f>IF(AN76=15,K76,0)</f>
        <v>0</v>
      </c>
      <c r="AL76" s="14">
        <f>IF(AN76=21,K76,0)</f>
        <v>0</v>
      </c>
      <c r="AN76" s="28">
        <v>21</v>
      </c>
      <c r="AO76" s="28">
        <f>H76*0.646030369531361</f>
        <v>0</v>
      </c>
      <c r="AP76" s="28">
        <f>H76*(1-0.646030369531361)</f>
        <v>0</v>
      </c>
      <c r="AQ76" s="23" t="s">
        <v>8</v>
      </c>
      <c r="AV76" s="28">
        <f>AW76+AX76</f>
        <v>0</v>
      </c>
      <c r="AW76" s="28">
        <f>G76*AO76</f>
        <v>0</v>
      </c>
      <c r="AX76" s="28">
        <f>G76*AP76</f>
        <v>0</v>
      </c>
      <c r="AY76" s="29" t="s">
        <v>258</v>
      </c>
      <c r="AZ76" s="29" t="s">
        <v>272</v>
      </c>
      <c r="BA76" s="24" t="s">
        <v>274</v>
      </c>
      <c r="BC76" s="28">
        <f>AW76+AX76</f>
        <v>0</v>
      </c>
      <c r="BD76" s="28">
        <f>H76/(100-BE76)*100</f>
        <v>0</v>
      </c>
      <c r="BE76" s="28">
        <v>0</v>
      </c>
      <c r="BF76" s="28">
        <f>86</f>
        <v>86</v>
      </c>
      <c r="BH76" s="14">
        <f>G76*AO76</f>
        <v>0</v>
      </c>
      <c r="BI76" s="14">
        <f>G76*AP76</f>
        <v>0</v>
      </c>
      <c r="BJ76" s="14">
        <f>G76*H76</f>
        <v>0</v>
      </c>
    </row>
    <row r="77" spans="1:62" ht="12.75">
      <c r="A77" s="3" t="s">
        <v>44</v>
      </c>
      <c r="B77" s="3" t="s">
        <v>108</v>
      </c>
      <c r="C77" s="64" t="s">
        <v>198</v>
      </c>
      <c r="D77" s="65"/>
      <c r="E77" s="65"/>
      <c r="F77" s="3" t="s">
        <v>219</v>
      </c>
      <c r="G77" s="54">
        <v>0.042</v>
      </c>
      <c r="H77" s="14">
        <v>0</v>
      </c>
      <c r="I77" s="14">
        <f>G77*AO77</f>
        <v>0</v>
      </c>
      <c r="J77" s="14">
        <f>G77*AP77</f>
        <v>0</v>
      </c>
      <c r="K77" s="14">
        <f>G77*H77</f>
        <v>0</v>
      </c>
      <c r="L77" s="23" t="s">
        <v>232</v>
      </c>
      <c r="Z77" s="28">
        <f>IF(AQ77="5",BJ77,0)</f>
        <v>0</v>
      </c>
      <c r="AB77" s="28">
        <f>IF(AQ77="1",BH77,0)</f>
        <v>0</v>
      </c>
      <c r="AC77" s="28">
        <f>IF(AQ77="1",BI77,0)</f>
        <v>0</v>
      </c>
      <c r="AD77" s="28">
        <f>IF(AQ77="7",BH77,0)</f>
        <v>0</v>
      </c>
      <c r="AE77" s="28">
        <f>IF(AQ77="7",BI77,0)</f>
        <v>0</v>
      </c>
      <c r="AF77" s="28">
        <f>IF(AQ77="2",BH77,0)</f>
        <v>0</v>
      </c>
      <c r="AG77" s="28">
        <f>IF(AQ77="2",BI77,0)</f>
        <v>0</v>
      </c>
      <c r="AH77" s="28">
        <f>IF(AQ77="0",BJ77,0)</f>
        <v>0</v>
      </c>
      <c r="AI77" s="24"/>
      <c r="AJ77" s="14">
        <f>IF(AN77=0,K77,0)</f>
        <v>0</v>
      </c>
      <c r="AK77" s="14">
        <f>IF(AN77=15,K77,0)</f>
        <v>0</v>
      </c>
      <c r="AL77" s="14">
        <f>IF(AN77=21,K77,0)</f>
        <v>0</v>
      </c>
      <c r="AN77" s="28">
        <v>21</v>
      </c>
      <c r="AO77" s="28">
        <f>H77*0</f>
        <v>0</v>
      </c>
      <c r="AP77" s="28">
        <f>H77*(1-0)</f>
        <v>0</v>
      </c>
      <c r="AQ77" s="23" t="s">
        <v>6</v>
      </c>
      <c r="AV77" s="28">
        <f>AW77+AX77</f>
        <v>0</v>
      </c>
      <c r="AW77" s="28">
        <f>G77*AO77</f>
        <v>0</v>
      </c>
      <c r="AX77" s="28">
        <f>G77*AP77</f>
        <v>0</v>
      </c>
      <c r="AY77" s="29" t="s">
        <v>258</v>
      </c>
      <c r="AZ77" s="29" t="s">
        <v>272</v>
      </c>
      <c r="BA77" s="24" t="s">
        <v>274</v>
      </c>
      <c r="BC77" s="28">
        <f>AW77+AX77</f>
        <v>0</v>
      </c>
      <c r="BD77" s="28">
        <f>H77/(100-BE77)*100</f>
        <v>0</v>
      </c>
      <c r="BE77" s="28">
        <v>0</v>
      </c>
      <c r="BF77" s="28">
        <f>87</f>
        <v>87</v>
      </c>
      <c r="BH77" s="14">
        <f>G77*AO77</f>
        <v>0</v>
      </c>
      <c r="BI77" s="14">
        <f>G77*AP77</f>
        <v>0</v>
      </c>
      <c r="BJ77" s="14">
        <f>G77*H77</f>
        <v>0</v>
      </c>
    </row>
    <row r="78" spans="1:47" ht="12.75">
      <c r="A78" s="4"/>
      <c r="B78" s="11" t="s">
        <v>109</v>
      </c>
      <c r="C78" s="71" t="s">
        <v>199</v>
      </c>
      <c r="D78" s="72"/>
      <c r="E78" s="72"/>
      <c r="F78" s="4" t="s">
        <v>1</v>
      </c>
      <c r="G78" s="4" t="s">
        <v>1</v>
      </c>
      <c r="H78" s="4" t="s">
        <v>1</v>
      </c>
      <c r="I78" s="30">
        <f>SUM(I79:I81)</f>
        <v>0</v>
      </c>
      <c r="J78" s="30">
        <f>SUM(J79:J81)</f>
        <v>0</v>
      </c>
      <c r="K78" s="30">
        <f>SUM(K79:K81)</f>
        <v>0</v>
      </c>
      <c r="L78" s="24"/>
      <c r="AI78" s="24"/>
      <c r="AS78" s="30">
        <f>SUM(AJ79:AJ81)</f>
        <v>0</v>
      </c>
      <c r="AT78" s="30">
        <f>SUM(AK79:AK81)</f>
        <v>0</v>
      </c>
      <c r="AU78" s="30">
        <f>SUM(AL79:AL81)</f>
        <v>0</v>
      </c>
    </row>
    <row r="79" spans="1:62" ht="12.75">
      <c r="A79" s="3" t="s">
        <v>45</v>
      </c>
      <c r="B79" s="3" t="s">
        <v>110</v>
      </c>
      <c r="C79" s="64" t="s">
        <v>200</v>
      </c>
      <c r="D79" s="65"/>
      <c r="E79" s="65"/>
      <c r="F79" s="3" t="s">
        <v>217</v>
      </c>
      <c r="G79" s="54">
        <v>2</v>
      </c>
      <c r="H79" s="14">
        <v>0</v>
      </c>
      <c r="I79" s="14">
        <f>G79*AO79</f>
        <v>0</v>
      </c>
      <c r="J79" s="14">
        <f>G79*AP79</f>
        <v>0</v>
      </c>
      <c r="K79" s="14">
        <f>G79*H79</f>
        <v>0</v>
      </c>
      <c r="L79" s="23" t="s">
        <v>232</v>
      </c>
      <c r="Z79" s="28">
        <f>IF(AQ79="5",BJ79,0)</f>
        <v>0</v>
      </c>
      <c r="AB79" s="28">
        <f>IF(AQ79="1",BH79,0)</f>
        <v>0</v>
      </c>
      <c r="AC79" s="28">
        <f>IF(AQ79="1",BI79,0)</f>
        <v>0</v>
      </c>
      <c r="AD79" s="28">
        <f>IF(AQ79="7",BH79,0)</f>
        <v>0</v>
      </c>
      <c r="AE79" s="28">
        <f>IF(AQ79="7",BI79,0)</f>
        <v>0</v>
      </c>
      <c r="AF79" s="28">
        <f>IF(AQ79="2",BH79,0)</f>
        <v>0</v>
      </c>
      <c r="AG79" s="28">
        <f>IF(AQ79="2",BI79,0)</f>
        <v>0</v>
      </c>
      <c r="AH79" s="28">
        <f>IF(AQ79="0",BJ79,0)</f>
        <v>0</v>
      </c>
      <c r="AI79" s="24"/>
      <c r="AJ79" s="14">
        <f>IF(AN79=0,K79,0)</f>
        <v>0</v>
      </c>
      <c r="AK79" s="14">
        <f>IF(AN79=15,K79,0)</f>
        <v>0</v>
      </c>
      <c r="AL79" s="14">
        <f>IF(AN79=21,K79,0)</f>
        <v>0</v>
      </c>
      <c r="AN79" s="28">
        <v>21</v>
      </c>
      <c r="AO79" s="28">
        <f>H79*0.688145833333333</f>
        <v>0</v>
      </c>
      <c r="AP79" s="28">
        <f>H79*(1-0.688145833333333)</f>
        <v>0</v>
      </c>
      <c r="AQ79" s="23" t="s">
        <v>8</v>
      </c>
      <c r="AV79" s="28">
        <f>AW79+AX79</f>
        <v>0</v>
      </c>
      <c r="AW79" s="28">
        <f>G79*AO79</f>
        <v>0</v>
      </c>
      <c r="AX79" s="28">
        <f>G79*AP79</f>
        <v>0</v>
      </c>
      <c r="AY79" s="29" t="s">
        <v>259</v>
      </c>
      <c r="AZ79" s="29" t="s">
        <v>273</v>
      </c>
      <c r="BA79" s="24" t="s">
        <v>274</v>
      </c>
      <c r="BC79" s="28">
        <f>AW79+AX79</f>
        <v>0</v>
      </c>
      <c r="BD79" s="28">
        <f>H79/(100-BE79)*100</f>
        <v>0</v>
      </c>
      <c r="BE79" s="28">
        <v>0</v>
      </c>
      <c r="BF79" s="28">
        <f>89</f>
        <v>89</v>
      </c>
      <c r="BH79" s="14">
        <f>G79*AO79</f>
        <v>0</v>
      </c>
      <c r="BI79" s="14">
        <f>G79*AP79</f>
        <v>0</v>
      </c>
      <c r="BJ79" s="14">
        <f>G79*H79</f>
        <v>0</v>
      </c>
    </row>
    <row r="80" spans="1:62" ht="12.75">
      <c r="A80" s="5" t="s">
        <v>46</v>
      </c>
      <c r="B80" s="5" t="s">
        <v>111</v>
      </c>
      <c r="C80" s="73" t="s">
        <v>201</v>
      </c>
      <c r="D80" s="74"/>
      <c r="E80" s="74"/>
      <c r="F80" s="5" t="s">
        <v>220</v>
      </c>
      <c r="G80" s="55">
        <v>2</v>
      </c>
      <c r="H80" s="15">
        <v>0</v>
      </c>
      <c r="I80" s="15">
        <f>G80*AO80</f>
        <v>0</v>
      </c>
      <c r="J80" s="15">
        <f>G80*AP80</f>
        <v>0</v>
      </c>
      <c r="K80" s="15">
        <f>G80*H80</f>
        <v>0</v>
      </c>
      <c r="L80" s="25" t="s">
        <v>232</v>
      </c>
      <c r="Z80" s="28">
        <f>IF(AQ80="5",BJ80,0)</f>
        <v>0</v>
      </c>
      <c r="AB80" s="28">
        <f>IF(AQ80="1",BH80,0)</f>
        <v>0</v>
      </c>
      <c r="AC80" s="28">
        <f>IF(AQ80="1",BI80,0)</f>
        <v>0</v>
      </c>
      <c r="AD80" s="28">
        <f>IF(AQ80="7",BH80,0)</f>
        <v>0</v>
      </c>
      <c r="AE80" s="28">
        <f>IF(AQ80="7",BI80,0)</f>
        <v>0</v>
      </c>
      <c r="AF80" s="28">
        <f>IF(AQ80="2",BH80,0)</f>
        <v>0</v>
      </c>
      <c r="AG80" s="28">
        <f>IF(AQ80="2",BI80,0)</f>
        <v>0</v>
      </c>
      <c r="AH80" s="28">
        <f>IF(AQ80="0",BJ80,0)</f>
        <v>0</v>
      </c>
      <c r="AI80" s="24"/>
      <c r="AJ80" s="15">
        <f>IF(AN80=0,K80,0)</f>
        <v>0</v>
      </c>
      <c r="AK80" s="15">
        <f>IF(AN80=15,K80,0)</f>
        <v>0</v>
      </c>
      <c r="AL80" s="15">
        <f>IF(AN80=21,K80,0)</f>
        <v>0</v>
      </c>
      <c r="AN80" s="28">
        <v>21</v>
      </c>
      <c r="AO80" s="28">
        <f>H80*1</f>
        <v>0</v>
      </c>
      <c r="AP80" s="28">
        <f>H80*(1-1)</f>
        <v>0</v>
      </c>
      <c r="AQ80" s="25" t="s">
        <v>8</v>
      </c>
      <c r="AV80" s="28">
        <f>AW80+AX80</f>
        <v>0</v>
      </c>
      <c r="AW80" s="28">
        <f>G80*AO80</f>
        <v>0</v>
      </c>
      <c r="AX80" s="28">
        <f>G80*AP80</f>
        <v>0</v>
      </c>
      <c r="AY80" s="29" t="s">
        <v>259</v>
      </c>
      <c r="AZ80" s="29" t="s">
        <v>273</v>
      </c>
      <c r="BA80" s="24" t="s">
        <v>274</v>
      </c>
      <c r="BC80" s="28">
        <f>AW80+AX80</f>
        <v>0</v>
      </c>
      <c r="BD80" s="28">
        <f>H80/(100-BE80)*100</f>
        <v>0</v>
      </c>
      <c r="BE80" s="28">
        <v>0</v>
      </c>
      <c r="BF80" s="28">
        <f>90</f>
        <v>90</v>
      </c>
      <c r="BH80" s="15">
        <f>G80*AO80</f>
        <v>0</v>
      </c>
      <c r="BI80" s="15">
        <f>G80*AP80</f>
        <v>0</v>
      </c>
      <c r="BJ80" s="15">
        <f>G80*H80</f>
        <v>0</v>
      </c>
    </row>
    <row r="81" spans="1:62" ht="12.75">
      <c r="A81" s="3" t="s">
        <v>47</v>
      </c>
      <c r="B81" s="3" t="s">
        <v>112</v>
      </c>
      <c r="C81" s="64" t="s">
        <v>202</v>
      </c>
      <c r="D81" s="65"/>
      <c r="E81" s="65"/>
      <c r="F81" s="3" t="s">
        <v>219</v>
      </c>
      <c r="G81" s="54">
        <v>0.005</v>
      </c>
      <c r="H81" s="14">
        <v>0</v>
      </c>
      <c r="I81" s="14">
        <f>G81*AO81</f>
        <v>0</v>
      </c>
      <c r="J81" s="14">
        <f>G81*AP81</f>
        <v>0</v>
      </c>
      <c r="K81" s="14">
        <f>G81*H81</f>
        <v>0</v>
      </c>
      <c r="L81" s="23" t="s">
        <v>232</v>
      </c>
      <c r="Z81" s="28">
        <f>IF(AQ81="5",BJ81,0)</f>
        <v>0</v>
      </c>
      <c r="AB81" s="28">
        <f>IF(AQ81="1",BH81,0)</f>
        <v>0</v>
      </c>
      <c r="AC81" s="28">
        <f>IF(AQ81="1",BI81,0)</f>
        <v>0</v>
      </c>
      <c r="AD81" s="28">
        <f>IF(AQ81="7",BH81,0)</f>
        <v>0</v>
      </c>
      <c r="AE81" s="28">
        <f>IF(AQ81="7",BI81,0)</f>
        <v>0</v>
      </c>
      <c r="AF81" s="28">
        <f>IF(AQ81="2",BH81,0)</f>
        <v>0</v>
      </c>
      <c r="AG81" s="28">
        <f>IF(AQ81="2",BI81,0)</f>
        <v>0</v>
      </c>
      <c r="AH81" s="28">
        <f>IF(AQ81="0",BJ81,0)</f>
        <v>0</v>
      </c>
      <c r="AI81" s="24"/>
      <c r="AJ81" s="14">
        <f>IF(AN81=0,K81,0)</f>
        <v>0</v>
      </c>
      <c r="AK81" s="14">
        <f>IF(AN81=15,K81,0)</f>
        <v>0</v>
      </c>
      <c r="AL81" s="14">
        <f>IF(AN81=21,K81,0)</f>
        <v>0</v>
      </c>
      <c r="AN81" s="28">
        <v>21</v>
      </c>
      <c r="AO81" s="28">
        <f>H81*0</f>
        <v>0</v>
      </c>
      <c r="AP81" s="28">
        <f>H81*(1-0)</f>
        <v>0</v>
      </c>
      <c r="AQ81" s="23" t="s">
        <v>6</v>
      </c>
      <c r="AV81" s="28">
        <f>AW81+AX81</f>
        <v>0</v>
      </c>
      <c r="AW81" s="28">
        <f>G81*AO81</f>
        <v>0</v>
      </c>
      <c r="AX81" s="28">
        <f>G81*AP81</f>
        <v>0</v>
      </c>
      <c r="AY81" s="29" t="s">
        <v>259</v>
      </c>
      <c r="AZ81" s="29" t="s">
        <v>273</v>
      </c>
      <c r="BA81" s="24" t="s">
        <v>274</v>
      </c>
      <c r="BC81" s="28">
        <f>AW81+AX81</f>
        <v>0</v>
      </c>
      <c r="BD81" s="28">
        <f>H81/(100-BE81)*100</f>
        <v>0</v>
      </c>
      <c r="BE81" s="28">
        <v>0</v>
      </c>
      <c r="BF81" s="28">
        <f>91</f>
        <v>91</v>
      </c>
      <c r="BH81" s="14">
        <f>G81*AO81</f>
        <v>0</v>
      </c>
      <c r="BI81" s="14">
        <f>G81*AP81</f>
        <v>0</v>
      </c>
      <c r="BJ81" s="14">
        <f>G81*H81</f>
        <v>0</v>
      </c>
    </row>
    <row r="82" spans="1:47" ht="12.75">
      <c r="A82" s="4"/>
      <c r="B82" s="11" t="s">
        <v>113</v>
      </c>
      <c r="C82" s="71" t="s">
        <v>203</v>
      </c>
      <c r="D82" s="72"/>
      <c r="E82" s="72"/>
      <c r="F82" s="4" t="s">
        <v>1</v>
      </c>
      <c r="G82" s="4" t="s">
        <v>1</v>
      </c>
      <c r="H82" s="4" t="s">
        <v>1</v>
      </c>
      <c r="I82" s="30">
        <f>SUM(I83:I85)</f>
        <v>0</v>
      </c>
      <c r="J82" s="30">
        <f>SUM(J83:J85)</f>
        <v>0</v>
      </c>
      <c r="K82" s="30">
        <f>SUM(K83:K85)</f>
        <v>0</v>
      </c>
      <c r="L82" s="24"/>
      <c r="AI82" s="24"/>
      <c r="AS82" s="30">
        <f>SUM(AJ83:AJ85)</f>
        <v>0</v>
      </c>
      <c r="AT82" s="30">
        <f>SUM(AK83:AK85)</f>
        <v>0</v>
      </c>
      <c r="AU82" s="30">
        <f>SUM(AL83:AL85)</f>
        <v>0</v>
      </c>
    </row>
    <row r="83" spans="1:62" ht="12.75">
      <c r="A83" s="3" t="s">
        <v>48</v>
      </c>
      <c r="B83" s="3" t="s">
        <v>114</v>
      </c>
      <c r="C83" s="64" t="s">
        <v>204</v>
      </c>
      <c r="D83" s="65"/>
      <c r="E83" s="65"/>
      <c r="F83" s="3" t="s">
        <v>220</v>
      </c>
      <c r="G83" s="54">
        <v>1</v>
      </c>
      <c r="H83" s="14">
        <v>0</v>
      </c>
      <c r="I83" s="14">
        <f>G83*AO83</f>
        <v>0</v>
      </c>
      <c r="J83" s="14">
        <f>G83*AP83</f>
        <v>0</v>
      </c>
      <c r="K83" s="14">
        <f>G83*H83</f>
        <v>0</v>
      </c>
      <c r="L83" s="23" t="s">
        <v>232</v>
      </c>
      <c r="Z83" s="28">
        <f>IF(AQ83="5",BJ83,0)</f>
        <v>0</v>
      </c>
      <c r="AB83" s="28">
        <f>IF(AQ83="1",BH83,0)</f>
        <v>0</v>
      </c>
      <c r="AC83" s="28">
        <f>IF(AQ83="1",BI83,0)</f>
        <v>0</v>
      </c>
      <c r="AD83" s="28">
        <f>IF(AQ83="7",BH83,0)</f>
        <v>0</v>
      </c>
      <c r="AE83" s="28">
        <f>IF(AQ83="7",BI83,0)</f>
        <v>0</v>
      </c>
      <c r="AF83" s="28">
        <f>IF(AQ83="2",BH83,0)</f>
        <v>0</v>
      </c>
      <c r="AG83" s="28">
        <f>IF(AQ83="2",BI83,0)</f>
        <v>0</v>
      </c>
      <c r="AH83" s="28">
        <f>IF(AQ83="0",BJ83,0)</f>
        <v>0</v>
      </c>
      <c r="AI83" s="24"/>
      <c r="AJ83" s="14">
        <f>IF(AN83=0,K83,0)</f>
        <v>0</v>
      </c>
      <c r="AK83" s="14">
        <f>IF(AN83=15,K83,0)</f>
        <v>0</v>
      </c>
      <c r="AL83" s="14">
        <f>IF(AN83=21,K83,0)</f>
        <v>0</v>
      </c>
      <c r="AN83" s="28">
        <v>21</v>
      </c>
      <c r="AO83" s="28">
        <f>H83*0.0992136191376927</f>
        <v>0</v>
      </c>
      <c r="AP83" s="28">
        <f>H83*(1-0.0992136191376927)</f>
        <v>0</v>
      </c>
      <c r="AQ83" s="23" t="s">
        <v>8</v>
      </c>
      <c r="AV83" s="28">
        <f>AW83+AX83</f>
        <v>0</v>
      </c>
      <c r="AW83" s="28">
        <f>G83*AO83</f>
        <v>0</v>
      </c>
      <c r="AX83" s="28">
        <f>G83*AP83</f>
        <v>0</v>
      </c>
      <c r="AY83" s="29" t="s">
        <v>260</v>
      </c>
      <c r="AZ83" s="29" t="s">
        <v>273</v>
      </c>
      <c r="BA83" s="24" t="s">
        <v>274</v>
      </c>
      <c r="BC83" s="28">
        <f>AW83+AX83</f>
        <v>0</v>
      </c>
      <c r="BD83" s="28">
        <f>H83/(100-BE83)*100</f>
        <v>0</v>
      </c>
      <c r="BE83" s="28">
        <v>0</v>
      </c>
      <c r="BF83" s="28">
        <f>93</f>
        <v>93</v>
      </c>
      <c r="BH83" s="14">
        <f>G83*AO83</f>
        <v>0</v>
      </c>
      <c r="BI83" s="14">
        <f>G83*AP83</f>
        <v>0</v>
      </c>
      <c r="BJ83" s="14">
        <f>G83*H83</f>
        <v>0</v>
      </c>
    </row>
    <row r="84" spans="1:62" ht="12.75">
      <c r="A84" s="5" t="s">
        <v>49</v>
      </c>
      <c r="B84" s="5" t="s">
        <v>115</v>
      </c>
      <c r="C84" s="73" t="s">
        <v>205</v>
      </c>
      <c r="D84" s="74"/>
      <c r="E84" s="74"/>
      <c r="F84" s="5" t="s">
        <v>220</v>
      </c>
      <c r="G84" s="55">
        <v>1</v>
      </c>
      <c r="H84" s="15">
        <v>0</v>
      </c>
      <c r="I84" s="15">
        <f>G84*AO84</f>
        <v>0</v>
      </c>
      <c r="J84" s="15">
        <f>G84*AP84</f>
        <v>0</v>
      </c>
      <c r="K84" s="15">
        <f>G84*H84</f>
        <v>0</v>
      </c>
      <c r="L84" s="25" t="s">
        <v>232</v>
      </c>
      <c r="Z84" s="28">
        <f>IF(AQ84="5",BJ84,0)</f>
        <v>0</v>
      </c>
      <c r="AB84" s="28">
        <f>IF(AQ84="1",BH84,0)</f>
        <v>0</v>
      </c>
      <c r="AC84" s="28">
        <f>IF(AQ84="1",BI84,0)</f>
        <v>0</v>
      </c>
      <c r="AD84" s="28">
        <f>IF(AQ84="7",BH84,0)</f>
        <v>0</v>
      </c>
      <c r="AE84" s="28">
        <f>IF(AQ84="7",BI84,0)</f>
        <v>0</v>
      </c>
      <c r="AF84" s="28">
        <f>IF(AQ84="2",BH84,0)</f>
        <v>0</v>
      </c>
      <c r="AG84" s="28">
        <f>IF(AQ84="2",BI84,0)</f>
        <v>0</v>
      </c>
      <c r="AH84" s="28">
        <f>IF(AQ84="0",BJ84,0)</f>
        <v>0</v>
      </c>
      <c r="AI84" s="24"/>
      <c r="AJ84" s="15">
        <f>IF(AN84=0,K84,0)</f>
        <v>0</v>
      </c>
      <c r="AK84" s="15">
        <f>IF(AN84=15,K84,0)</f>
        <v>0</v>
      </c>
      <c r="AL84" s="15">
        <f>IF(AN84=21,K84,0)</f>
        <v>0</v>
      </c>
      <c r="AN84" s="28">
        <v>21</v>
      </c>
      <c r="AO84" s="28">
        <f>H84*1</f>
        <v>0</v>
      </c>
      <c r="AP84" s="28">
        <f>H84*(1-1)</f>
        <v>0</v>
      </c>
      <c r="AQ84" s="25" t="s">
        <v>8</v>
      </c>
      <c r="AV84" s="28">
        <f>AW84+AX84</f>
        <v>0</v>
      </c>
      <c r="AW84" s="28">
        <f>G84*AO84</f>
        <v>0</v>
      </c>
      <c r="AX84" s="28">
        <f>G84*AP84</f>
        <v>0</v>
      </c>
      <c r="AY84" s="29" t="s">
        <v>260</v>
      </c>
      <c r="AZ84" s="29" t="s">
        <v>273</v>
      </c>
      <c r="BA84" s="24" t="s">
        <v>274</v>
      </c>
      <c r="BC84" s="28">
        <f>AW84+AX84</f>
        <v>0</v>
      </c>
      <c r="BD84" s="28">
        <f>H84/(100-BE84)*100</f>
        <v>0</v>
      </c>
      <c r="BE84" s="28">
        <v>0</v>
      </c>
      <c r="BF84" s="28">
        <f>94</f>
        <v>94</v>
      </c>
      <c r="BH84" s="15">
        <f>G84*AO84</f>
        <v>0</v>
      </c>
      <c r="BI84" s="15">
        <f>G84*AP84</f>
        <v>0</v>
      </c>
      <c r="BJ84" s="15">
        <f>G84*H84</f>
        <v>0</v>
      </c>
    </row>
    <row r="85" spans="1:62" ht="12.75">
      <c r="A85" s="3" t="s">
        <v>50</v>
      </c>
      <c r="B85" s="3" t="s">
        <v>116</v>
      </c>
      <c r="C85" s="64" t="s">
        <v>206</v>
      </c>
      <c r="D85" s="65"/>
      <c r="E85" s="65"/>
      <c r="F85" s="3" t="s">
        <v>219</v>
      </c>
      <c r="G85" s="54">
        <v>0.082</v>
      </c>
      <c r="H85" s="14">
        <v>0</v>
      </c>
      <c r="I85" s="14">
        <f>G85*AO85</f>
        <v>0</v>
      </c>
      <c r="J85" s="14">
        <f>G85*AP85</f>
        <v>0</v>
      </c>
      <c r="K85" s="14">
        <f>G85*H85</f>
        <v>0</v>
      </c>
      <c r="L85" s="23" t="s">
        <v>232</v>
      </c>
      <c r="Z85" s="28">
        <f>IF(AQ85="5",BJ85,0)</f>
        <v>0</v>
      </c>
      <c r="AB85" s="28">
        <f>IF(AQ85="1",BH85,0)</f>
        <v>0</v>
      </c>
      <c r="AC85" s="28">
        <f>IF(AQ85="1",BI85,0)</f>
        <v>0</v>
      </c>
      <c r="AD85" s="28">
        <f>IF(AQ85="7",BH85,0)</f>
        <v>0</v>
      </c>
      <c r="AE85" s="28">
        <f>IF(AQ85="7",BI85,0)</f>
        <v>0</v>
      </c>
      <c r="AF85" s="28">
        <f>IF(AQ85="2",BH85,0)</f>
        <v>0</v>
      </c>
      <c r="AG85" s="28">
        <f>IF(AQ85="2",BI85,0)</f>
        <v>0</v>
      </c>
      <c r="AH85" s="28">
        <f>IF(AQ85="0",BJ85,0)</f>
        <v>0</v>
      </c>
      <c r="AI85" s="24"/>
      <c r="AJ85" s="14">
        <f>IF(AN85=0,K85,0)</f>
        <v>0</v>
      </c>
      <c r="AK85" s="14">
        <f>IF(AN85=15,K85,0)</f>
        <v>0</v>
      </c>
      <c r="AL85" s="14">
        <f>IF(AN85=21,K85,0)</f>
        <v>0</v>
      </c>
      <c r="AN85" s="28">
        <v>21</v>
      </c>
      <c r="AO85" s="28">
        <f>H85*0</f>
        <v>0</v>
      </c>
      <c r="AP85" s="28">
        <f>H85*(1-0)</f>
        <v>0</v>
      </c>
      <c r="AQ85" s="23" t="s">
        <v>6</v>
      </c>
      <c r="AV85" s="28">
        <f>AW85+AX85</f>
        <v>0</v>
      </c>
      <c r="AW85" s="28">
        <f>G85*AO85</f>
        <v>0</v>
      </c>
      <c r="AX85" s="28">
        <f>G85*AP85</f>
        <v>0</v>
      </c>
      <c r="AY85" s="29" t="s">
        <v>260</v>
      </c>
      <c r="AZ85" s="29" t="s">
        <v>273</v>
      </c>
      <c r="BA85" s="24" t="s">
        <v>274</v>
      </c>
      <c r="BC85" s="28">
        <f>AW85+AX85</f>
        <v>0</v>
      </c>
      <c r="BD85" s="28">
        <f>H85/(100-BE85)*100</f>
        <v>0</v>
      </c>
      <c r="BE85" s="28">
        <v>0</v>
      </c>
      <c r="BF85" s="28">
        <f>95</f>
        <v>95</v>
      </c>
      <c r="BH85" s="14">
        <f>G85*AO85</f>
        <v>0</v>
      </c>
      <c r="BI85" s="14">
        <f>G85*AP85</f>
        <v>0</v>
      </c>
      <c r="BJ85" s="14">
        <f>G85*H85</f>
        <v>0</v>
      </c>
    </row>
    <row r="86" spans="1:47" ht="12.75">
      <c r="A86" s="4"/>
      <c r="B86" s="11" t="s">
        <v>117</v>
      </c>
      <c r="C86" s="71" t="s">
        <v>207</v>
      </c>
      <c r="D86" s="72"/>
      <c r="E86" s="72"/>
      <c r="F86" s="4" t="s">
        <v>1</v>
      </c>
      <c r="G86" s="4" t="s">
        <v>1</v>
      </c>
      <c r="H86" s="4" t="s">
        <v>1</v>
      </c>
      <c r="I86" s="30">
        <f>SUM(I87:I90)</f>
        <v>0</v>
      </c>
      <c r="J86" s="30">
        <f>SUM(J87:J90)</f>
        <v>0</v>
      </c>
      <c r="K86" s="30">
        <f>SUM(K87:K90)</f>
        <v>0</v>
      </c>
      <c r="L86" s="24"/>
      <c r="AI86" s="24"/>
      <c r="AS86" s="30">
        <f>SUM(AJ87:AJ90)</f>
        <v>0</v>
      </c>
      <c r="AT86" s="30">
        <f>SUM(AK87:AK90)</f>
        <v>0</v>
      </c>
      <c r="AU86" s="30">
        <f>SUM(AL87:AL90)</f>
        <v>0</v>
      </c>
    </row>
    <row r="87" spans="1:62" ht="12.75">
      <c r="A87" s="3" t="s">
        <v>51</v>
      </c>
      <c r="B87" s="3" t="s">
        <v>118</v>
      </c>
      <c r="C87" s="64" t="s">
        <v>208</v>
      </c>
      <c r="D87" s="65"/>
      <c r="E87" s="65"/>
      <c r="F87" s="3" t="s">
        <v>220</v>
      </c>
      <c r="G87" s="54">
        <v>1</v>
      </c>
      <c r="H87" s="14">
        <v>0</v>
      </c>
      <c r="I87" s="14">
        <f>G87*AO87</f>
        <v>0</v>
      </c>
      <c r="J87" s="14">
        <f>G87*AP87</f>
        <v>0</v>
      </c>
      <c r="K87" s="14">
        <f>G87*H87</f>
        <v>0</v>
      </c>
      <c r="L87" s="23" t="s">
        <v>232</v>
      </c>
      <c r="Z87" s="28">
        <f>IF(AQ87="5",BJ87,0)</f>
        <v>0</v>
      </c>
      <c r="AB87" s="28">
        <f>IF(AQ87="1",BH87,0)</f>
        <v>0</v>
      </c>
      <c r="AC87" s="28">
        <f>IF(AQ87="1",BI87,0)</f>
        <v>0</v>
      </c>
      <c r="AD87" s="28">
        <f>IF(AQ87="7",BH87,0)</f>
        <v>0</v>
      </c>
      <c r="AE87" s="28">
        <f>IF(AQ87="7",BI87,0)</f>
        <v>0</v>
      </c>
      <c r="AF87" s="28">
        <f>IF(AQ87="2",BH87,0)</f>
        <v>0</v>
      </c>
      <c r="AG87" s="28">
        <f>IF(AQ87="2",BI87,0)</f>
        <v>0</v>
      </c>
      <c r="AH87" s="28">
        <f>IF(AQ87="0",BJ87,0)</f>
        <v>0</v>
      </c>
      <c r="AI87" s="24"/>
      <c r="AJ87" s="14">
        <f>IF(AN87=0,K87,0)</f>
        <v>0</v>
      </c>
      <c r="AK87" s="14">
        <f>IF(AN87=15,K87,0)</f>
        <v>0</v>
      </c>
      <c r="AL87" s="14">
        <f>IF(AN87=21,K87,0)</f>
        <v>0</v>
      </c>
      <c r="AN87" s="28">
        <v>21</v>
      </c>
      <c r="AO87" s="28">
        <f>H87*0.0513236627379873</f>
        <v>0</v>
      </c>
      <c r="AP87" s="28">
        <f>H87*(1-0.0513236627379873)</f>
        <v>0</v>
      </c>
      <c r="AQ87" s="23" t="s">
        <v>8</v>
      </c>
      <c r="AV87" s="28">
        <f>AW87+AX87</f>
        <v>0</v>
      </c>
      <c r="AW87" s="28">
        <f>G87*AO87</f>
        <v>0</v>
      </c>
      <c r="AX87" s="28">
        <f>G87*AP87</f>
        <v>0</v>
      </c>
      <c r="AY87" s="29" t="s">
        <v>261</v>
      </c>
      <c r="AZ87" s="29" t="s">
        <v>273</v>
      </c>
      <c r="BA87" s="24" t="s">
        <v>274</v>
      </c>
      <c r="BC87" s="28">
        <f>AW87+AX87</f>
        <v>0</v>
      </c>
      <c r="BD87" s="28">
        <f>H87/(100-BE87)*100</f>
        <v>0</v>
      </c>
      <c r="BE87" s="28">
        <v>0</v>
      </c>
      <c r="BF87" s="28">
        <f>97</f>
        <v>97</v>
      </c>
      <c r="BH87" s="14">
        <f>G87*AO87</f>
        <v>0</v>
      </c>
      <c r="BI87" s="14">
        <f>G87*AP87</f>
        <v>0</v>
      </c>
      <c r="BJ87" s="14">
        <f>G87*H87</f>
        <v>0</v>
      </c>
    </row>
    <row r="88" spans="1:62" ht="12.75">
      <c r="A88" s="5" t="s">
        <v>52</v>
      </c>
      <c r="B88" s="5" t="s">
        <v>119</v>
      </c>
      <c r="C88" s="73" t="s">
        <v>209</v>
      </c>
      <c r="D88" s="74"/>
      <c r="E88" s="74"/>
      <c r="F88" s="5" t="s">
        <v>220</v>
      </c>
      <c r="G88" s="55">
        <v>1</v>
      </c>
      <c r="H88" s="15">
        <v>0</v>
      </c>
      <c r="I88" s="15">
        <f>G88*AO88</f>
        <v>0</v>
      </c>
      <c r="J88" s="15">
        <f>G88*AP88</f>
        <v>0</v>
      </c>
      <c r="K88" s="15">
        <f>G88*H88</f>
        <v>0</v>
      </c>
      <c r="L88" s="25" t="s">
        <v>232</v>
      </c>
      <c r="Z88" s="28">
        <f>IF(AQ88="5",BJ88,0)</f>
        <v>0</v>
      </c>
      <c r="AB88" s="28">
        <f>IF(AQ88="1",BH88,0)</f>
        <v>0</v>
      </c>
      <c r="AC88" s="28">
        <f>IF(AQ88="1",BI88,0)</f>
        <v>0</v>
      </c>
      <c r="AD88" s="28">
        <f>IF(AQ88="7",BH88,0)</f>
        <v>0</v>
      </c>
      <c r="AE88" s="28">
        <f>IF(AQ88="7",BI88,0)</f>
        <v>0</v>
      </c>
      <c r="AF88" s="28">
        <f>IF(AQ88="2",BH88,0)</f>
        <v>0</v>
      </c>
      <c r="AG88" s="28">
        <f>IF(AQ88="2",BI88,0)</f>
        <v>0</v>
      </c>
      <c r="AH88" s="28">
        <f>IF(AQ88="0",BJ88,0)</f>
        <v>0</v>
      </c>
      <c r="AI88" s="24"/>
      <c r="AJ88" s="15">
        <f>IF(AN88=0,K88,0)</f>
        <v>0</v>
      </c>
      <c r="AK88" s="15">
        <f>IF(AN88=15,K88,0)</f>
        <v>0</v>
      </c>
      <c r="AL88" s="15">
        <f>IF(AN88=21,K88,0)</f>
        <v>0</v>
      </c>
      <c r="AN88" s="28">
        <v>21</v>
      </c>
      <c r="AO88" s="28">
        <f>H88*1</f>
        <v>0</v>
      </c>
      <c r="AP88" s="28">
        <f>H88*(1-1)</f>
        <v>0</v>
      </c>
      <c r="AQ88" s="25" t="s">
        <v>8</v>
      </c>
      <c r="AV88" s="28">
        <f>AW88+AX88</f>
        <v>0</v>
      </c>
      <c r="AW88" s="28">
        <f>G88*AO88</f>
        <v>0</v>
      </c>
      <c r="AX88" s="28">
        <f>G88*AP88</f>
        <v>0</v>
      </c>
      <c r="AY88" s="29" t="s">
        <v>261</v>
      </c>
      <c r="AZ88" s="29" t="s">
        <v>273</v>
      </c>
      <c r="BA88" s="24" t="s">
        <v>274</v>
      </c>
      <c r="BC88" s="28">
        <f>AW88+AX88</f>
        <v>0</v>
      </c>
      <c r="BD88" s="28">
        <f>H88/(100-BE88)*100</f>
        <v>0</v>
      </c>
      <c r="BE88" s="28">
        <v>0</v>
      </c>
      <c r="BF88" s="28">
        <f>98</f>
        <v>98</v>
      </c>
      <c r="BH88" s="15">
        <f>G88*AO88</f>
        <v>0</v>
      </c>
      <c r="BI88" s="15">
        <f>G88*AP88</f>
        <v>0</v>
      </c>
      <c r="BJ88" s="15">
        <f>G88*H88</f>
        <v>0</v>
      </c>
    </row>
    <row r="89" spans="1:62" ht="12.75">
      <c r="A89" s="3" t="s">
        <v>53</v>
      </c>
      <c r="B89" s="3" t="s">
        <v>120</v>
      </c>
      <c r="C89" s="64" t="s">
        <v>210</v>
      </c>
      <c r="D89" s="65"/>
      <c r="E89" s="65"/>
      <c r="F89" s="3" t="s">
        <v>217</v>
      </c>
      <c r="G89" s="54">
        <v>11</v>
      </c>
      <c r="H89" s="14">
        <v>0</v>
      </c>
      <c r="I89" s="14">
        <f>G89*AO89</f>
        <v>0</v>
      </c>
      <c r="J89" s="14">
        <f>G89*AP89</f>
        <v>0</v>
      </c>
      <c r="K89" s="14">
        <f>G89*H89</f>
        <v>0</v>
      </c>
      <c r="L89" s="23" t="s">
        <v>232</v>
      </c>
      <c r="Z89" s="28">
        <f>IF(AQ89="5",BJ89,0)</f>
        <v>0</v>
      </c>
      <c r="AB89" s="28">
        <f>IF(AQ89="1",BH89,0)</f>
        <v>0</v>
      </c>
      <c r="AC89" s="28">
        <f>IF(AQ89="1",BI89,0)</f>
        <v>0</v>
      </c>
      <c r="AD89" s="28">
        <f>IF(AQ89="7",BH89,0)</f>
        <v>0</v>
      </c>
      <c r="AE89" s="28">
        <f>IF(AQ89="7",BI89,0)</f>
        <v>0</v>
      </c>
      <c r="AF89" s="28">
        <f>IF(AQ89="2",BH89,0)</f>
        <v>0</v>
      </c>
      <c r="AG89" s="28">
        <f>IF(AQ89="2",BI89,0)</f>
        <v>0</v>
      </c>
      <c r="AH89" s="28">
        <f>IF(AQ89="0",BJ89,0)</f>
        <v>0</v>
      </c>
      <c r="AI89" s="24"/>
      <c r="AJ89" s="14">
        <f>IF(AN89=0,K89,0)</f>
        <v>0</v>
      </c>
      <c r="AK89" s="14">
        <f>IF(AN89=15,K89,0)</f>
        <v>0</v>
      </c>
      <c r="AL89" s="14">
        <f>IF(AN89=21,K89,0)</f>
        <v>0</v>
      </c>
      <c r="AN89" s="28">
        <v>21</v>
      </c>
      <c r="AO89" s="28">
        <f>H89*0.721562999472808</f>
        <v>0</v>
      </c>
      <c r="AP89" s="28">
        <f>H89*(1-0.721562999472808)</f>
        <v>0</v>
      </c>
      <c r="AQ89" s="23" t="s">
        <v>8</v>
      </c>
      <c r="AV89" s="28">
        <f>AW89+AX89</f>
        <v>0</v>
      </c>
      <c r="AW89" s="28">
        <f>G89*AO89</f>
        <v>0</v>
      </c>
      <c r="AX89" s="28">
        <f>G89*AP89</f>
        <v>0</v>
      </c>
      <c r="AY89" s="29" t="s">
        <v>261</v>
      </c>
      <c r="AZ89" s="29" t="s">
        <v>273</v>
      </c>
      <c r="BA89" s="24" t="s">
        <v>274</v>
      </c>
      <c r="BC89" s="28">
        <f>AW89+AX89</f>
        <v>0</v>
      </c>
      <c r="BD89" s="28">
        <f>H89/(100-BE89)*100</f>
        <v>0</v>
      </c>
      <c r="BE89" s="28">
        <v>0</v>
      </c>
      <c r="BF89" s="28">
        <f>99</f>
        <v>99</v>
      </c>
      <c r="BH89" s="14">
        <f>G89*AO89</f>
        <v>0</v>
      </c>
      <c r="BI89" s="14">
        <f>G89*AP89</f>
        <v>0</v>
      </c>
      <c r="BJ89" s="14">
        <f>G89*H89</f>
        <v>0</v>
      </c>
    </row>
    <row r="90" spans="1:62" ht="12.75">
      <c r="A90" s="3" t="s">
        <v>54</v>
      </c>
      <c r="B90" s="3" t="s">
        <v>121</v>
      </c>
      <c r="C90" s="64" t="s">
        <v>211</v>
      </c>
      <c r="D90" s="65"/>
      <c r="E90" s="65"/>
      <c r="F90" s="3" t="s">
        <v>219</v>
      </c>
      <c r="G90" s="54">
        <v>0.308</v>
      </c>
      <c r="H90" s="14">
        <v>0</v>
      </c>
      <c r="I90" s="14">
        <f>G90*AO90</f>
        <v>0</v>
      </c>
      <c r="J90" s="14">
        <f>G90*AP90</f>
        <v>0</v>
      </c>
      <c r="K90" s="14">
        <f>G90*H90</f>
        <v>0</v>
      </c>
      <c r="L90" s="23" t="s">
        <v>232</v>
      </c>
      <c r="Z90" s="28">
        <f>IF(AQ90="5",BJ90,0)</f>
        <v>0</v>
      </c>
      <c r="AB90" s="28">
        <f>IF(AQ90="1",BH90,0)</f>
        <v>0</v>
      </c>
      <c r="AC90" s="28">
        <f>IF(AQ90="1",BI90,0)</f>
        <v>0</v>
      </c>
      <c r="AD90" s="28">
        <f>IF(AQ90="7",BH90,0)</f>
        <v>0</v>
      </c>
      <c r="AE90" s="28">
        <f>IF(AQ90="7",BI90,0)</f>
        <v>0</v>
      </c>
      <c r="AF90" s="28">
        <f>IF(AQ90="2",BH90,0)</f>
        <v>0</v>
      </c>
      <c r="AG90" s="28">
        <f>IF(AQ90="2",BI90,0)</f>
        <v>0</v>
      </c>
      <c r="AH90" s="28">
        <f>IF(AQ90="0",BJ90,0)</f>
        <v>0</v>
      </c>
      <c r="AI90" s="24"/>
      <c r="AJ90" s="14">
        <f>IF(AN90=0,K90,0)</f>
        <v>0</v>
      </c>
      <c r="AK90" s="14">
        <f>IF(AN90=15,K90,0)</f>
        <v>0</v>
      </c>
      <c r="AL90" s="14">
        <f>IF(AN90=21,K90,0)</f>
        <v>0</v>
      </c>
      <c r="AN90" s="28">
        <v>21</v>
      </c>
      <c r="AO90" s="28">
        <f>H90*0</f>
        <v>0</v>
      </c>
      <c r="AP90" s="28">
        <f>H90*(1-0)</f>
        <v>0</v>
      </c>
      <c r="AQ90" s="23" t="s">
        <v>6</v>
      </c>
      <c r="AV90" s="28">
        <f>AW90+AX90</f>
        <v>0</v>
      </c>
      <c r="AW90" s="28">
        <f>G90*AO90</f>
        <v>0</v>
      </c>
      <c r="AX90" s="28">
        <f>G90*AP90</f>
        <v>0</v>
      </c>
      <c r="AY90" s="29" t="s">
        <v>261</v>
      </c>
      <c r="AZ90" s="29" t="s">
        <v>273</v>
      </c>
      <c r="BA90" s="24" t="s">
        <v>274</v>
      </c>
      <c r="BC90" s="28">
        <f>AW90+AX90</f>
        <v>0</v>
      </c>
      <c r="BD90" s="28">
        <f>H90/(100-BE90)*100</f>
        <v>0</v>
      </c>
      <c r="BE90" s="28">
        <v>0</v>
      </c>
      <c r="BF90" s="28">
        <f>100</f>
        <v>100</v>
      </c>
      <c r="BH90" s="14">
        <f>G90*AO90</f>
        <v>0</v>
      </c>
      <c r="BI90" s="14">
        <f>G90*AP90</f>
        <v>0</v>
      </c>
      <c r="BJ90" s="14">
        <f>G90*H90</f>
        <v>0</v>
      </c>
    </row>
    <row r="91" spans="1:47" ht="12.75">
      <c r="A91" s="4"/>
      <c r="B91" s="11" t="s">
        <v>122</v>
      </c>
      <c r="C91" s="71" t="s">
        <v>212</v>
      </c>
      <c r="D91" s="72"/>
      <c r="E91" s="72"/>
      <c r="F91" s="4" t="s">
        <v>1</v>
      </c>
      <c r="G91" s="4" t="s">
        <v>1</v>
      </c>
      <c r="H91" s="4" t="s">
        <v>1</v>
      </c>
      <c r="I91" s="30">
        <f>SUM(I92:I92)</f>
        <v>0</v>
      </c>
      <c r="J91" s="30">
        <f>SUM(J92:J92)</f>
        <v>0</v>
      </c>
      <c r="K91" s="30">
        <f>SUM(K92:K92)</f>
        <v>0</v>
      </c>
      <c r="L91" s="24"/>
      <c r="AI91" s="24"/>
      <c r="AS91" s="30">
        <f>SUM(AJ92:AJ92)</f>
        <v>0</v>
      </c>
      <c r="AT91" s="30">
        <f>SUM(AK92:AK92)</f>
        <v>0</v>
      </c>
      <c r="AU91" s="30">
        <f>SUM(AL92:AL92)</f>
        <v>0</v>
      </c>
    </row>
    <row r="92" spans="1:62" ht="12.75">
      <c r="A92" s="3" t="s">
        <v>55</v>
      </c>
      <c r="B92" s="3" t="s">
        <v>123</v>
      </c>
      <c r="C92" s="64" t="s">
        <v>213</v>
      </c>
      <c r="D92" s="65"/>
      <c r="E92" s="65"/>
      <c r="F92" s="3" t="s">
        <v>221</v>
      </c>
      <c r="G92" s="54">
        <v>30</v>
      </c>
      <c r="H92" s="14">
        <v>0</v>
      </c>
      <c r="I92" s="14">
        <f>G92*AO92</f>
        <v>0</v>
      </c>
      <c r="J92" s="14">
        <f>G92*AP92</f>
        <v>0</v>
      </c>
      <c r="K92" s="14">
        <f>G92*H92</f>
        <v>0</v>
      </c>
      <c r="L92" s="23" t="s">
        <v>232</v>
      </c>
      <c r="Z92" s="28">
        <f>IF(AQ92="5",BJ92,0)</f>
        <v>0</v>
      </c>
      <c r="AB92" s="28">
        <f>IF(AQ92="1",BH92,0)</f>
        <v>0</v>
      </c>
      <c r="AC92" s="28">
        <f>IF(AQ92="1",BI92,0)</f>
        <v>0</v>
      </c>
      <c r="AD92" s="28">
        <f>IF(AQ92="7",BH92,0)</f>
        <v>0</v>
      </c>
      <c r="AE92" s="28">
        <f>IF(AQ92="7",BI92,0)</f>
        <v>0</v>
      </c>
      <c r="AF92" s="28">
        <f>IF(AQ92="2",BH92,0)</f>
        <v>0</v>
      </c>
      <c r="AG92" s="28">
        <f>IF(AQ92="2",BI92,0)</f>
        <v>0</v>
      </c>
      <c r="AH92" s="28">
        <f>IF(AQ92="0",BJ92,0)</f>
        <v>0</v>
      </c>
      <c r="AI92" s="24"/>
      <c r="AJ92" s="14">
        <f>IF(AN92=0,K92,0)</f>
        <v>0</v>
      </c>
      <c r="AK92" s="14">
        <f>IF(AN92=15,K92,0)</f>
        <v>0</v>
      </c>
      <c r="AL92" s="14">
        <f>IF(AN92=21,K92,0)</f>
        <v>0</v>
      </c>
      <c r="AN92" s="28">
        <v>21</v>
      </c>
      <c r="AO92" s="28">
        <f>H92*0</f>
        <v>0</v>
      </c>
      <c r="AP92" s="28">
        <f>H92*(1-0)</f>
        <v>0</v>
      </c>
      <c r="AQ92" s="23" t="s">
        <v>2</v>
      </c>
      <c r="AV92" s="28">
        <f>AW92+AX92</f>
        <v>0</v>
      </c>
      <c r="AW92" s="28">
        <f>G92*AO92</f>
        <v>0</v>
      </c>
      <c r="AX92" s="28">
        <f>G92*AP92</f>
        <v>0</v>
      </c>
      <c r="AY92" s="29" t="s">
        <v>262</v>
      </c>
      <c r="AZ92" s="29" t="s">
        <v>269</v>
      </c>
      <c r="BA92" s="24" t="s">
        <v>274</v>
      </c>
      <c r="BC92" s="28">
        <f>AW92+AX92</f>
        <v>0</v>
      </c>
      <c r="BD92" s="28">
        <f>H92/(100-BE92)*100</f>
        <v>0</v>
      </c>
      <c r="BE92" s="28">
        <v>0</v>
      </c>
      <c r="BF92" s="28">
        <f>102</f>
        <v>102</v>
      </c>
      <c r="BH92" s="14">
        <f>G92*AO92</f>
        <v>0</v>
      </c>
      <c r="BI92" s="14">
        <f>G92*AP92</f>
        <v>0</v>
      </c>
      <c r="BJ92" s="14">
        <f>G92*H92</f>
        <v>0</v>
      </c>
    </row>
    <row r="93" spans="1:12" ht="12.75">
      <c r="A93" s="6"/>
      <c r="B93" s="6"/>
      <c r="C93" s="75" t="s">
        <v>214</v>
      </c>
      <c r="D93" s="76"/>
      <c r="E93" s="76"/>
      <c r="F93" s="6"/>
      <c r="G93" s="6"/>
      <c r="H93" s="6"/>
      <c r="I93" s="6"/>
      <c r="J93" s="6"/>
      <c r="K93" s="6"/>
      <c r="L93" s="6"/>
    </row>
    <row r="94" spans="1:12" ht="12.75">
      <c r="A94" s="7"/>
      <c r="B94" s="7"/>
      <c r="C94" s="7"/>
      <c r="D94" s="7"/>
      <c r="E94" s="7"/>
      <c r="F94" s="7"/>
      <c r="G94" s="7"/>
      <c r="H94" s="7"/>
      <c r="I94" s="77" t="s">
        <v>227</v>
      </c>
      <c r="J94" s="78"/>
      <c r="K94" s="31">
        <f>K4+K9+K12+K18+K21+K27+K29+K32+K34+K37+K40+K43+K45+K54+K62+K67+K74+K78+K82+K86+K91</f>
        <v>0</v>
      </c>
      <c r="L94" s="7"/>
    </row>
    <row r="95" ht="11.25" customHeight="1">
      <c r="A95" s="8" t="s">
        <v>56</v>
      </c>
    </row>
    <row r="96" spans="1:12" ht="12.75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</sheetData>
  <sheetProtection/>
  <mergeCells count="96">
    <mergeCell ref="C93:E93"/>
    <mergeCell ref="I94:J94"/>
    <mergeCell ref="A96:L96"/>
    <mergeCell ref="C89:E89"/>
    <mergeCell ref="C90:E90"/>
    <mergeCell ref="C91:E91"/>
    <mergeCell ref="C92:E92"/>
    <mergeCell ref="C85:E85"/>
    <mergeCell ref="C86:E86"/>
    <mergeCell ref="C87:E87"/>
    <mergeCell ref="C88:E88"/>
    <mergeCell ref="C81:E81"/>
    <mergeCell ref="C82:E82"/>
    <mergeCell ref="C83:E83"/>
    <mergeCell ref="C84:E84"/>
    <mergeCell ref="C77:E77"/>
    <mergeCell ref="C78:E78"/>
    <mergeCell ref="C79:E79"/>
    <mergeCell ref="C80:E80"/>
    <mergeCell ref="C73:E73"/>
    <mergeCell ref="C74:E74"/>
    <mergeCell ref="C75:E75"/>
    <mergeCell ref="C76:E76"/>
    <mergeCell ref="C69:E69"/>
    <mergeCell ref="C70:E70"/>
    <mergeCell ref="C71:E71"/>
    <mergeCell ref="C72:E72"/>
    <mergeCell ref="C65:E65"/>
    <mergeCell ref="C66:E66"/>
    <mergeCell ref="C67:E67"/>
    <mergeCell ref="C68:E68"/>
    <mergeCell ref="C61:E61"/>
    <mergeCell ref="C62:E62"/>
    <mergeCell ref="C63:E63"/>
    <mergeCell ref="C64:E64"/>
    <mergeCell ref="C57:E57"/>
    <mergeCell ref="C58:E58"/>
    <mergeCell ref="C59:E59"/>
    <mergeCell ref="C60:E60"/>
    <mergeCell ref="C53:E53"/>
    <mergeCell ref="C54:E54"/>
    <mergeCell ref="C55:E55"/>
    <mergeCell ref="C56:E56"/>
    <mergeCell ref="C49:E49"/>
    <mergeCell ref="C50:E50"/>
    <mergeCell ref="C51:E51"/>
    <mergeCell ref="C52:E52"/>
    <mergeCell ref="C45:E45"/>
    <mergeCell ref="C46:E46"/>
    <mergeCell ref="C47:E47"/>
    <mergeCell ref="C48:E48"/>
    <mergeCell ref="C41:E41"/>
    <mergeCell ref="C42:E42"/>
    <mergeCell ref="C43:E43"/>
    <mergeCell ref="C44:E44"/>
    <mergeCell ref="C37:E37"/>
    <mergeCell ref="C38:E38"/>
    <mergeCell ref="C39:E39"/>
    <mergeCell ref="C40:E40"/>
    <mergeCell ref="C33:E33"/>
    <mergeCell ref="C34:E34"/>
    <mergeCell ref="C35:E35"/>
    <mergeCell ref="C36:E36"/>
    <mergeCell ref="C29:E29"/>
    <mergeCell ref="C30:E30"/>
    <mergeCell ref="C31:E31"/>
    <mergeCell ref="C32:E32"/>
    <mergeCell ref="C25:E25"/>
    <mergeCell ref="C26:E26"/>
    <mergeCell ref="C27:E27"/>
    <mergeCell ref="C28:E28"/>
    <mergeCell ref="C22:E22"/>
    <mergeCell ref="C23:E23"/>
    <mergeCell ref="C24:E24"/>
    <mergeCell ref="C17:E17"/>
    <mergeCell ref="C18:E18"/>
    <mergeCell ref="C19:E19"/>
    <mergeCell ref="C20:E20"/>
    <mergeCell ref="C16:E16"/>
    <mergeCell ref="C9:E9"/>
    <mergeCell ref="C10:E10"/>
    <mergeCell ref="C11:E11"/>
    <mergeCell ref="C12:E12"/>
    <mergeCell ref="C21:E21"/>
    <mergeCell ref="C8:E8"/>
    <mergeCell ref="C3:E3"/>
    <mergeCell ref="C4:E4"/>
    <mergeCell ref="C13:E13"/>
    <mergeCell ref="C14:E14"/>
    <mergeCell ref="C15:E15"/>
    <mergeCell ref="A1:L1"/>
    <mergeCell ref="C2:E2"/>
    <mergeCell ref="I2:K2"/>
    <mergeCell ref="C5:E5"/>
    <mergeCell ref="C6:E6"/>
    <mergeCell ref="C7:E7"/>
  </mergeCells>
  <printOptions/>
  <pageMargins left="0.394" right="0.394" top="0.591" bottom="0.591" header="0.5" footer="0.5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56" t="s">
        <v>325</v>
      </c>
      <c r="B1" s="57"/>
      <c r="C1" s="57"/>
      <c r="D1" s="57"/>
      <c r="E1" s="57"/>
      <c r="F1" s="57"/>
      <c r="G1" s="57"/>
    </row>
    <row r="2" spans="1:8" ht="12.75">
      <c r="A2" s="32" t="s">
        <v>278</v>
      </c>
      <c r="B2" s="33" t="s">
        <v>57</v>
      </c>
      <c r="C2" s="82" t="s">
        <v>279</v>
      </c>
      <c r="D2" s="83"/>
      <c r="E2" s="34" t="s">
        <v>280</v>
      </c>
      <c r="F2" s="34" t="s">
        <v>281</v>
      </c>
      <c r="G2" s="34" t="s">
        <v>282</v>
      </c>
      <c r="H2" s="26"/>
    </row>
    <row r="3" spans="1:9" ht="12.75">
      <c r="A3" s="12"/>
      <c r="B3" s="12" t="s">
        <v>14</v>
      </c>
      <c r="C3" s="81" t="s">
        <v>126</v>
      </c>
      <c r="D3" s="80"/>
      <c r="E3" s="28">
        <f>'Stavební rozpočet'!I4</f>
        <v>0</v>
      </c>
      <c r="F3" s="28">
        <f>'Stavební rozpočet'!J4</f>
        <v>0</v>
      </c>
      <c r="G3" s="28">
        <f>'Stavební rozpočet'!K4</f>
        <v>0</v>
      </c>
      <c r="H3" s="28" t="s">
        <v>283</v>
      </c>
      <c r="I3" s="28">
        <f aca="true" t="shared" si="0" ref="I3:I23">IF(H3="F",0,G3)</f>
        <v>0</v>
      </c>
    </row>
    <row r="4" spans="1:9" ht="12.75">
      <c r="A4" s="12"/>
      <c r="B4" s="12" t="s">
        <v>17</v>
      </c>
      <c r="C4" s="81" t="s">
        <v>130</v>
      </c>
      <c r="D4" s="80"/>
      <c r="E4" s="28">
        <f>'Stavební rozpočet'!I9</f>
        <v>0</v>
      </c>
      <c r="F4" s="28">
        <f>'Stavební rozpočet'!J9</f>
        <v>0</v>
      </c>
      <c r="G4" s="28">
        <f>'Stavební rozpočet'!K9</f>
        <v>0</v>
      </c>
      <c r="H4" s="28" t="s">
        <v>283</v>
      </c>
      <c r="I4" s="28">
        <f t="shared" si="0"/>
        <v>0</v>
      </c>
    </row>
    <row r="5" spans="1:9" ht="12.75">
      <c r="A5" s="12"/>
      <c r="B5" s="12" t="s">
        <v>18</v>
      </c>
      <c r="C5" s="81" t="s">
        <v>133</v>
      </c>
      <c r="D5" s="80"/>
      <c r="E5" s="28">
        <f>'Stavební rozpočet'!I12</f>
        <v>0</v>
      </c>
      <c r="F5" s="28">
        <f>'Stavební rozpočet'!J12</f>
        <v>0</v>
      </c>
      <c r="G5" s="28">
        <f>'Stavební rozpočet'!K12</f>
        <v>0</v>
      </c>
      <c r="H5" s="28" t="s">
        <v>283</v>
      </c>
      <c r="I5" s="28">
        <f t="shared" si="0"/>
        <v>0</v>
      </c>
    </row>
    <row r="6" spans="1:9" ht="12.75">
      <c r="A6" s="12"/>
      <c r="B6" s="12" t="s">
        <v>22</v>
      </c>
      <c r="C6" s="81" t="s">
        <v>139</v>
      </c>
      <c r="D6" s="80"/>
      <c r="E6" s="28">
        <f>'Stavební rozpočet'!I18</f>
        <v>0</v>
      </c>
      <c r="F6" s="28">
        <f>'Stavební rozpočet'!J18</f>
        <v>0</v>
      </c>
      <c r="G6" s="28">
        <f>'Stavební rozpočet'!K18</f>
        <v>0</v>
      </c>
      <c r="H6" s="28" t="s">
        <v>283</v>
      </c>
      <c r="I6" s="28">
        <f t="shared" si="0"/>
        <v>0</v>
      </c>
    </row>
    <row r="7" spans="1:9" ht="12.75">
      <c r="A7" s="12"/>
      <c r="B7" s="12" t="s">
        <v>28</v>
      </c>
      <c r="C7" s="81" t="s">
        <v>142</v>
      </c>
      <c r="D7" s="80"/>
      <c r="E7" s="28">
        <f>'Stavební rozpočet'!I21</f>
        <v>0</v>
      </c>
      <c r="F7" s="28">
        <f>'Stavební rozpočet'!J21</f>
        <v>0</v>
      </c>
      <c r="G7" s="28">
        <f>'Stavební rozpočet'!K21</f>
        <v>0</v>
      </c>
      <c r="H7" s="28" t="s">
        <v>283</v>
      </c>
      <c r="I7" s="28">
        <f t="shared" si="0"/>
        <v>0</v>
      </c>
    </row>
    <row r="8" spans="1:9" ht="12.75">
      <c r="A8" s="12"/>
      <c r="B8" s="12" t="s">
        <v>29</v>
      </c>
      <c r="C8" s="81" t="s">
        <v>148</v>
      </c>
      <c r="D8" s="80"/>
      <c r="E8" s="28">
        <f>'Stavební rozpočet'!I27</f>
        <v>0</v>
      </c>
      <c r="F8" s="28">
        <f>'Stavební rozpočet'!J27</f>
        <v>0</v>
      </c>
      <c r="G8" s="28">
        <f>'Stavební rozpočet'!K27</f>
        <v>0</v>
      </c>
      <c r="H8" s="28" t="s">
        <v>283</v>
      </c>
      <c r="I8" s="28">
        <f t="shared" si="0"/>
        <v>0</v>
      </c>
    </row>
    <row r="9" spans="1:9" ht="12.75">
      <c r="A9" s="12"/>
      <c r="B9" s="12" t="s">
        <v>34</v>
      </c>
      <c r="C9" s="81" t="s">
        <v>150</v>
      </c>
      <c r="D9" s="80"/>
      <c r="E9" s="28">
        <f>'Stavební rozpočet'!I29</f>
        <v>0</v>
      </c>
      <c r="F9" s="28">
        <f>'Stavební rozpočet'!J29</f>
        <v>0</v>
      </c>
      <c r="G9" s="28">
        <f>'Stavební rozpočet'!K29</f>
        <v>0</v>
      </c>
      <c r="H9" s="28" t="s">
        <v>283</v>
      </c>
      <c r="I9" s="28">
        <f t="shared" si="0"/>
        <v>0</v>
      </c>
    </row>
    <row r="10" spans="1:9" ht="12.75">
      <c r="A10" s="12"/>
      <c r="B10" s="12" t="s">
        <v>44</v>
      </c>
      <c r="C10" s="81" t="s">
        <v>153</v>
      </c>
      <c r="D10" s="80"/>
      <c r="E10" s="28">
        <f>'Stavební rozpočet'!I32</f>
        <v>0</v>
      </c>
      <c r="F10" s="28">
        <f>'Stavební rozpočet'!J32</f>
        <v>0</v>
      </c>
      <c r="G10" s="28">
        <f>'Stavební rozpočet'!K32</f>
        <v>0</v>
      </c>
      <c r="H10" s="28" t="s">
        <v>283</v>
      </c>
      <c r="I10" s="28">
        <f t="shared" si="0"/>
        <v>0</v>
      </c>
    </row>
    <row r="11" spans="1:9" ht="12.75">
      <c r="A11" s="12"/>
      <c r="B11" s="12" t="s">
        <v>73</v>
      </c>
      <c r="C11" s="81" t="s">
        <v>155</v>
      </c>
      <c r="D11" s="80"/>
      <c r="E11" s="28">
        <f>'Stavební rozpočet'!I34</f>
        <v>0</v>
      </c>
      <c r="F11" s="28">
        <f>'Stavební rozpočet'!J34</f>
        <v>0</v>
      </c>
      <c r="G11" s="28">
        <f>'Stavební rozpočet'!K34</f>
        <v>0</v>
      </c>
      <c r="H11" s="28" t="s">
        <v>283</v>
      </c>
      <c r="I11" s="28">
        <f t="shared" si="0"/>
        <v>0</v>
      </c>
    </row>
    <row r="12" spans="1:9" ht="12.75">
      <c r="A12" s="12"/>
      <c r="B12" s="12" t="s">
        <v>75</v>
      </c>
      <c r="C12" s="81" t="s">
        <v>158</v>
      </c>
      <c r="D12" s="80"/>
      <c r="E12" s="28">
        <f>'Stavební rozpočet'!I37</f>
        <v>0</v>
      </c>
      <c r="F12" s="28">
        <f>'Stavební rozpočet'!J37</f>
        <v>0</v>
      </c>
      <c r="G12" s="28">
        <f>'Stavební rozpočet'!K37</f>
        <v>0</v>
      </c>
      <c r="H12" s="28" t="s">
        <v>283</v>
      </c>
      <c r="I12" s="28">
        <f t="shared" si="0"/>
        <v>0</v>
      </c>
    </row>
    <row r="13" spans="1:9" ht="12.75">
      <c r="A13" s="12"/>
      <c r="B13" s="12" t="s">
        <v>77</v>
      </c>
      <c r="C13" s="81" t="s">
        <v>161</v>
      </c>
      <c r="D13" s="80"/>
      <c r="E13" s="28">
        <f>'Stavební rozpočet'!I40</f>
        <v>0</v>
      </c>
      <c r="F13" s="28">
        <f>'Stavební rozpočet'!J40</f>
        <v>0</v>
      </c>
      <c r="G13" s="28">
        <f>'Stavební rozpočet'!K40</f>
        <v>0</v>
      </c>
      <c r="H13" s="28" t="s">
        <v>283</v>
      </c>
      <c r="I13" s="28">
        <f t="shared" si="0"/>
        <v>0</v>
      </c>
    </row>
    <row r="14" spans="1:9" ht="12.75">
      <c r="A14" s="12"/>
      <c r="B14" s="12" t="s">
        <v>80</v>
      </c>
      <c r="C14" s="81" t="s">
        <v>164</v>
      </c>
      <c r="D14" s="80"/>
      <c r="E14" s="28">
        <f>'Stavební rozpočet'!I43</f>
        <v>0</v>
      </c>
      <c r="F14" s="28">
        <f>'Stavební rozpočet'!J43</f>
        <v>0</v>
      </c>
      <c r="G14" s="28">
        <f>'Stavební rozpočet'!K43</f>
        <v>0</v>
      </c>
      <c r="H14" s="28" t="s">
        <v>283</v>
      </c>
      <c r="I14" s="28">
        <f t="shared" si="0"/>
        <v>0</v>
      </c>
    </row>
    <row r="15" spans="1:9" ht="12.75">
      <c r="A15" s="12"/>
      <c r="B15" s="12" t="s">
        <v>82</v>
      </c>
      <c r="C15" s="81" t="s">
        <v>166</v>
      </c>
      <c r="D15" s="80"/>
      <c r="E15" s="28">
        <f>'Stavební rozpočet'!I45</f>
        <v>0</v>
      </c>
      <c r="F15" s="28">
        <f>'Stavební rozpočet'!J45</f>
        <v>0</v>
      </c>
      <c r="G15" s="28">
        <f>'Stavební rozpočet'!K45</f>
        <v>0</v>
      </c>
      <c r="H15" s="28" t="s">
        <v>283</v>
      </c>
      <c r="I15" s="28">
        <f t="shared" si="0"/>
        <v>0</v>
      </c>
    </row>
    <row r="16" spans="1:9" ht="12.75">
      <c r="A16" s="12"/>
      <c r="B16" s="12" t="s">
        <v>89</v>
      </c>
      <c r="C16" s="81" t="s">
        <v>175</v>
      </c>
      <c r="D16" s="80"/>
      <c r="E16" s="28">
        <f>'Stavební rozpočet'!I54</f>
        <v>0</v>
      </c>
      <c r="F16" s="28">
        <f>'Stavební rozpočet'!J54</f>
        <v>0</v>
      </c>
      <c r="G16" s="28">
        <f>'Stavební rozpočet'!K54</f>
        <v>0</v>
      </c>
      <c r="H16" s="28" t="s">
        <v>283</v>
      </c>
      <c r="I16" s="28">
        <f t="shared" si="0"/>
        <v>0</v>
      </c>
    </row>
    <row r="17" spans="1:9" ht="12.75">
      <c r="A17" s="12"/>
      <c r="B17" s="12" t="s">
        <v>96</v>
      </c>
      <c r="C17" s="81" t="s">
        <v>183</v>
      </c>
      <c r="D17" s="80"/>
      <c r="E17" s="28">
        <f>'Stavební rozpočet'!I62</f>
        <v>0</v>
      </c>
      <c r="F17" s="28">
        <f>'Stavební rozpočet'!J62</f>
        <v>0</v>
      </c>
      <c r="G17" s="28">
        <f>'Stavební rozpočet'!K62</f>
        <v>0</v>
      </c>
      <c r="H17" s="28" t="s">
        <v>283</v>
      </c>
      <c r="I17" s="28">
        <f t="shared" si="0"/>
        <v>0</v>
      </c>
    </row>
    <row r="18" spans="1:9" ht="12.75">
      <c r="A18" s="12"/>
      <c r="B18" s="12" t="s">
        <v>100</v>
      </c>
      <c r="C18" s="81" t="s">
        <v>188</v>
      </c>
      <c r="D18" s="80"/>
      <c r="E18" s="28">
        <f>'Stavební rozpočet'!I67</f>
        <v>0</v>
      </c>
      <c r="F18" s="28">
        <f>'Stavební rozpočet'!J67</f>
        <v>0</v>
      </c>
      <c r="G18" s="28">
        <f>'Stavební rozpočet'!K67</f>
        <v>0</v>
      </c>
      <c r="H18" s="28" t="s">
        <v>283</v>
      </c>
      <c r="I18" s="28">
        <f t="shared" si="0"/>
        <v>0</v>
      </c>
    </row>
    <row r="19" spans="1:9" ht="12.75">
      <c r="A19" s="12"/>
      <c r="B19" s="12" t="s">
        <v>105</v>
      </c>
      <c r="C19" s="81" t="s">
        <v>195</v>
      </c>
      <c r="D19" s="80"/>
      <c r="E19" s="28">
        <f>'Stavební rozpočet'!I74</f>
        <v>0</v>
      </c>
      <c r="F19" s="28">
        <f>'Stavební rozpočet'!J74</f>
        <v>0</v>
      </c>
      <c r="G19" s="28">
        <f>'Stavební rozpočet'!K74</f>
        <v>0</v>
      </c>
      <c r="H19" s="28" t="s">
        <v>283</v>
      </c>
      <c r="I19" s="28">
        <f t="shared" si="0"/>
        <v>0</v>
      </c>
    </row>
    <row r="20" spans="1:9" ht="12.75">
      <c r="A20" s="12"/>
      <c r="B20" s="12" t="s">
        <v>109</v>
      </c>
      <c r="C20" s="81" t="s">
        <v>199</v>
      </c>
      <c r="D20" s="80"/>
      <c r="E20" s="28">
        <f>'Stavební rozpočet'!I78</f>
        <v>0</v>
      </c>
      <c r="F20" s="28">
        <f>'Stavební rozpočet'!J78</f>
        <v>0</v>
      </c>
      <c r="G20" s="28">
        <f>'Stavební rozpočet'!K78</f>
        <v>0</v>
      </c>
      <c r="H20" s="28" t="s">
        <v>283</v>
      </c>
      <c r="I20" s="28">
        <f t="shared" si="0"/>
        <v>0</v>
      </c>
    </row>
    <row r="21" spans="1:9" ht="12.75">
      <c r="A21" s="12"/>
      <c r="B21" s="12" t="s">
        <v>113</v>
      </c>
      <c r="C21" s="81" t="s">
        <v>203</v>
      </c>
      <c r="D21" s="80"/>
      <c r="E21" s="28">
        <f>'Stavební rozpočet'!I82</f>
        <v>0</v>
      </c>
      <c r="F21" s="28">
        <f>'Stavební rozpočet'!J82</f>
        <v>0</v>
      </c>
      <c r="G21" s="28">
        <f>'Stavební rozpočet'!K82</f>
        <v>0</v>
      </c>
      <c r="H21" s="28" t="s">
        <v>283</v>
      </c>
      <c r="I21" s="28">
        <f t="shared" si="0"/>
        <v>0</v>
      </c>
    </row>
    <row r="22" spans="1:9" ht="12.75">
      <c r="A22" s="12"/>
      <c r="B22" s="12" t="s">
        <v>117</v>
      </c>
      <c r="C22" s="81" t="s">
        <v>207</v>
      </c>
      <c r="D22" s="80"/>
      <c r="E22" s="28">
        <f>'Stavební rozpočet'!I86</f>
        <v>0</v>
      </c>
      <c r="F22" s="28">
        <f>'Stavební rozpočet'!J86</f>
        <v>0</v>
      </c>
      <c r="G22" s="28">
        <f>'Stavební rozpočet'!K86</f>
        <v>0</v>
      </c>
      <c r="H22" s="28" t="s">
        <v>283</v>
      </c>
      <c r="I22" s="28">
        <f t="shared" si="0"/>
        <v>0</v>
      </c>
    </row>
    <row r="23" spans="1:9" ht="12.75">
      <c r="A23" s="12"/>
      <c r="B23" s="12" t="s">
        <v>122</v>
      </c>
      <c r="C23" s="81" t="s">
        <v>212</v>
      </c>
      <c r="D23" s="80"/>
      <c r="E23" s="28">
        <f>'Stavební rozpočet'!I91</f>
        <v>0</v>
      </c>
      <c r="F23" s="28">
        <f>'Stavební rozpočet'!J91</f>
        <v>0</v>
      </c>
      <c r="G23" s="28">
        <f>'Stavební rozpočet'!K91</f>
        <v>0</v>
      </c>
      <c r="H23" s="28" t="s">
        <v>283</v>
      </c>
      <c r="I23" s="28">
        <f t="shared" si="0"/>
        <v>0</v>
      </c>
    </row>
    <row r="25" spans="6:7" ht="12.75">
      <c r="F25" s="35" t="s">
        <v>227</v>
      </c>
      <c r="G25" s="36">
        <f>SUM(I3:I23)</f>
        <v>0</v>
      </c>
    </row>
  </sheetData>
  <sheetProtection/>
  <mergeCells count="23">
    <mergeCell ref="C21:D21"/>
    <mergeCell ref="C22:D22"/>
    <mergeCell ref="C23:D23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A1:G1"/>
    <mergeCell ref="C5:D5"/>
    <mergeCell ref="C6:D6"/>
    <mergeCell ref="C7:D7"/>
    <mergeCell ref="C8:D8"/>
    <mergeCell ref="C2:D2"/>
    <mergeCell ref="C3:D3"/>
    <mergeCell ref="C4:D4"/>
  </mergeCells>
  <printOptions/>
  <pageMargins left="0.394" right="0.394" top="0.591" bottom="0.591" header="0.5" footer="0.5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3"/>
      <c r="B1" s="6"/>
      <c r="C1" s="84" t="s">
        <v>326</v>
      </c>
      <c r="D1" s="57"/>
      <c r="E1" s="57"/>
      <c r="F1" s="57"/>
      <c r="G1" s="57"/>
      <c r="H1" s="57"/>
      <c r="I1" s="57"/>
    </row>
    <row r="2" spans="1:9" ht="23.25" customHeight="1">
      <c r="A2" s="87" t="s">
        <v>284</v>
      </c>
      <c r="B2" s="88"/>
      <c r="C2" s="88"/>
      <c r="D2" s="88"/>
      <c r="E2" s="88"/>
      <c r="F2" s="88"/>
      <c r="G2" s="88"/>
      <c r="H2" s="88"/>
      <c r="I2" s="88"/>
    </row>
    <row r="3" spans="1:10" ht="26.25" customHeight="1">
      <c r="A3" s="37" t="s">
        <v>285</v>
      </c>
      <c r="B3" s="89" t="s">
        <v>297</v>
      </c>
      <c r="C3" s="90"/>
      <c r="D3" s="37" t="s">
        <v>299</v>
      </c>
      <c r="E3" s="89" t="s">
        <v>308</v>
      </c>
      <c r="F3" s="90"/>
      <c r="G3" s="37" t="s">
        <v>309</v>
      </c>
      <c r="H3" s="89" t="s">
        <v>323</v>
      </c>
      <c r="I3" s="90"/>
      <c r="J3" s="26"/>
    </row>
    <row r="4" spans="1:10" ht="15" customHeight="1">
      <c r="A4" s="38" t="s">
        <v>286</v>
      </c>
      <c r="B4" s="42" t="s">
        <v>298</v>
      </c>
      <c r="C4" s="46">
        <f>SUM('Stavební rozpočet'!AB4:AB93)</f>
        <v>0</v>
      </c>
      <c r="D4" s="85" t="s">
        <v>300</v>
      </c>
      <c r="E4" s="86"/>
      <c r="F4" s="46">
        <v>0</v>
      </c>
      <c r="G4" s="85" t="s">
        <v>310</v>
      </c>
      <c r="H4" s="86"/>
      <c r="I4" s="46">
        <v>0</v>
      </c>
      <c r="J4" s="26"/>
    </row>
    <row r="5" spans="1:10" ht="15" customHeight="1">
      <c r="A5" s="39"/>
      <c r="B5" s="42" t="s">
        <v>228</v>
      </c>
      <c r="C5" s="46">
        <f>SUM('Stavební rozpočet'!AC4:AC93)</f>
        <v>0</v>
      </c>
      <c r="D5" s="85" t="s">
        <v>301</v>
      </c>
      <c r="E5" s="86"/>
      <c r="F5" s="46">
        <v>0</v>
      </c>
      <c r="G5" s="85" t="s">
        <v>311</v>
      </c>
      <c r="H5" s="86"/>
      <c r="I5" s="46">
        <v>0</v>
      </c>
      <c r="J5" s="26"/>
    </row>
    <row r="6" spans="1:10" ht="15" customHeight="1">
      <c r="A6" s="38" t="s">
        <v>287</v>
      </c>
      <c r="B6" s="42" t="s">
        <v>298</v>
      </c>
      <c r="C6" s="46">
        <f>SUM('Stavební rozpočet'!AD4:AD93)</f>
        <v>0</v>
      </c>
      <c r="D6" s="85" t="s">
        <v>302</v>
      </c>
      <c r="E6" s="86"/>
      <c r="F6" s="46">
        <v>0</v>
      </c>
      <c r="G6" s="85" t="s">
        <v>312</v>
      </c>
      <c r="H6" s="86"/>
      <c r="I6" s="46">
        <v>0</v>
      </c>
      <c r="J6" s="26"/>
    </row>
    <row r="7" spans="1:10" ht="15" customHeight="1">
      <c r="A7" s="39"/>
      <c r="B7" s="42" t="s">
        <v>228</v>
      </c>
      <c r="C7" s="46">
        <f>SUM('Stavební rozpočet'!AE4:AE93)</f>
        <v>0</v>
      </c>
      <c r="D7" s="85"/>
      <c r="E7" s="86"/>
      <c r="F7" s="47"/>
      <c r="G7" s="85" t="s">
        <v>313</v>
      </c>
      <c r="H7" s="86"/>
      <c r="I7" s="46">
        <v>0</v>
      </c>
      <c r="J7" s="26"/>
    </row>
    <row r="8" spans="1:10" ht="15" customHeight="1">
      <c r="A8" s="38" t="s">
        <v>288</v>
      </c>
      <c r="B8" s="42" t="s">
        <v>298</v>
      </c>
      <c r="C8" s="46">
        <f>SUM('Stavební rozpočet'!AF4:AF93)</f>
        <v>0</v>
      </c>
      <c r="D8" s="85"/>
      <c r="E8" s="86"/>
      <c r="F8" s="47"/>
      <c r="G8" s="85" t="s">
        <v>314</v>
      </c>
      <c r="H8" s="86"/>
      <c r="I8" s="46">
        <v>0</v>
      </c>
      <c r="J8" s="26"/>
    </row>
    <row r="9" spans="1:10" ht="15" customHeight="1">
      <c r="A9" s="39"/>
      <c r="B9" s="42" t="s">
        <v>228</v>
      </c>
      <c r="C9" s="46">
        <f>SUM('Stavební rozpočet'!AG4:AG93)</f>
        <v>0</v>
      </c>
      <c r="D9" s="85"/>
      <c r="E9" s="86"/>
      <c r="F9" s="47"/>
      <c r="G9" s="85" t="s">
        <v>315</v>
      </c>
      <c r="H9" s="86"/>
      <c r="I9" s="46">
        <v>0</v>
      </c>
      <c r="J9" s="26"/>
    </row>
    <row r="10" spans="1:10" ht="15" customHeight="1">
      <c r="A10" s="91" t="s">
        <v>289</v>
      </c>
      <c r="B10" s="92"/>
      <c r="C10" s="46">
        <f>SUM('Stavební rozpočet'!AH4:AH93)</f>
        <v>0</v>
      </c>
      <c r="D10" s="85"/>
      <c r="E10" s="86"/>
      <c r="F10" s="47"/>
      <c r="G10" s="85"/>
      <c r="H10" s="86"/>
      <c r="I10" s="47"/>
      <c r="J10" s="26"/>
    </row>
    <row r="11" spans="1:10" ht="15" customHeight="1">
      <c r="A11" s="91" t="s">
        <v>290</v>
      </c>
      <c r="B11" s="92"/>
      <c r="C11" s="46">
        <f>SUM('Stavební rozpočet'!Z4:Z93)</f>
        <v>0</v>
      </c>
      <c r="D11" s="85"/>
      <c r="E11" s="86"/>
      <c r="F11" s="47"/>
      <c r="G11" s="85"/>
      <c r="H11" s="86"/>
      <c r="I11" s="47"/>
      <c r="J11" s="26"/>
    </row>
    <row r="12" spans="1:10" ht="16.5" customHeight="1">
      <c r="A12" s="91" t="s">
        <v>291</v>
      </c>
      <c r="B12" s="92"/>
      <c r="C12" s="46">
        <f>SUM(C4:C11)</f>
        <v>0</v>
      </c>
      <c r="D12" s="91" t="s">
        <v>303</v>
      </c>
      <c r="E12" s="92"/>
      <c r="F12" s="46">
        <f>SUM(F4:F11)</f>
        <v>0</v>
      </c>
      <c r="G12" s="91" t="s">
        <v>316</v>
      </c>
      <c r="H12" s="92"/>
      <c r="I12" s="46">
        <f>ROUND(C12*(5/100),2)</f>
        <v>0</v>
      </c>
      <c r="J12" s="26"/>
    </row>
    <row r="13" spans="1:10" ht="15" customHeight="1">
      <c r="A13" s="7"/>
      <c r="B13" s="7"/>
      <c r="C13" s="44"/>
      <c r="D13" s="91" t="s">
        <v>304</v>
      </c>
      <c r="E13" s="92"/>
      <c r="F13" s="48">
        <v>0</v>
      </c>
      <c r="G13" s="91" t="s">
        <v>317</v>
      </c>
      <c r="H13" s="92"/>
      <c r="I13" s="46">
        <v>0</v>
      </c>
      <c r="J13" s="26"/>
    </row>
    <row r="14" spans="4:9" ht="15" customHeight="1">
      <c r="D14" s="7"/>
      <c r="E14" s="7"/>
      <c r="F14" s="49"/>
      <c r="G14" s="91" t="s">
        <v>318</v>
      </c>
      <c r="H14" s="92"/>
      <c r="I14" s="51"/>
    </row>
    <row r="15" spans="6:10" ht="15" customHeight="1">
      <c r="F15" s="50"/>
      <c r="G15" s="91" t="s">
        <v>319</v>
      </c>
      <c r="H15" s="92"/>
      <c r="I15" s="46">
        <v>0</v>
      </c>
      <c r="J15" s="26"/>
    </row>
    <row r="16" spans="1:9" ht="12.75">
      <c r="A16" s="6"/>
      <c r="B16" s="6"/>
      <c r="C16" s="6"/>
      <c r="G16" s="7"/>
      <c r="H16" s="7"/>
      <c r="I16" s="7"/>
    </row>
    <row r="17" spans="1:9" ht="15" customHeight="1">
      <c r="A17" s="93" t="s">
        <v>292</v>
      </c>
      <c r="B17" s="94"/>
      <c r="C17" s="52">
        <f>SUM('Stavební rozpočet'!AJ4:AJ93)</f>
        <v>0</v>
      </c>
      <c r="D17" s="45"/>
      <c r="E17" s="6"/>
      <c r="F17" s="6"/>
      <c r="G17" s="6"/>
      <c r="H17" s="6"/>
      <c r="I17" s="6"/>
    </row>
    <row r="18" spans="1:10" ht="15" customHeight="1">
      <c r="A18" s="93" t="s">
        <v>293</v>
      </c>
      <c r="B18" s="94"/>
      <c r="C18" s="52">
        <f>SUM('Stavební rozpočet'!AK4:AK93)</f>
        <v>0</v>
      </c>
      <c r="D18" s="93" t="s">
        <v>305</v>
      </c>
      <c r="E18" s="94"/>
      <c r="F18" s="52">
        <f>ROUND(C18*(15/100),2)</f>
        <v>0</v>
      </c>
      <c r="G18" s="93" t="s">
        <v>320</v>
      </c>
      <c r="H18" s="94"/>
      <c r="I18" s="52">
        <f>SUM(C17:C19)</f>
        <v>0</v>
      </c>
      <c r="J18" s="26"/>
    </row>
    <row r="19" spans="1:10" ht="15" customHeight="1">
      <c r="A19" s="93" t="s">
        <v>294</v>
      </c>
      <c r="B19" s="94"/>
      <c r="C19" s="52">
        <f>SUM('Stavební rozpočet'!AL4:AL93)+(F12+I12+F13+I13+I14+I15)</f>
        <v>0</v>
      </c>
      <c r="D19" s="93" t="s">
        <v>306</v>
      </c>
      <c r="E19" s="94"/>
      <c r="F19" s="52">
        <f>ROUND(C19*(21/100),2)</f>
        <v>0</v>
      </c>
      <c r="G19" s="93" t="s">
        <v>321</v>
      </c>
      <c r="H19" s="94"/>
      <c r="I19" s="52">
        <f>SUM(F18:F19)+I18</f>
        <v>0</v>
      </c>
      <c r="J19" s="26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10" ht="14.25" customHeight="1">
      <c r="A21" s="95" t="s">
        <v>295</v>
      </c>
      <c r="B21" s="96"/>
      <c r="C21" s="97"/>
      <c r="D21" s="95" t="s">
        <v>307</v>
      </c>
      <c r="E21" s="96"/>
      <c r="F21" s="97"/>
      <c r="G21" s="95" t="s">
        <v>322</v>
      </c>
      <c r="H21" s="96"/>
      <c r="I21" s="97"/>
      <c r="J21" s="27"/>
    </row>
    <row r="22" spans="1:10" ht="14.25" customHeight="1">
      <c r="A22" s="98"/>
      <c r="B22" s="99"/>
      <c r="C22" s="100"/>
      <c r="D22" s="98"/>
      <c r="E22" s="99"/>
      <c r="F22" s="100"/>
      <c r="G22" s="98"/>
      <c r="H22" s="99"/>
      <c r="I22" s="100"/>
      <c r="J22" s="27"/>
    </row>
    <row r="23" spans="1:10" ht="14.25" customHeight="1">
      <c r="A23" s="98"/>
      <c r="B23" s="99"/>
      <c r="C23" s="100"/>
      <c r="D23" s="98"/>
      <c r="E23" s="99"/>
      <c r="F23" s="100"/>
      <c r="G23" s="98"/>
      <c r="H23" s="99"/>
      <c r="I23" s="100"/>
      <c r="J23" s="27"/>
    </row>
    <row r="24" spans="1:10" ht="14.25" customHeight="1">
      <c r="A24" s="98"/>
      <c r="B24" s="99"/>
      <c r="C24" s="100"/>
      <c r="D24" s="98"/>
      <c r="E24" s="99"/>
      <c r="F24" s="100"/>
      <c r="G24" s="98"/>
      <c r="H24" s="99"/>
      <c r="I24" s="100"/>
      <c r="J24" s="27"/>
    </row>
    <row r="25" spans="1:10" ht="14.25" customHeight="1">
      <c r="A25" s="101" t="s">
        <v>296</v>
      </c>
      <c r="B25" s="102"/>
      <c r="C25" s="103"/>
      <c r="D25" s="101" t="s">
        <v>296</v>
      </c>
      <c r="E25" s="102"/>
      <c r="F25" s="103"/>
      <c r="G25" s="101" t="s">
        <v>296</v>
      </c>
      <c r="H25" s="102"/>
      <c r="I25" s="103"/>
      <c r="J25" s="27"/>
    </row>
    <row r="26" spans="1:9" ht="11.25" customHeight="1">
      <c r="A26" s="41" t="s">
        <v>56</v>
      </c>
      <c r="B26" s="43"/>
      <c r="C26" s="43"/>
      <c r="D26" s="43"/>
      <c r="E26" s="43"/>
      <c r="F26" s="43"/>
      <c r="G26" s="43"/>
      <c r="H26" s="43"/>
      <c r="I26" s="43"/>
    </row>
    <row r="27" spans="1:9" ht="12.75">
      <c r="A27" s="79"/>
      <c r="B27" s="80"/>
      <c r="C27" s="80"/>
      <c r="D27" s="80"/>
      <c r="E27" s="80"/>
      <c r="F27" s="80"/>
      <c r="G27" s="80"/>
      <c r="H27" s="80"/>
      <c r="I27" s="80"/>
    </row>
  </sheetData>
  <sheetProtection/>
  <mergeCells count="53">
    <mergeCell ref="A27:I27"/>
    <mergeCell ref="A24:C24"/>
    <mergeCell ref="D24:F24"/>
    <mergeCell ref="G24:I24"/>
    <mergeCell ref="A25:C25"/>
    <mergeCell ref="D25:F25"/>
    <mergeCell ref="G25:I25"/>
    <mergeCell ref="A22:C22"/>
    <mergeCell ref="D22:F22"/>
    <mergeCell ref="G22:I22"/>
    <mergeCell ref="A23:C23"/>
    <mergeCell ref="D23:F23"/>
    <mergeCell ref="G23:I23"/>
    <mergeCell ref="A19:B19"/>
    <mergeCell ref="D19:E19"/>
    <mergeCell ref="G19:H19"/>
    <mergeCell ref="A21:C21"/>
    <mergeCell ref="D21:F21"/>
    <mergeCell ref="G21:I21"/>
    <mergeCell ref="G14:H14"/>
    <mergeCell ref="G15:H15"/>
    <mergeCell ref="A17:B17"/>
    <mergeCell ref="A18:B18"/>
    <mergeCell ref="D18:E18"/>
    <mergeCell ref="G18:H18"/>
    <mergeCell ref="A12:B12"/>
    <mergeCell ref="D12:E12"/>
    <mergeCell ref="G12:H12"/>
    <mergeCell ref="D13:E13"/>
    <mergeCell ref="G13:H13"/>
    <mergeCell ref="A10:B10"/>
    <mergeCell ref="D10:E10"/>
    <mergeCell ref="G10:H10"/>
    <mergeCell ref="A11:B11"/>
    <mergeCell ref="D11:E11"/>
    <mergeCell ref="G11:H11"/>
    <mergeCell ref="D8:E8"/>
    <mergeCell ref="G8:H8"/>
    <mergeCell ref="D9:E9"/>
    <mergeCell ref="G9:H9"/>
    <mergeCell ref="D6:E6"/>
    <mergeCell ref="G6:H6"/>
    <mergeCell ref="D7:E7"/>
    <mergeCell ref="G7:H7"/>
    <mergeCell ref="C1:I1"/>
    <mergeCell ref="D4:E4"/>
    <mergeCell ref="G4:H4"/>
    <mergeCell ref="D5:E5"/>
    <mergeCell ref="G5:H5"/>
    <mergeCell ref="A2:I2"/>
    <mergeCell ref="B3:C3"/>
    <mergeCell ref="E3:F3"/>
    <mergeCell ref="H3:I3"/>
  </mergeCells>
  <printOptions/>
  <pageMargins left="0.394" right="0.394" top="0.591" bottom="0.59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ratajova</dc:creator>
  <cp:keywords/>
  <dc:description/>
  <cp:lastModifiedBy>ratajova</cp:lastModifiedBy>
  <cp:lastPrinted>2019-05-17T11:03:58Z</cp:lastPrinted>
  <dcterms:created xsi:type="dcterms:W3CDTF">2019-02-18T14:19:17Z</dcterms:created>
  <dcterms:modified xsi:type="dcterms:W3CDTF">2019-05-17T11:04:02Z</dcterms:modified>
  <cp:category/>
  <cp:version/>
  <cp:contentType/>
  <cp:contentStatus/>
</cp:coreProperties>
</file>