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00" windowHeight="8595" tabRatio="923" activeTab="0"/>
  </bookViews>
  <sheets>
    <sheet name="příloha 1" sheetId="1" r:id="rId1"/>
    <sheet name="toalety" sheetId="2" r:id="rId2"/>
    <sheet name="Ttl list SoPrDo" sheetId="3" r:id="rId3"/>
  </sheets>
  <definedNames/>
  <calcPr fullCalcOnLoad="1"/>
</workbook>
</file>

<file path=xl/sharedStrings.xml><?xml version="1.0" encoding="utf-8"?>
<sst xmlns="http://schemas.openxmlformats.org/spreadsheetml/2006/main" count="1368" uniqueCount="576">
  <si>
    <t>i) Náklady na úpravu dokumentace - zpracování skutečného stavu provedeného díla, není-li uvedeno jinak.</t>
  </si>
  <si>
    <t>j) Náklady na zhotovení a demontáž zařízení staveniště a veškerých výkonů sloužících pro zhotovení díla a pro provoz díla uživatelů dále nepotřebných.</t>
  </si>
  <si>
    <t>k) Náklady na úhradu specialistů pro provedení zkoušek, které jsou pro provoz díla potřebné.</t>
  </si>
  <si>
    <t xml:space="preserve">l) Náklady na ochranu proti poškození stávajících konstrukcí nedotčených výstavbou. </t>
  </si>
  <si>
    <t xml:space="preserve">m) Náklady na ochranu proti promočení, povětrnostním a přírodním podmínkám všech stávajících a nových konstrukcí. </t>
  </si>
  <si>
    <t xml:space="preserve">n) Náklady na bezpečnostní opatření, která vyplývají z předpisů o bezpečnosti práce při demontážích, bourání a nové výstavbě. </t>
  </si>
  <si>
    <t>o) Náklady na znečištění a poškození díla. Zhotovitel musí své výkony, zejméná lícní pohledové plochy, obklady, plochy stěn podlahy a jejich povrchy, okna, dveře, zařizovací předměty a všechny ostatní části již zabudované a pod., chránit před zněčištěním a poškozením až do přejímky díla.</t>
  </si>
  <si>
    <r>
      <t xml:space="preserve">1) </t>
    </r>
    <r>
      <rPr>
        <sz val="10"/>
        <rFont val="Arial CE"/>
        <family val="2"/>
      </rPr>
      <t>Jednotkové ceny uvedené v Soupise prací budou zahrnovat veškeré práce(montáže)a dodávky potřebné 
pro dokončení a předání díla objednateli do užívání bez vad a nedodělků. Nabízené jednotkové ceny jsou 
pevné ceny, platné až do přejímky ve smyslu obchodního práva. Práce a dodávky výše neuvedené a dodavatelem opodstatněné,uvede samostatně pod čarou(na samostatnou složku),kterou přiloží k nabídce. 
Na pozdější požadavky plynoucí z nejasností nebo omylu jsou vyloučena.Nedílnou součástí výkazu výměr 
je i projektová dokumentace. Dodávka - materiály a kvalifikovaná práce vyžaduje odevzdat dílo jako celek
tak, aby bylo schopno plnit řádně svoji funkci po dobu několika dalších desítek let.</t>
    </r>
  </si>
  <si>
    <r>
      <t xml:space="preserve">2) </t>
    </r>
    <r>
      <rPr>
        <sz val="10"/>
        <rFont val="Arial CE"/>
        <family val="2"/>
      </rPr>
      <t>Zhotovitel je povinen si před předáním nabídky překontrolovat Soupis prací a dodávek s výkazem výměr 
dle PD, prohlédnout, přezkoumat staveniště  a jeho okolí a obstarat si všechny nezbytné a přístupné 
informace, které mu umožní zpracovat nabídku úplně a jednoznačně. Musí se přitom mezi jiným podrobně informovat o možnostech dopravy a přístupových cest, o možnostech spojení, obstarávání a skladování materiálu a dalších jiných souvisejících okolností a případná zjištěná rizika ve své nabídce dostatečně 
zohlednit. Pozdější požadavky plynoucí z omylu nebo neznalosti poměrů na staveništi nebo neúplného jsou vyloučena.</t>
    </r>
  </si>
  <si>
    <r>
      <t>3)</t>
    </r>
    <r>
      <rPr>
        <sz val="10"/>
        <rFont val="Arial"/>
        <family val="0"/>
      </rPr>
      <t xml:space="preserve">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zhotovitell.</t>
    </r>
  </si>
  <si>
    <r>
      <t xml:space="preserve">4) </t>
    </r>
    <r>
      <rPr>
        <sz val="10"/>
        <rFont val="Arial"/>
        <family val="0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</si>
  <si>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r>
      <t>5)</t>
    </r>
    <r>
      <rPr>
        <sz val="10"/>
        <rFont val="Arial"/>
        <family val="0"/>
      </rPr>
      <t xml:space="preserve"> Jestliže se zdají být rozdílná pojetí ohledně druhu provedení při vypracování nabídky, je možná třeba před předáním nabídky vyžádat si vyjasnění se zadavatelem.</t>
    </r>
  </si>
  <si>
    <r>
      <t xml:space="preserve">6) </t>
    </r>
    <r>
      <rPr>
        <sz val="10"/>
        <rFont val="Arial"/>
        <family val="0"/>
      </rPr>
      <t>Zhotovitel prohlašuje, že všechny podmínky výběrového řízení ve všech jeho částech a přílohách zcela přečetl, přezkoumal a pochopil, a že uznává bez omezení, že pro něho jsou požadované výkony jasné a nerozporné, a že na základě své zkušenosti, technického a dispozičního personálu je schopen realizovat smluvní výkony bez závad, kompletně s funkční spolehlivostí, pohotově k použití respektivě provozuschopně podle uznávaných pravidel stavební techniky v daných lhůtách a termínech. Záruční lhůta činí zásadně minimálně 10(desel ) let.</t>
    </r>
  </si>
  <si>
    <r>
      <t>7)</t>
    </r>
    <r>
      <rPr>
        <sz val="10"/>
        <rFont val="Arial"/>
        <family val="0"/>
      </rPr>
      <t xml:space="preserve"> </t>
    </r>
    <r>
      <rPr>
        <sz val="10"/>
        <rFont val="Arial CE"/>
        <family val="2"/>
      </rPr>
      <t>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  </r>
  </si>
  <si>
    <r>
      <t xml:space="preserve">8) </t>
    </r>
    <r>
      <rPr>
        <sz val="10"/>
        <rFont val="Arial CE"/>
        <family val="2"/>
      </rPr>
      <t>Rozpory v Soupisu prací a dodávek samy o sobě nebo v prováděcích podkladech k tomu příslušejících, je nutno, jakmile jsou zhotoviteli díla známy, písemně je sdělit objednateli.</t>
    </r>
  </si>
  <si>
    <r>
      <t>9)</t>
    </r>
    <r>
      <rPr>
        <sz val="10"/>
        <rFont val="Arial"/>
        <family val="0"/>
      </rPr>
      <t xml:space="preserve">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  </r>
  </si>
  <si>
    <r>
      <t>10</t>
    </r>
    <r>
      <rPr>
        <sz val="10"/>
        <rFont val="Arial"/>
        <family val="0"/>
      </rPr>
      <t>) Nedílnou součástí Soupisu prací a dodávek je i projektová dokumentace. Soupis prací a dodávek je určen pro ocenění díla nikoliv náhrada dokumentace.</t>
    </r>
  </si>
  <si>
    <t>t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</si>
  <si>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</si>
  <si>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</si>
  <si>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</si>
  <si>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</si>
  <si>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</si>
  <si>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</si>
  <si>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</si>
  <si>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</si>
  <si>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</si>
  <si>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</si>
  <si>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</si>
  <si>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</si>
  <si>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stavební náklady  bez DPH 21%</t>
  </si>
  <si>
    <t>celkem</t>
  </si>
  <si>
    <t>p.č.</t>
  </si>
  <si>
    <t>popis prací a dodávek</t>
  </si>
  <si>
    <t>m.j.</t>
  </si>
  <si>
    <t xml:space="preserve">množství </t>
  </si>
  <si>
    <t>jednotková cena  Kč/m.j.</t>
  </si>
  <si>
    <t>celková cena  Kč</t>
  </si>
  <si>
    <t>příloha č. 1</t>
  </si>
  <si>
    <t>Všeobecné podmínky k Soupisu prací a dodávek</t>
  </si>
  <si>
    <t>Smluvní strany se budou řídit právním řádem České republiky</t>
  </si>
  <si>
    <t xml:space="preserve">Jednotkové ceny nabídky zahrnují zejména : </t>
  </si>
  <si>
    <t xml:space="preserve">a) Veškeré náklady pro zhotovení bezvadného funkčně způsobilého díla, které je předmětem smlouvy a bude schopno plnit řádně svoji funkci po dobu několika dalších desítek let. </t>
  </si>
  <si>
    <t xml:space="preserve">b) Náklady pro zajištění bezpečnosti práce, ochrany materiálů, součástí a dalších předmětů pro bezvadné realizované dílo. </t>
  </si>
  <si>
    <t xml:space="preserve">d)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</si>
  <si>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e)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</si>
  <si>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f) Náklady na ochranu a pojištění díla až do přejímky.</t>
  </si>
  <si>
    <t>h) Náklady na zhotovení výkresů, výpočtů a dalších výkonů potřebných pro detailní rozpracování projektů předaných zadavatelem, které jsou potřebné pro bezvadnou realizaci díla (dílenská a montážní dokumentace).</t>
  </si>
  <si>
    <t>1</t>
  </si>
  <si>
    <t>2</t>
  </si>
  <si>
    <t>3</t>
  </si>
  <si>
    <t>Kč</t>
  </si>
  <si>
    <t>na akci :</t>
  </si>
  <si>
    <t xml:space="preserve"> sestavil :</t>
  </si>
  <si>
    <r>
      <t xml:space="preserve">Ing. Josef Fuk </t>
    </r>
    <r>
      <rPr>
        <sz val="10"/>
        <rFont val="Arial CE"/>
        <family val="2"/>
      </rPr>
      <t>- SIPK (+420606643181)</t>
    </r>
  </si>
  <si>
    <t>V Podbabě 2516, 160 00 Praha 6-Dejvice</t>
  </si>
  <si>
    <t>Generální  projektant :</t>
  </si>
  <si>
    <t>Pro zpracování Soupisu prací a dodávek s výkazem výměr je použito níže uvedených podkladů :</t>
  </si>
  <si>
    <t>m2</t>
  </si>
  <si>
    <t>bm</t>
  </si>
  <si>
    <t>16</t>
  </si>
  <si>
    <t>17</t>
  </si>
  <si>
    <t>18</t>
  </si>
  <si>
    <t>DPH 21%</t>
  </si>
  <si>
    <t>místo stavby :</t>
  </si>
  <si>
    <t>Rekapitulace nákladů</t>
  </si>
  <si>
    <t>kód</t>
  </si>
  <si>
    <t>ing. Jaroslav Borovička</t>
  </si>
  <si>
    <t>kpl</t>
  </si>
  <si>
    <t>Vypracoval :</t>
  </si>
  <si>
    <t xml:space="preserve">kpl </t>
  </si>
  <si>
    <t>ks</t>
  </si>
  <si>
    <t>9 - Dokončující konstrukce a práce</t>
  </si>
  <si>
    <t>721 - Zdravotně technické instalace budov</t>
  </si>
  <si>
    <t>19</t>
  </si>
  <si>
    <t>20</t>
  </si>
  <si>
    <t>21</t>
  </si>
  <si>
    <t>22</t>
  </si>
  <si>
    <t>23</t>
  </si>
  <si>
    <t>25</t>
  </si>
  <si>
    <t>26</t>
  </si>
  <si>
    <t>40</t>
  </si>
  <si>
    <t>41</t>
  </si>
  <si>
    <t>42</t>
  </si>
  <si>
    <t>43</t>
  </si>
  <si>
    <t>44</t>
  </si>
  <si>
    <t>45</t>
  </si>
  <si>
    <t>68</t>
  </si>
  <si>
    <t>69</t>
  </si>
  <si>
    <t>70</t>
  </si>
  <si>
    <t>71</t>
  </si>
  <si>
    <t>94</t>
  </si>
  <si>
    <t>95</t>
  </si>
  <si>
    <t>96</t>
  </si>
  <si>
    <t>97</t>
  </si>
  <si>
    <t>99</t>
  </si>
  <si>
    <t>100</t>
  </si>
  <si>
    <t>ing Jan Macek</t>
  </si>
  <si>
    <r>
      <t>Věra Ulčová</t>
    </r>
    <r>
      <rPr>
        <sz val="10"/>
        <rFont val="Arial CE"/>
        <family val="2"/>
      </rPr>
      <t xml:space="preserve"> - SIMO (+420773518887)</t>
    </r>
  </si>
  <si>
    <t xml:space="preserve"> - Projektová dokumentace pro výběr dodavatele, která je jeho nedílnou součástí</t>
  </si>
  <si>
    <t xml:space="preserve">6 - Podlahové konstrukce </t>
  </si>
  <si>
    <t>Návrh Rozpočtu</t>
  </si>
  <si>
    <r>
      <rPr>
        <b/>
        <sz val="9"/>
        <rFont val="Arial"/>
        <family val="2"/>
      </rPr>
      <t>Penetrace</t>
    </r>
    <r>
      <rPr>
        <sz val="9"/>
        <rFont val="Arial"/>
        <family val="2"/>
      </rPr>
      <t xml:space="preserve"> podkladu </t>
    </r>
  </si>
  <si>
    <r>
      <rPr>
        <b/>
        <sz val="9"/>
        <rFont val="Arial"/>
        <family val="2"/>
      </rPr>
      <t>Monáž</t>
    </r>
    <r>
      <rPr>
        <sz val="9"/>
        <rFont val="Arial"/>
        <family val="2"/>
      </rPr>
      <t xml:space="preserve">+demontáž - Lešení pomocné pro zatížení do 150kg/m2 o výšce lešenové podlahy do 3,50m </t>
    </r>
  </si>
  <si>
    <r>
      <rPr>
        <b/>
        <sz val="9"/>
        <rFont val="Arial"/>
        <family val="2"/>
      </rPr>
      <t>Úklid</t>
    </r>
    <r>
      <rPr>
        <sz val="9"/>
        <rFont val="Arial"/>
        <family val="2"/>
      </rPr>
      <t xml:space="preserve"> místností dotčených stavbou při výšce podlaží do 4m</t>
    </r>
  </si>
  <si>
    <t>c) Náklady na přípomoce,pomocný a montážní materiál, lešení, přesuny hmot-není-li uvedeno jinak pro vnitřní i vnější dopravu, 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výšku, na zařízení staveniště, mimostaveništní dopravu,  naní-li stanoveno-uvedeno jinak.</t>
  </si>
  <si>
    <t>g) Náklady na poskytnutí odborného dohledu tj. odpovědného stavbyvedoucího a vedoucího šéfmontéra.</t>
  </si>
  <si>
    <t>STAVEBNÍ ÚPRAVY WC</t>
  </si>
  <si>
    <t>Středočeský kraj, Krajský úřad, 
Zborovská 81/11. Praha 5, 150 21</t>
  </si>
  <si>
    <t>investor, stavebník :</t>
  </si>
  <si>
    <t>v. č. D.1.1.2 až D.1.1.10 ( podlaží 1.NP - 5.NP )</t>
  </si>
  <si>
    <t>elektro</t>
  </si>
  <si>
    <t>voda SV + TUV</t>
  </si>
  <si>
    <t>vypustit a napustit systém ÚT</t>
  </si>
  <si>
    <t>3b</t>
  </si>
  <si>
    <t>1a</t>
  </si>
  <si>
    <t>1c</t>
  </si>
  <si>
    <t>2.NP až 5 NP pánské toalety - el. sušák (ks 3) + zásobník na toalet.papír (ks 8)+ háčky na dveřích (ks8) + nádoba+štětka na WC (ks 8)+  zásobník na papír.ručníky (ks 4)</t>
  </si>
  <si>
    <t>1.NP až 5 NP dámské toalety - el. sušák (ks 1*5) + zásobník na toalet.papír (ks 3*5)+ háčky na dveřích (ks4*5) + nádoba+štětka na WC (ks 3*5) + 3.NP zásobník na papír.ručníky (ks 1)</t>
  </si>
  <si>
    <t>1.NP až 5 NP dámské toalety</t>
  </si>
  <si>
    <t>š. 600 / v.1970 - ks 4*5</t>
  </si>
  <si>
    <t>š.800 / v.1970 - ks 1*5</t>
  </si>
  <si>
    <t>š.800 / v.2080až2150 - ks 1*3</t>
  </si>
  <si>
    <t>v.č. 11 / 1NP dámské toalety</t>
  </si>
  <si>
    <t>m.č. 037c ;</t>
  </si>
  <si>
    <t>m.č. 037d ;</t>
  </si>
  <si>
    <t>m.č. 037e ;</t>
  </si>
  <si>
    <t>m.č. 037f ;</t>
  </si>
  <si>
    <t>m.č. 037a ;</t>
  </si>
  <si>
    <t>m.č. 037b ;</t>
  </si>
  <si>
    <t xml:space="preserve"> (1,40+0,975)*2*2,10-0,60*1,97</t>
  </si>
  <si>
    <t xml:space="preserve"> (1,40+0,94)*2*2,10-0,60*1,97</t>
  </si>
  <si>
    <t>v.č. 12 / 2NP dámské toalety</t>
  </si>
  <si>
    <t xml:space="preserve"> (1,40+0,955)*2*2,10-0,60*1,97</t>
  </si>
  <si>
    <t xml:space="preserve"> (1,47+(0,92+1,24+0,91))*2*2,10 - (0,60*1,97*3+0,80*1,97)-(1,24*(2,10-1,32))</t>
  </si>
  <si>
    <t xml:space="preserve"> (0,87+2,365)*2*2,00-0,60*1,97</t>
  </si>
  <si>
    <t>m.č. 1047c ;</t>
  </si>
  <si>
    <t>m.č. 1047d ;</t>
  </si>
  <si>
    <t>m.č. 1047e ;</t>
  </si>
  <si>
    <t>m.č. 1047f ;</t>
  </si>
  <si>
    <t>m.č. 1047a ;</t>
  </si>
  <si>
    <t>m.č. 1047b ;</t>
  </si>
  <si>
    <t xml:space="preserve"> (1,47+(0,92+1,24+0,91))*2*2,00 - (0,60*1,97*3+0,80*1,97)-(1,24*(2,10-1,32))</t>
  </si>
  <si>
    <t xml:space="preserve"> (1,40+0,975)*2*2,00-0,60*1,97</t>
  </si>
  <si>
    <t xml:space="preserve"> (1,40+0,94)*2*2,00-0,60*1,97</t>
  </si>
  <si>
    <t xml:space="preserve"> (1,40+0,955)*2*2,00-0,60*1,97</t>
  </si>
  <si>
    <t>(2,00+(0,48+1,24+0,645))*2*2,00-(0,60+0,80*2)*1,97-(1,24*(2,0-1,32))+(0,60*2*2,00)</t>
  </si>
  <si>
    <t>(2,07+2,365)*2*2,00-(0,60+0,80*2)*1,97-(1,24*(2,0-1,32))+(0,60*2*2,00)</t>
  </si>
  <si>
    <t>(0,80+2,365)*2*2,00-0,60*1,97</t>
  </si>
  <si>
    <t>v.č. 14 / 3NP dámské toalety</t>
  </si>
  <si>
    <t>m.č. 1048c ;</t>
  </si>
  <si>
    <t>m.č. 1048d ;</t>
  </si>
  <si>
    <t>m.č. 1048e ;</t>
  </si>
  <si>
    <t>m.č. 1048f ;</t>
  </si>
  <si>
    <t>m.č. 1048a ;</t>
  </si>
  <si>
    <t>m.č. 1048b ;</t>
  </si>
  <si>
    <t>(2,07+2,365)*2*2,00-(0,60+0,80*2)*1,97-(1,24*(2,0-1,32))+(0,50*2*2,00)</t>
  </si>
  <si>
    <t>v.č. D.1.1.16 / 4NP dámské toalety</t>
  </si>
  <si>
    <t>m.č. 3053c ;</t>
  </si>
  <si>
    <t>m.č. 3053d ;</t>
  </si>
  <si>
    <t>m.č. 3053e ;</t>
  </si>
  <si>
    <t>m.č. 3053f ;</t>
  </si>
  <si>
    <t>m.č. 3053a ;</t>
  </si>
  <si>
    <t>m.č. 3053b ;</t>
  </si>
  <si>
    <t xml:space="preserve"> (1,56+(0,92+1,24+0,91))*2*2,00 - (0,60*1,97*3+0,80*1,97)-(1,24*(2,00-1,32))</t>
  </si>
  <si>
    <t xml:space="preserve"> (1,47+(0,92+1,24+0,91))*2*2,00 - (0,60*1,97*3+0,80*1,97)-(1,24*(2,00-1,32))</t>
  </si>
  <si>
    <t xml:space="preserve"> (1,40+0,980)*2*2,00-0,60*1,97</t>
  </si>
  <si>
    <t>(2,17+2,365)*2*2,00-(0,60+0,80*2)*1,97-(1,24*(2,0-1,32))+(0,42*2*2,00)</t>
  </si>
  <si>
    <t>(0,79+2,365)*2*2,00-0,60*1,97</t>
  </si>
  <si>
    <t>m.č. 4054c ;</t>
  </si>
  <si>
    <t>m.č. 4054d ;</t>
  </si>
  <si>
    <t>m.č. 4054e ;</t>
  </si>
  <si>
    <t>m.č. 4054f ;</t>
  </si>
  <si>
    <t>m.č. 4054a ;</t>
  </si>
  <si>
    <t>m.č. 4054b ;</t>
  </si>
  <si>
    <t xml:space="preserve"> (1,65+(1,105+1,24+0,960))*2*2,00 - (0,60*1,97*3+0,80*1,97)-(1,24*(2,00-1,32))</t>
  </si>
  <si>
    <t xml:space="preserve"> (1,44+1,030)*2*2,00-0,60*1,97</t>
  </si>
  <si>
    <t xml:space="preserve"> (1,44+1,035)*2*2,00-0,60*1,97</t>
  </si>
  <si>
    <t xml:space="preserve"> (1,44+1,040)*2*2,00-0,60*1,97</t>
  </si>
  <si>
    <t>(1,55+2,410)*2*2,00-0,60*1,97</t>
  </si>
  <si>
    <t>v.č. D.1.1.18 / 5 NP dámské toalety</t>
  </si>
  <si>
    <t>v.č. 11 / 1NP dámské toalety -</t>
  </si>
  <si>
    <t xml:space="preserve"> m.č. 037a - 037f ; 
16,13m2 + (0,10*0,60)*4+(0,20*0,80)+(0,15*0,80)</t>
  </si>
  <si>
    <t>v.č. 13 / 2NP pánské toalety</t>
  </si>
  <si>
    <t>m.č. 1052b ;</t>
  </si>
  <si>
    <t>m.č. 1052d ;</t>
  </si>
  <si>
    <t>m.č. 1052c ;</t>
  </si>
  <si>
    <t>m.č. 1052a ;</t>
  </si>
  <si>
    <t>(1,40+0,90)*2*2,00-0,60*1,97</t>
  </si>
  <si>
    <t>v.č. D.1.1.15 / 3NP pánské toalety</t>
  </si>
  <si>
    <t>m.č. 2052b ;</t>
  </si>
  <si>
    <t>m.č. 2052d ;</t>
  </si>
  <si>
    <t>m.č. 2052c ;</t>
  </si>
  <si>
    <t>m.č. 2052a ;</t>
  </si>
  <si>
    <t>v.č. D.1.1.17 / 4NP pánské toalety</t>
  </si>
  <si>
    <t>m.č. 3059b ;</t>
  </si>
  <si>
    <t>m.č. 3059d ;</t>
  </si>
  <si>
    <t>m.č. 3059c ;</t>
  </si>
  <si>
    <t>m.č. 3059a ;</t>
  </si>
  <si>
    <t>(1,46+1,14)*2*2,00-0,60*1,97</t>
  </si>
  <si>
    <t>(2,750+2,91)*2*2,00-(0,60*2+0,80)*1,97</t>
  </si>
  <si>
    <t>(2,75+1,195)*2*2,00+(0,42*2*2,00)-(0,80+0,94)*1,97</t>
  </si>
  <si>
    <t>(2,75+1,50)*2*2,00+(0,60*2,00*2)-(0,80*1,97)-(1,40*2,00)</t>
  </si>
  <si>
    <t>(2,60+1,50)*2*2,00+(0,60*2,00*2)-(0,80*2*2,00)</t>
  </si>
  <si>
    <t>v.č. D.1.1.19 / 5NP pánské toalety</t>
  </si>
  <si>
    <t>m.č. 4058c ;</t>
  </si>
  <si>
    <t>m.č. 4058d ;</t>
  </si>
  <si>
    <t>m.č. 4058b ;</t>
  </si>
  <si>
    <t>m.č. 4058a ;</t>
  </si>
  <si>
    <t>(1,50+1,02)*2*2,00-0,60*1,97</t>
  </si>
  <si>
    <t>(2,400+2,85)*2*2,00-(0,60*2+0,80)*1,97</t>
  </si>
  <si>
    <t>(2,40+1,54)*2*2,00+(0,49*2*2,00)-(0,80+0,94)*1,97</t>
  </si>
  <si>
    <t xml:space="preserve"> m.č. 1047a - 1047f ; 
15,93m2 + (0,10*0,60)*4+(0,20*0,80)+(0,15*0,80)</t>
  </si>
  <si>
    <t xml:space="preserve"> m.č. 2048a - 2048f ; 
15,93m2 + (0,10*0,60)*4+(0,20*0,80)+(0,15*0,80)</t>
  </si>
  <si>
    <t xml:space="preserve"> m.č. 3053a - 3053f ; 
16,40m2 + (0,10*0,60)*4+(0,20*0,80)+(0,15*0,80)</t>
  </si>
  <si>
    <t xml:space="preserve"> m.č. 4054a - 4054f ; 
17,80m2 + (0,10*0,60)*4+(0,10*0,80)+(0,15*0,90)</t>
  </si>
  <si>
    <t>(1,54+2,410)*2*2,00-(0,60+0,80+0,90)*1,97-(1,22*(2,0-1,32))+(0,35*2*2,00)</t>
  </si>
  <si>
    <t xml:space="preserve"> m.č. 1052a - 1052d; 
14,51m2 + (0,10*0,60)*2+(0,10*0,80)+(0,15*0,94)</t>
  </si>
  <si>
    <t xml:space="preserve"> m.č. 2052a - 2052d; 
16,131m2 + (0,10*0,60)*2+(0,10*0,80)+(0,15*1,40)</t>
  </si>
  <si>
    <t xml:space="preserve"> m.č. 4058a - 4058d; 
13,80m2 + (0,10*0,60)*2+(0,10*0,80)+(0,20*0,940)</t>
  </si>
  <si>
    <t xml:space="preserve"> m.č. 3059a - 3059d; 
15,78m2 + (0,10*0,60)*2+(0,10*0,80)+(0,20*0,940)</t>
  </si>
  <si>
    <t>Demontáž dřevěných parapetů š. do 300mm, dl přes 1m</t>
  </si>
  <si>
    <t>v.č. 12 / 2NP dámské toalety - m.č. 1047c + 1047a</t>
  </si>
  <si>
    <t>v.č. 14 / 3NP dámské toalety - m.č. 2048c + 2048a</t>
  </si>
  <si>
    <t>v.č. D.1.1.16 / 4NP dámské toalety-m.č.3053c+3053a</t>
  </si>
  <si>
    <t>v.č. D.1.1.18 / 5NP dámské toalety-m.č.4054c+4054a</t>
  </si>
  <si>
    <t xml:space="preserve">v.č. 13 / 2NP pánské toalety - m.č. 1052b </t>
  </si>
  <si>
    <t>v.č. D.1.1.15 / 3NP pánské toalety - m.č. 2052b</t>
  </si>
  <si>
    <t>v.č. D.1.1.19 / 5NP pánské toalety - m.č. 4058c</t>
  </si>
  <si>
    <t>v.č. D.1.1.17 / 4NP pánské toalety - m.č. 3059c</t>
  </si>
  <si>
    <t>pro dámské toalety+pánské toalety 
v.č. 2 až 10 / 1 NP až 5NP</t>
  </si>
  <si>
    <t>výměra : (19,0+52)bm</t>
  </si>
  <si>
    <t>Opatrné vyřezání rýh ve zdivu cihelném na MVC do hl 70mm a š. do 70mm. (pro kanalizaci)</t>
  </si>
  <si>
    <t>Opatrné vyřezání rýh ve zdivu cihelném na MVC do hl 100mm a š. do 100mm. (pro kanalizaci)</t>
  </si>
  <si>
    <t>Opatrné vyřezání  rýh ve zdivu cihelném na MVC do hl 150mm a š. do 150mm. (pro kanalizaci)</t>
  </si>
  <si>
    <t>výměra : (130,0+36)bm</t>
  </si>
  <si>
    <t>výměra : (21,0+11)bm</t>
  </si>
  <si>
    <t>pro dámské toalety+pánské toalety 
v.č.11 až 19 / 1 NP až 5NP</t>
  </si>
  <si>
    <t>Opatrné odsekání obkladů z obkladaček vnitřních přes 1m2</t>
  </si>
  <si>
    <t>Demontáž pisoárů</t>
  </si>
  <si>
    <t>Demontáž umyvadel</t>
  </si>
  <si>
    <t>Demontáž sprchové vaničky</t>
  </si>
  <si>
    <t>Demontáž klosetů splachovacích s nádržkou</t>
  </si>
  <si>
    <t>sbr</t>
  </si>
  <si>
    <t>pro dámské toalety+pánské toalety 
v.č.11 až 14 a D1.1.15 až D.1.1.19 / 1 NP až 5NP</t>
  </si>
  <si>
    <t>Baterie umyvadlové, sprchové,dřezové,výlevkové</t>
  </si>
  <si>
    <t>Demontáž dřezu na konzolách</t>
  </si>
  <si>
    <t>Demontáž výlevek diturvitových</t>
  </si>
  <si>
    <t>D1</t>
  </si>
  <si>
    <t>D2</t>
  </si>
  <si>
    <t>D3</t>
  </si>
  <si>
    <t>D4</t>
  </si>
  <si>
    <t>D5</t>
  </si>
  <si>
    <t>D6</t>
  </si>
  <si>
    <t>D7</t>
  </si>
  <si>
    <t>stávající dveře pravé prolamované, P 800 x 2080 mm, dřevěné do dřevěných zárubní s prahem, budou repasovány, opáleny vykytovány přebroušeny,  natřeny v odstínu stávajících včetně  zárubní, barva dle stávajících,  zárubeň stávající dřevěná s obložkou - barva dle stávajících</t>
  </si>
  <si>
    <t>D8</t>
  </si>
  <si>
    <t>stávající dveře dvoukřídlé prolamované, 1400 x 2400 mm,  dřevěné do dřevěných zárubní s prahem, s deštěním budou repasovány, opáleny vykytovány přebroušeny, natřeny v odstínu stávajících včetně , zárubní a deštění, barva dle stávajících,  zárubeň stávající dřevěná s obložkou - barva dle stávajících</t>
  </si>
  <si>
    <t>D9</t>
  </si>
  <si>
    <t>D10</t>
  </si>
  <si>
    <t>D11</t>
  </si>
  <si>
    <t>D12</t>
  </si>
  <si>
    <t xml:space="preserve">ks </t>
  </si>
  <si>
    <t>9-Přípravné práce + demontáže konstrukcí</t>
  </si>
  <si>
    <t>Vyřezání, zaslepení  a  úprava stávajícího vodovodního a kanalizačního potrubí</t>
  </si>
  <si>
    <t>Vysekání vodovodního potrubí DN do 52mm</t>
  </si>
  <si>
    <t>Vysekání kanalizačního potrubí DN do 200mm</t>
  </si>
  <si>
    <t>Nové konstrukce</t>
  </si>
  <si>
    <t>Podkladní a spojovací vrstva vnitřních omítaných ploch, penetrace akrylát-silikonová stěn</t>
  </si>
  <si>
    <t>výměra viz odd. 9 / odsekání stávajících obkladů</t>
  </si>
  <si>
    <t>Omítka MVC pod obklady - vyrovnání podkladu, tl. do 10mm</t>
  </si>
  <si>
    <t>Začištění omítek s dodáním hmot kolem vybouraných obkladů</t>
  </si>
  <si>
    <t xml:space="preserve"> (1,40+0,975)*2-0,60</t>
  </si>
  <si>
    <t xml:space="preserve"> (1,40+0,94)*2-0,60</t>
  </si>
  <si>
    <t xml:space="preserve"> (1,40+0,955)*2-0,60</t>
  </si>
  <si>
    <t xml:space="preserve"> (0,87+2,365)*2-0,60</t>
  </si>
  <si>
    <t xml:space="preserve"> (1,47+3,070+0,20)*2 - (0,60*3+0,80)+0,68*2</t>
  </si>
  <si>
    <t xml:space="preserve"> (1,40+0,975)*2-(0,60)</t>
  </si>
  <si>
    <t>(0,80+2,365)*2-0,60</t>
  </si>
  <si>
    <t xml:space="preserve"> (1,56+3,070+0,20)*2 - (0,60*3+0,80)+0,68*2</t>
  </si>
  <si>
    <t xml:space="preserve"> (1,40+0,980)*2-0,60</t>
  </si>
  <si>
    <t>(0,79+2,365)*2-0,60</t>
  </si>
  <si>
    <t xml:space="preserve"> (1,65+(1,105+1,24+0,960))*2 - (0,60*3+0,80)+0,68*2</t>
  </si>
  <si>
    <t xml:space="preserve"> (1,44+1,030)*2-0,60</t>
  </si>
  <si>
    <t xml:space="preserve"> (1,44+1,035)*2-0,60</t>
  </si>
  <si>
    <t xml:space="preserve"> (1,44+1,040)*2-0,60</t>
  </si>
  <si>
    <t>(1,55+2,410)*2-0,60</t>
  </si>
  <si>
    <t>(2,60+3,87+0,25)*2*2,0-(1,35*(2,0-0,80)-
(0,60*2+0,80)*1,97</t>
  </si>
  <si>
    <t>(2,75+4,070+0,25)*2*2,0-(1,35*(2,0-0,80)-(0,60*2+0,80)*1,97</t>
  </si>
  <si>
    <t>(2,75+1,51+0,10)*2*2,0-(1,35*(2,0-0,80)-(0,60*1,97)</t>
  </si>
  <si>
    <t>(2,40+1,255+0,10)*2*2,0-(1,35*(2,0-0,80)-(0,60*1,97)</t>
  </si>
  <si>
    <t>dámské toalety 1NP; výměra ; 0,35*1,240*2</t>
  </si>
  <si>
    <t>v.č. 11 / 1NP dámské toalety - m.č. 037c + 037a (keramické)</t>
  </si>
  <si>
    <t>(2,60+3,87+0,25)*2-(0,60+0,80)</t>
  </si>
  <si>
    <t>(1,40+0,90)*2-0,60</t>
  </si>
  <si>
    <t>(2,75+4,070+0,25)*2-(0,60*2+0,80)</t>
  </si>
  <si>
    <t>(2,75+1,51+0,10)*2)-(0,60)</t>
  </si>
  <si>
    <t>(1,46+1,14)*2-0,60</t>
  </si>
  <si>
    <t>(2,750+2,91)*2-(0,60*2+0,80)</t>
  </si>
  <si>
    <t>(2,40+1,255+0,10)*2-(0,60)</t>
  </si>
  <si>
    <t>(1,50+1,02)*2-0,60</t>
  </si>
  <si>
    <t>(2,400+2,85)*2-(0,60*2+0,80)</t>
  </si>
  <si>
    <t>(2,40+1,54+0,40)*2+-(0,80)</t>
  </si>
  <si>
    <t>(2,75+1,195)*2+(0,42*2)-(0,80)</t>
  </si>
  <si>
    <t>(2,75+1,50+0,60)*2-(0,80)</t>
  </si>
  <si>
    <t>(2,60+1,50)*2+(0,60*2)-(0,80)</t>
  </si>
  <si>
    <t>(2,00+2,365+0,60)*2-(0,60+0,80)+0,68*2</t>
  </si>
  <si>
    <t>(2,07+2,365)*2-(0,60+0,80)+(0,60*2)+0,68*2</t>
  </si>
  <si>
    <t xml:space="preserve"> (1,47+(0,92+1,24+0,91+0,20)*2 - (0,60*3+0,80)+0,68*2</t>
  </si>
  <si>
    <t>(2,07+2,365)*2-(0,60+0,80)+(0,50+0,68)*2</t>
  </si>
  <si>
    <t>(1,54+2,41+0,35)*2-(0,60+0,80)+(0,68+0,35)*2</t>
  </si>
  <si>
    <t>(2,17+2,365)*2-(0,60+0,80)+(0,68+0,42)*2</t>
  </si>
  <si>
    <t>Hrubá výplň rýh ve stěnách maltou o jakékoliv šířce rýhy</t>
  </si>
  <si>
    <t>Opatrné vysekání  výklenků nebo kapes ve zdivu cihelném na MVC do pohledové plochy do 0,16m2 a hl. do 300mm.  (pro uzavírací ventily)</t>
  </si>
  <si>
    <t xml:space="preserve">Demontáž  zařizovacích předmětů </t>
  </si>
  <si>
    <t>rýhy do hl 70mm a š. do 70mm. (pro kanalizaci)</t>
  </si>
  <si>
    <t>rýhy do hl 100mm a š. do 100mm. (pro kanalizaci)</t>
  </si>
  <si>
    <t>rýhy do hl 150mm a š. do 150mm. (pro kanalizaci)</t>
  </si>
  <si>
    <t>pro dámské toalety+pánské toalety 
v.č. 2 až 10 / 1 NP až 5NP / výměra ; 23bm*0,07</t>
  </si>
  <si>
    <t>pro dámské toalety+pánské toalety 
v.č. 2 až 10 / 1 NP až 5NP  / výměra ; 8,5bm*0,10</t>
  </si>
  <si>
    <t>pro dámské toalety+pánské toalety 
v.č. 2 až 10 /1 NP až 5NP / výměra ; (19+36)bm*0,15</t>
  </si>
  <si>
    <t>pro dámské toalety+pánské toalety v.č.11 až 19 
/ 1 NP až 5NP / výměra ; (130+36)bm*0,05</t>
  </si>
  <si>
    <t>pro dámské toalety+pánské toalety v.č.11 až 19 /
 1 NP až 5NP / výměra ; (130+36)bm*0,07</t>
  </si>
  <si>
    <t xml:space="preserve">Omítka rýh ve stěnách maltou MVC š.do 150mm, štukovou </t>
  </si>
  <si>
    <t>Datum: 08.2018</t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</si>
  <si>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pravé prolamované, 
vel. P 800 x 2080 mm, dřevěné do dřevěných 
zárubní s prahem, budou repasovány, opáleny, vykytovány přebroušeny, natřeny v odstínu 
stávajících včetně  zárubní, 
kování stávající repasovat, barva dle stávajících, zárubeň stávající dřevěná s obložkou - barva dle stávajících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</si>
  <si>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pravé prolamované, P 940 x 2080 mm,  dřevěné do dřevěných zárubní s prahem, budou repasovány, opáleny vykytovány přebroušeny, 
natřeny v odstínu stávajících včetně zárubní,  kování - stávající repasovat, barva dle stávajících, zárubeň -stávající dřevěná s obložkou - barva dle stávajících   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</si>
  <si>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hladké dýhované, pravé do ocelových zárubní, L 800 x 1970 mm,  kování - nová klika nerezová, barva šedá,  zárubeň - stávající ocelová (barva bílá), barva nová šedá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</si>
  <si>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levé prolamované, L 800 x 2080 mm, dřevěné do dřevěných zárubní s prahem, budou repasovány, opáleny vykytovány přebroušeny, natřeny v odstínu stávajících včetně  zárubní, barva dle stávajících,  zárubeň stávající dřevěná s obložkou - barva dle stávajících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</si>
  <si>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levé prolamované, L 940x 2230mm, dřevěné do dřevěných zárubní s prahem, budou repasovány, opáleny vykytovány přebroušeny, natřeny v odstínu stávajících včetně zárubní, barva dle stávajících,  zárubeň stávající dřevěná s obložkou - barva dle stávajících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</si>
  <si>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levé prolamované, L 900 x 2150mm, dřevěné do dřevěných zárubní s prahem, budou repasovány, opáleny vykytovány přebroušeny, natřeny v odstínu stávajících včetně zárubní, barva dle stávajících,  zárubeň stávající dřevěná s obložkou - barva dle stávajících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</si>
  <si>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levé prolamované, L 940 x 2230mm, dřevěné do dřevěných zárubní s prahem, budou repasovány, opáleny vykytovány přebroušeny, natřeny v odstínu stávajících včetně zárubní, barva dle stávajících,  zárubeň stávající dřevěná s obložkou - barva dle stávajících</t>
    </r>
  </si>
  <si>
    <t xml:space="preserve">Přesun hmot pro konstrukce truhlářské,vodorovná doprava do 50m, v objektech v. do 36m , (5%) </t>
  </si>
  <si>
    <t>Poznámka: Podrobnosti viz výkres č. .29+D.1.130</t>
  </si>
  <si>
    <r>
      <t xml:space="preserve">Napájecí zdroj až pro 8 zařízení - pisoárů
Kompletní provedení </t>
    </r>
    <r>
      <rPr>
        <sz val="9"/>
        <rFont val="Arial"/>
        <family val="2"/>
      </rPr>
      <t>včetně montážního a pomocného materiálu</t>
    </r>
  </si>
  <si>
    <r>
      <rPr>
        <b/>
        <sz val="9"/>
        <rFont val="Arial"/>
        <family val="2"/>
      </rPr>
      <t>Sušič rukou</t>
    </r>
    <r>
      <rPr>
        <sz val="9"/>
        <rFont val="Arial"/>
        <family val="2"/>
      </rPr>
      <t xml:space="preserve">, vel. Š. 265 x v. 270 x hl. 196mm, výkon 2200W, 425000120, Bezdotykové spínání pomocí infračerveného čidla
Plastový kryt
Elektrické připojení pomocí kabelu se zástrčkou
Barevné provedení: Bílá
Elektrické připojení: 230 V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</si>
  <si>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>Zásobník skládaných ručníků</t>
    </r>
    <r>
      <rPr>
        <sz val="9"/>
        <rFont val="Arial"/>
        <family val="2"/>
      </rPr>
      <t xml:space="preserve"> , stříbrný s logem, vel. v 345 mm x h 112 mm x š 306 mm stříbrný plast, 603250, transparentní záda a bok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</si>
  <si>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t xml:space="preserve">Dávkovač tekutého mýdla </t>
    </r>
    <r>
      <rPr>
        <sz val="9"/>
        <rFont val="Arial"/>
        <family val="2"/>
      </rPr>
      <t xml:space="preserve">- dolévací, 1 L, stříbrný s logem, 601250, vel.  v 232 mm x š 114 mm x h 124 mm, transparentní bok, 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</si>
  <si>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t xml:space="preserve">Zásuvka jednonásobná s ochranným kolíkem </t>
    </r>
    <r>
      <rPr>
        <sz val="9"/>
        <rFont val="Arial"/>
        <family val="2"/>
      </rPr>
      <t xml:space="preserve">kouřová šedá 5518A-A2349 S2, vel. š.70,8 mm,dl. 70,8 mm, v. 37,3 mm, hmotnost: 68,25 g, 16 A, 250 V AC, upevnění šrouby, šroubové svorky (pro vodiče 1,5-2,5 mm²)
</t>
    </r>
    <r>
      <rPr>
        <b/>
        <sz val="9"/>
        <rFont val="Arial"/>
        <family val="2"/>
      </rPr>
      <t xml:space="preserve">Kompletní provedení </t>
    </r>
    <r>
      <rPr>
        <sz val="9"/>
        <rFont val="Arial"/>
        <family val="2"/>
      </rPr>
      <t>včetně montážního a pomocného materiálu</t>
    </r>
  </si>
  <si>
    <r>
      <rPr>
        <b/>
        <sz val="9"/>
        <rFont val="Arial"/>
        <family val="2"/>
      </rPr>
      <t>Závěsné svítidlo</t>
    </r>
    <r>
      <rPr>
        <sz val="9"/>
        <rFont val="Arial"/>
        <family val="2"/>
      </rPr>
      <t xml:space="preserve">, kombinace chromovaného kovu a bílého skla, zavěšení na tři lanka, vhodné do všech druhů interiérů. specifikace: 1 x 60W  E27  230V, průměr stínidla: 30 cm, výška: 120 cm, provedení: chromovaný kov, bílé sklo + žárovka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</si>
  <si>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t>Zásobník toaletního papíru</t>
    </r>
    <r>
      <rPr>
        <sz val="9"/>
        <rFont val="Arial"/>
        <family val="2"/>
      </rPr>
      <t xml:space="preserve"> - nerez satén, pr. 26,5cm, AE25000
Výběr dle investora a architekta stavby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</si>
  <si>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>WC štětka válcová</t>
    </r>
    <r>
      <rPr>
        <sz val="9"/>
        <rFont val="Arial"/>
        <family val="2"/>
      </rPr>
      <t xml:space="preserve"> na postavení i zavěšení na stěnu, chrom 102313066, tato série nabízí volbu tradičního spoje nebo snadné a rychlé lepení, hmotnost  0,98 kg, vel. v. 390mm, průměr cca 90mm
Výběr dle investora a architekta stavby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</si>
  <si>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 xml:space="preserve">Odpadkový koš kulatý 3 l </t>
    </r>
    <r>
      <rPr>
        <sz val="9"/>
        <rFont val="Arial"/>
        <family val="2"/>
      </rPr>
      <t>chrom,  6162, víko ovládané pedálem, plastová vyjímatelná vložka, provedení chrom, rozměry: výška 265 mm x šířka 165 mm
Výběr dle investora a architekta stavby</t>
    </r>
  </si>
  <si>
    <r>
      <rPr>
        <b/>
        <sz val="9"/>
        <rFont val="Arial"/>
        <family val="2"/>
      </rPr>
      <t>Odpadkový koš na papírové ručníky</t>
    </r>
    <r>
      <rPr>
        <sz val="9"/>
        <rFont val="Arial"/>
        <family val="2"/>
      </rPr>
      <t xml:space="preserve"> nerez, satén, 900771, montáž na zeď, vel. cca š. 370 x hl. 191 x v. 485mm, výběr dle investora a architekta stavby</t>
    </r>
  </si>
  <si>
    <r>
      <t>Kovový zásobník hygienických sáčků</t>
    </r>
    <r>
      <rPr>
        <sz val="9"/>
        <rFont val="Arial"/>
        <family val="2"/>
      </rPr>
      <t>, nerez matný, 103069, malé rozměry, výměnné náplně obsahují 25 ks hygienických sáčků, uzamykatelný na klíč, hmotnost: 0,36 kg, materiál: kov, barva: nerez matný, vel. v. 170 x š. 95 x hl. 24mm, výběr dle investora a architekta stavby</t>
    </r>
  </si>
  <si>
    <t>Jednotková cena obsahuje kompletní provedení včetně materiálu,montážního a pomocného materiálu= dodávka- repase, montáž, kování, povrchová úprava, montážní i podružný materiál, mimostaveništní doprava-dílna a zpět</t>
  </si>
  <si>
    <t>Výměry - pro podklad pod podlahové keramické dlaždice</t>
  </si>
  <si>
    <t>výměra :146,47m2</t>
  </si>
  <si>
    <t>7719901111+0191</t>
  </si>
  <si>
    <t>výměra : 146,47m2+6% prořez</t>
  </si>
  <si>
    <t>Přesun hmot pro podlahy z dlaždic  (7,56%)</t>
  </si>
  <si>
    <r>
      <rPr>
        <b/>
        <sz val="9"/>
        <rFont val="Arial"/>
        <family val="2"/>
      </rPr>
      <t xml:space="preserve"> Keramická dlažba</t>
    </r>
    <r>
      <rPr>
        <sz val="9"/>
        <rFont val="Arial"/>
        <family val="2"/>
      </rPr>
      <t xml:space="preserve">-Dodávka - tmavě šedá 60x60cm, matná, rektifikovaná, slinutá, mrazuvzdorná, jemný, matný reliéf připomíná udusanou hlínu, dar63642.+ spárovací hmota vodě odolná, při dodávce odolnost proti otěru PEI 4, </t>
    </r>
  </si>
  <si>
    <t>781 47</t>
  </si>
  <si>
    <r>
      <rPr>
        <b/>
        <sz val="9"/>
        <rFont val="Arial"/>
        <family val="2"/>
      </rPr>
      <t>Montáž</t>
    </r>
    <r>
      <rPr>
        <sz val="9"/>
        <rFont val="Arial"/>
        <family val="2"/>
      </rPr>
      <t xml:space="preserve"> obkladů vnitřních stěn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 dlaždic keramických</t>
    </r>
    <r>
      <rPr>
        <b/>
        <sz val="9"/>
        <rFont val="Arial"/>
        <family val="2"/>
      </rPr>
      <t xml:space="preserve">,  </t>
    </r>
    <r>
      <rPr>
        <sz val="9"/>
        <rFont val="Arial"/>
        <family val="2"/>
      </rPr>
      <t xml:space="preserve"> kladení do flexibilního lepidla+penetrace,+spárování hmotou vodě odolnou; výměra 537,86m2</t>
    </r>
  </si>
  <si>
    <r>
      <rPr>
        <b/>
        <sz val="9"/>
        <rFont val="Arial"/>
        <family val="2"/>
      </rPr>
      <t>Montáž</t>
    </r>
    <r>
      <rPr>
        <sz val="9"/>
        <rFont val="Arial"/>
        <family val="2"/>
      </rPr>
      <t xml:space="preserve"> podlah z dlaždic keramických,   kladení do flexibilního lepidla+penetrace,  spárovaní hmotou vodě odolnou ; výměra 146,47m2</t>
    </r>
  </si>
  <si>
    <r>
      <rPr>
        <b/>
        <sz val="9"/>
        <rFont val="Arial"/>
        <family val="2"/>
      </rPr>
      <t>Řezání</t>
    </r>
    <r>
      <rPr>
        <sz val="9"/>
        <rFont val="Arial"/>
        <family val="2"/>
      </rPr>
      <t xml:space="preserve"> dlaždic keramických , rovné  
(1ks dlaždice ;8,125kg)
 cca ks4*6*5+ks*4*4*4</t>
    </r>
  </si>
  <si>
    <r>
      <rPr>
        <b/>
        <sz val="9"/>
        <rFont val="Arial"/>
        <family val="2"/>
      </rPr>
      <t>Řezání</t>
    </r>
    <r>
      <rPr>
        <sz val="9"/>
        <rFont val="Arial"/>
        <family val="2"/>
      </rPr>
      <t xml:space="preserve"> dlaždic keramických , rovné  
(1ks dlaždice ;8,125kg)
 cca ks6*6*5+ks*6*4*4</t>
    </r>
  </si>
  <si>
    <t>Přesun hmot pro obklady z dlaždic  (3,57%)</t>
  </si>
  <si>
    <t>výměry obkladů stěn viz odd.9 / demontáž obkladů : 537,86m2+4%</t>
  </si>
  <si>
    <t>v.č. 11 / 1.NP dámské toalety ; výměra ; 0,35*1,240*2</t>
  </si>
  <si>
    <t>v.č. 12 / 2NP dámské toalety ; 0,35*1,240*2</t>
  </si>
  <si>
    <t>v.č. 14 / 3NP dámské toalety ; 0,35*1,240*2</t>
  </si>
  <si>
    <t>v.č. D.1.1.16 / 4NP dámské toalety ; 0,35*1,240*2</t>
  </si>
  <si>
    <t>v.č. D.1.1.18 / 5NP dámské toalety ; 0,35*1,240*2</t>
  </si>
  <si>
    <t>v.č. 13 / 2NP pánské toalety ; 1,35*0,25</t>
  </si>
  <si>
    <t>v.č. D.1.1.15 / 3NP pánské toalety ; 1,35*0,25</t>
  </si>
  <si>
    <t>v.č. D.1.1.17 / 4NP pánské toalety  ; 1,35*0,25</t>
  </si>
  <si>
    <t>v.č. D.1.1.19 / 5NP pánské toalety ; 1,35*0,25</t>
  </si>
  <si>
    <t>výměry pro parapety : 5,69m2+4%</t>
  </si>
  <si>
    <r>
      <rPr>
        <b/>
        <sz val="9"/>
        <rFont val="Arial"/>
        <family val="2"/>
      </rPr>
      <t>Montáž</t>
    </r>
    <r>
      <rPr>
        <sz val="9"/>
        <rFont val="Arial"/>
        <family val="2"/>
      </rPr>
      <t xml:space="preserve"> obkladů vnitřních parapetů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 dlaždic keramických</t>
    </r>
    <r>
      <rPr>
        <b/>
        <sz val="9"/>
        <rFont val="Arial"/>
        <family val="2"/>
      </rPr>
      <t xml:space="preserve">,  </t>
    </r>
    <r>
      <rPr>
        <sz val="9"/>
        <rFont val="Arial"/>
        <family val="2"/>
      </rPr>
      <t xml:space="preserve"> kladení do flexibilního lepidla+penetrace,+spárování hmotou vodě odolnou; výměra 5,69m2</t>
    </r>
  </si>
  <si>
    <t xml:space="preserve"> 771 - Keramická dlažba </t>
  </si>
  <si>
    <r>
      <rPr>
        <b/>
        <sz val="9"/>
        <rFont val="Arial"/>
        <family val="2"/>
      </rPr>
      <t>Stavebn</t>
    </r>
    <r>
      <rPr>
        <sz val="9"/>
        <rFont val="Arial"/>
        <family val="2"/>
      </rPr>
      <t xml:space="preserve">í přípomoce pro rozvody vody,kanalizace, osazení umyvadel, baterii,  WC mís, pisoárů </t>
    </r>
  </si>
  <si>
    <t>Dodání nerezových dvířek pro ZTI vel. 400/400mm v rámu a osazení do zdiva</t>
  </si>
  <si>
    <t>Větrací mřížka 500/150mm kovová oboustranná v šedém nátěru a osazení do zdiva</t>
  </si>
  <si>
    <r>
      <rPr>
        <b/>
        <sz val="9"/>
        <rFont val="Arial"/>
        <family val="2"/>
      </rPr>
      <t>Stavební</t>
    </r>
    <r>
      <rPr>
        <sz val="9"/>
        <rFont val="Arial"/>
        <family val="2"/>
      </rPr>
      <t xml:space="preserve"> přípomoce pro rozvody elektro a UT </t>
    </r>
  </si>
  <si>
    <t>781 - Keramické obklady</t>
  </si>
  <si>
    <t xml:space="preserve">Přesun hmot </t>
  </si>
  <si>
    <t>763 - Konstrukce suché výstavby - Sádrokartonové</t>
  </si>
  <si>
    <t>Potrubí připojovací - trubka PPs DN 50</t>
  </si>
  <si>
    <t>Potrubí připojovací - trubka PPs DN 70</t>
  </si>
  <si>
    <t>Potrubí připojovací - trubka PPs DN 100</t>
  </si>
  <si>
    <t>Ventilační hlavice</t>
  </si>
  <si>
    <t>Přivzdušňovací ventil HL 900N - DN 50</t>
  </si>
  <si>
    <t>722 -  Vnitřní vodovod</t>
  </si>
  <si>
    <r>
      <t xml:space="preserve">náklady celkem </t>
    </r>
    <r>
      <rPr>
        <sz val="10"/>
        <rFont val="Arial"/>
        <family val="2"/>
      </rPr>
      <t>včetně</t>
    </r>
    <r>
      <rPr>
        <b/>
        <sz val="10"/>
        <rFont val="Arial"/>
        <family val="2"/>
      </rPr>
      <t xml:space="preserve"> DPH 21%</t>
    </r>
  </si>
  <si>
    <r>
      <rPr>
        <b/>
        <sz val="9"/>
        <rFont val="Arial"/>
        <family val="2"/>
      </rPr>
      <t>Vypnutí</t>
    </r>
    <r>
      <rPr>
        <sz val="9"/>
        <rFont val="Arial"/>
        <family val="2"/>
      </rPr>
      <t xml:space="preserve"> a po dokončení prací opětovné zapnutí medii 
v místnostech dotčených stavbou pro elektro, 
voda SV  + TUV , vypustit a napustit systém ÚT ; 
(úpravy na  WC  viz dle v. č.  D.1.1.2 až  D.1.1.10) </t>
    </r>
  </si>
  <si>
    <r>
      <rPr>
        <b/>
        <sz val="9"/>
        <rFont val="Arial"/>
        <family val="2"/>
      </rPr>
      <t>Vyvěšení</t>
    </r>
    <r>
      <rPr>
        <sz val="9"/>
        <rFont val="Arial"/>
        <family val="2"/>
      </rPr>
      <t xml:space="preserve"> dveří včetně uložení pro repasi a opětovným zavěšením</t>
    </r>
  </si>
  <si>
    <r>
      <rPr>
        <b/>
        <sz val="9"/>
        <rFont val="Arial"/>
        <family val="2"/>
      </rPr>
      <t>Vnitrostaveništn</t>
    </r>
    <r>
      <rPr>
        <sz val="9"/>
        <rFont val="Arial"/>
        <family val="2"/>
      </rPr>
      <t>í doprava suti a vybouraných hmot, vodorovně do 50m, svisle s omezením mechanizace v do průměrné výšky 18m</t>
    </r>
  </si>
  <si>
    <r>
      <rPr>
        <b/>
        <sz val="9"/>
        <rFont val="Arial"/>
        <family val="2"/>
      </rPr>
      <t>Odvoz</t>
    </r>
    <r>
      <rPr>
        <sz val="9"/>
        <rFont val="Arial"/>
        <family val="2"/>
      </rPr>
      <t xml:space="preserve"> suti a vybouraných hmot na skládku se složením na vzdálenost do 1km </t>
    </r>
  </si>
  <si>
    <r>
      <rPr>
        <b/>
        <sz val="9"/>
        <rFont val="Arial"/>
        <family val="2"/>
      </rPr>
      <t xml:space="preserve">Příplatek </t>
    </r>
    <r>
      <rPr>
        <sz val="9"/>
        <rFont val="Arial"/>
        <family val="2"/>
      </rPr>
      <t>k ceně za každý další i započtený  1km přes 1km  (19km)  cena : Kč 12 * 19km</t>
    </r>
  </si>
  <si>
    <r>
      <rPr>
        <b/>
        <sz val="9"/>
        <rFont val="Arial"/>
        <family val="2"/>
      </rPr>
      <t>Poplatek</t>
    </r>
    <r>
      <rPr>
        <sz val="9"/>
        <rFont val="Arial"/>
        <family val="2"/>
      </rPr>
      <t xml:space="preserve"> za uložení stavebního odpadu na skládce (skládkovné z keramického materiálu</t>
    </r>
  </si>
  <si>
    <r>
      <rPr>
        <b/>
        <sz val="9"/>
        <rFont val="Arial"/>
        <family val="2"/>
      </rPr>
      <t>Vyrovnávac</t>
    </r>
    <r>
      <rPr>
        <sz val="9"/>
        <rFont val="Arial"/>
        <family val="2"/>
      </rPr>
      <t xml:space="preserve">í vrstva- samonivelační stěrka 30MPa, do  tl.6mm </t>
    </r>
  </si>
  <si>
    <r>
      <rPr>
        <b/>
        <sz val="9"/>
        <rFont val="Arial"/>
        <family val="2"/>
      </rPr>
      <t>Dodávka</t>
    </r>
    <r>
      <rPr>
        <sz val="9"/>
        <rFont val="Arial"/>
        <family val="2"/>
      </rPr>
      <t xml:space="preserve"> - Keramické obklady ,Obklad bílá 30x60cm, matná, rektifikovaná, wakv4104.1+ spárovací hmota vodě odolná.</t>
    </r>
  </si>
  <si>
    <t>Trubka plastová PPR - stabi, PH20</t>
  </si>
  <si>
    <t>Trubka D 20 x 2,8</t>
  </si>
  <si>
    <t>Trubka D 25 x 3,5</t>
  </si>
  <si>
    <t>Trubka D 32 x 4,5</t>
  </si>
  <si>
    <t>Trubka D 40 x 5,5</t>
  </si>
  <si>
    <t>Izolace potrubí SV tl.10mm</t>
  </si>
  <si>
    <t>Izolace potrubí TV + cirkulace tl. 30mm</t>
  </si>
  <si>
    <t>Kohout rohový RK DN 15 s připojovací trubičkou</t>
  </si>
  <si>
    <t>725 - Zařizovací předměty</t>
  </si>
  <si>
    <t xml:space="preserve">Předstěnový instalační systém do kombinovaných stěn   </t>
  </si>
  <si>
    <t>Baterie jednopáková dřezová</t>
  </si>
  <si>
    <t>Baterie nástěnná vanová (pro výlevky)</t>
  </si>
  <si>
    <t>Baterie jednopáková nástěnná sprchová + Závěs ke sprchové vaničce včetně uchycení, tyče , háčků, výběr dle investora a architekta stavby</t>
  </si>
  <si>
    <r>
      <rPr>
        <b/>
        <sz val="8"/>
        <rFont val="Arial"/>
        <family val="2"/>
      </rPr>
      <t>Páková umyvadlová baterie</t>
    </r>
    <r>
      <rPr>
        <sz val="8"/>
        <rFont val="Arial"/>
        <family val="2"/>
      </rPr>
      <t xml:space="preserve"> DN 15,  velikost S, chrom 32612002, hmotnost 1,84kg,  keramická kartuše, jednootvorová montáž, kovová páka, technologie kartuše 
pro hladkou manipulaci, variabilně nastavitelný omezovač průtoku, s omezovačem teploty, instalační systém s centrovací podporou, perlátor, odstranění vodního kamene přetřením, odtoková souprava DN 32, flexi připojovací 
hadičky
</t>
    </r>
    <r>
      <rPr>
        <b/>
        <sz val="8"/>
        <rFont val="Arial"/>
        <family val="2"/>
      </rPr>
      <t>Kompletní provedení</t>
    </r>
    <r>
      <rPr>
        <sz val="8"/>
        <rFont val="Arial"/>
        <family val="2"/>
      </rPr>
      <t xml:space="preserve"> včetně montážního a pomocného materiálu</t>
    </r>
  </si>
  <si>
    <r>
      <rPr>
        <b/>
        <sz val="8"/>
        <rFont val="Arial"/>
        <family val="2"/>
      </rPr>
      <t>Závěsný klozet</t>
    </r>
    <r>
      <rPr>
        <sz val="8"/>
        <rFont val="Arial"/>
        <family val="2"/>
      </rPr>
      <t xml:space="preserve"> s hlubokým splachováním, vel. šířka360xhl. 530xvýška 430 mm, sanitární keramika bílá,  H8209610000001, hmotnost 26kg
</t>
    </r>
    <r>
      <rPr>
        <b/>
        <sz val="8"/>
        <rFont val="Arial"/>
        <family val="2"/>
      </rPr>
      <t>WC sedátko s poklopem</t>
    </r>
    <r>
      <rPr>
        <sz val="8"/>
        <rFont val="Arial"/>
        <family val="2"/>
      </rPr>
      <t xml:space="preserve">, odnímatelné, se zpomalovacím sklápěcím systémem, duroplast, bílá H8919610000001, vel. š. 445x hl.365x v.35mm
</t>
    </r>
    <r>
      <rPr>
        <b/>
        <sz val="8"/>
        <rFont val="Arial"/>
        <family val="2"/>
      </rPr>
      <t>Kompletní provedení</t>
    </r>
    <r>
      <rPr>
        <sz val="8"/>
        <rFont val="Arial"/>
        <family val="2"/>
      </rPr>
      <t xml:space="preserve"> včetně montážního a pomocného materiálu</t>
    </r>
  </si>
  <si>
    <r>
      <rPr>
        <b/>
        <sz val="8"/>
        <rFont val="Arial"/>
        <family val="2"/>
      </rPr>
      <t>Nádržka pro závěsné WC,</t>
    </r>
    <r>
      <rPr>
        <sz val="8"/>
        <rFont val="Arial"/>
        <family val="2"/>
      </rPr>
      <t xml:space="preserve">  montážní prvek určený pro instalaci s mokrými procesy do masivních zděných konstrukcí, originální podomítková splachovací nádržka zaručuje rychlou a snadnou montáž, vysokou spolehlivost a jednoduchý servis. nosnost: 400 kg
Dodávka včetně:
Přívod vody R 1/2" s integrovaným rohovým ventilem a ručním ovládacím kolečkem, Splachovací koleno,  Ochranná zátka,  Kryt pro hrubou montáž pro servisní otvor,  Souprava pro připojení WC, ř 90 mm,  Odpadní koleno pro WC, PE-HD, ř 90 mm,  Přechodka, PE-HD, ř 90/110 mm,  2 závitové tyče M12 pro upevnění keramiky, Trubková chránička pro přívod vody, Výplňový díl,  Souprava pro tlumení hluku,  Upevňovací materiál
</t>
    </r>
    <r>
      <rPr>
        <b/>
        <sz val="8"/>
        <rFont val="Arial"/>
        <family val="2"/>
      </rPr>
      <t>Ovládací tlačítko</t>
    </r>
    <r>
      <rPr>
        <sz val="8"/>
        <rFont val="Arial"/>
        <family val="2"/>
      </rPr>
      <t xml:space="preserve">, pro 2 množství splachování,
k ovládání splachování u splachovacích nádržek pod omítku, ovládání zepředu, podrobnosti dle výběru investora a architekta stavby
</t>
    </r>
    <r>
      <rPr>
        <b/>
        <sz val="8"/>
        <rFont val="Arial"/>
        <family val="2"/>
      </rPr>
      <t>Kompletní provedení</t>
    </r>
    <r>
      <rPr>
        <sz val="8"/>
        <rFont val="Arial"/>
        <family val="2"/>
      </rPr>
      <t xml:space="preserve"> včetně montážního a pomocného materiálu</t>
    </r>
  </si>
  <si>
    <r>
      <rPr>
        <b/>
        <sz val="8"/>
        <rFont val="Arial"/>
        <family val="2"/>
      </rPr>
      <t>Pisoár keramický bílý</t>
    </r>
    <r>
      <rPr>
        <sz val="8"/>
        <rFont val="Arial"/>
        <family val="2"/>
      </rPr>
      <t xml:space="preserve"> s automatickým inteligentním (IQ) splachovačem,, Elektronika snímá a vyhodnocuje procesy v sifonu, na základě čehož dá pokyn ke spláchnutí. Ke spláchnutí stačí pouze jeden litr vody. Pokud dojde k přiblížení k pisoáru bez jeho následného použití, řídicí elektronika nereaguje. Tím se zabrání zbytečnému splachování při náhodném a krátkodobém vstupu (průchod kolem pisoáru apod.). Po 24 hodinách klidu pisoár automaticky spláchne. Konstrukční řešení splachovače umožňuje jednoduchou montáž, která sestává z pouhého připojení a zavěšení keramiky na stěnu. Vzhledem k uložení všech prvků v keramice je splachovač chráněn před mechanickým poškozením, a to i úmyslným. Pisoár neobsahuje žádné optické prvky a odstraňuje tedy nevýhody senzorové technologie, jako je zašpinění nebo poškození snímacích diod a jejich zhoršená citlivost na tmavé barvy, aup 5-II, Dodávka včetně: keramický pisoár, elektronika se snímačem, elektromagnetický ventil, rohový ventil s filtrem, samonasávací sifon, připojovací hadice s oplachovou přípojkou, instalační šrouby s krytkami – 2 kusy
</t>
    </r>
    <r>
      <rPr>
        <b/>
        <sz val="8"/>
        <rFont val="Arial"/>
        <family val="2"/>
      </rPr>
      <t xml:space="preserve">Kompletní provedení </t>
    </r>
    <r>
      <rPr>
        <sz val="8"/>
        <rFont val="Arial"/>
        <family val="2"/>
      </rPr>
      <t>včetně montážního a pomocného materiálu</t>
    </r>
  </si>
  <si>
    <t>Potrubí vnitřní kanalizační PP+HT systém tlumící zvuk</t>
  </si>
  <si>
    <t>v.č. 20 / 1NP dámské toalety</t>
  </si>
  <si>
    <t xml:space="preserve"> (1,47*2+(0,92+1,24+0,91))*(3,65-2,10)+1,24*(2,10-1,32)+ostění oken (0,325*1,97*2*2+0,250*1,24*2+0,150*1,97*2+0,150*1,24)+(0,92+1,24+0,91)*0,05+plocha polopříčky (0,92+1,24+0,91)*0,10</t>
  </si>
  <si>
    <t xml:space="preserve"> (1,50+1,075)*(3,65-2,10)+ (1,40+0,975)*0,05+plocha polopříčky1,40*0,10</t>
  </si>
  <si>
    <t xml:space="preserve"> (0,94)*(3,65-2,10)+(1,40*2+0,94)*0,05+plocha polopříčky1,40*0,10</t>
  </si>
  <si>
    <t xml:space="preserve"> (1,50+1,055)*(3,65-2,10)+ (1,40+0,955)*0,05</t>
  </si>
  <si>
    <t>vzepětí klenby 0,631m2*2</t>
  </si>
  <si>
    <t>strop klenby m.č. 037c- f</t>
  </si>
  <si>
    <t>(0,92+1,24+0,91)*3,06</t>
  </si>
  <si>
    <t>(2,00*2+(0,48+1,24+0,645))*(3,65-2,00)+(0,48+1,24+0,645)*0,43+(0,60*2*0,2)+1,24*(2,00-1,32)+ostění oken (0,325*1,97*2*2+0,250*1,24*2+0,150*1,97*2+0,150*1,24)+plocha polopříčky (0,48+1,24+0,645)*0,10</t>
  </si>
  <si>
    <t xml:space="preserve"> (0,97*2+2,365)*(3,65-2,00)+2,365*0,43</t>
  </si>
  <si>
    <t>v.č. 21 / 2NP dámské toalety</t>
  </si>
  <si>
    <t xml:space="preserve"> (1,47*2+(0,92+1,24+0,91))*(3,65-2,00)+1,24*(2,00-1,32)+ostění oken (0,325*1,97*2*2+0,250*1,24*2+0,150*1,97*2+0,150*1,24)+(0,92+1,24+0,91)*0,35+plocha polopříčky (0,92+1,24+0,91)*0,10</t>
  </si>
  <si>
    <t xml:space="preserve"> (1,50+1,075)*(3,65-2,00)+ (1,40+0,975)*0,35+plocha polopříčky1,40*0,10</t>
  </si>
  <si>
    <t xml:space="preserve"> (0,94)*(3,65-2,00)+(1,40*2+0,94)*0,35+plocha polopříčky1,40*0,10</t>
  </si>
  <si>
    <t xml:space="preserve"> (1,50+1,055)*(3,65-2,00)+ (1,40+0,955)*0,35</t>
  </si>
  <si>
    <t>(2,07*2+2,365)*(3,65-2,00)+(0,60*2*0,20)+2,365*(3,65-2,00)+1,24*(2,00-1,32)+ostění oken (0,325*1,97*2*2+0,250*1,24*2+0,150*1,97*2+0,150*1,24)</t>
  </si>
  <si>
    <t>(0,90*2+2,365)*(3,65-2,00)+2,365*(3,65-2,00)</t>
  </si>
  <si>
    <t>v.č. 23 / 3NP dámské toalety</t>
  </si>
  <si>
    <t>m.č. 2048c ;</t>
  </si>
  <si>
    <t xml:space="preserve"> (1,47*2+(0,92+1,24+0,91))*(4,00-2,00)+1,24*(2,00-1,32)+ostění oken (0,325*1,97*2*2+0,250*1,24*2+0,150*1,97*2+0,150*1,24)+(0,92+1,24+0,91)*0,35+plocha polopříčky (0,92+1,24+0,91)*0,10</t>
  </si>
  <si>
    <t>m.č. 2048d ;</t>
  </si>
  <si>
    <t xml:space="preserve"> (1,50+1,075)*(4,00-2,00)+ (1,40+0,975)*0,35+plocha polopříčky1,40*0,10</t>
  </si>
  <si>
    <t>m.č. 2048e ;</t>
  </si>
  <si>
    <t xml:space="preserve"> (0,94)*(4,00-2,00)+(1,40*2+0,94)*0,35+plocha polopříčky1,40*0,10</t>
  </si>
  <si>
    <t>m.č. 2048f ;</t>
  </si>
  <si>
    <t xml:space="preserve"> (1,50+1,055)*(4,00-2,00)+ (1,40+0,955)*0,35</t>
  </si>
  <si>
    <t>strop m.č. 2048c- f</t>
  </si>
  <si>
    <t>2,97*(0,92+1,24+0,91)</t>
  </si>
  <si>
    <t>m.č. 2048a ;</t>
  </si>
  <si>
    <t>(2,07*2+2,365)*(4,00-2,00)+(0,50*2*0,20)+2,365*0,40+1,24*(2,00-1,32)+ostění oken (0,325*1,97*2*2+0,250*1,24*2+0,150*1,97*2+0,150*1,24)+plocha polopříčky 2,365*0,10</t>
  </si>
  <si>
    <t>m.č. 2048b ;</t>
  </si>
  <si>
    <t xml:space="preserve"> (0,80+2,365)*2*(4,00-2,00)</t>
  </si>
  <si>
    <t>strop m.č. 2048a- b</t>
  </si>
  <si>
    <t>2,97*2,365+0,50*1,030</t>
  </si>
  <si>
    <t>v.č. 25 / 4NP dámské toalety</t>
  </si>
  <si>
    <t xml:space="preserve"> (1,56*2+(0,97+1,24+0,92))*(3,69-2,00)+1,24*(2,00-1,32)+ostění oken (0,325*1,97*2*2+0,250*1,24*2+0,150*1,97*2+0,150*1,24)+(0,97+1,24+0,92)*0,35+plocha polopříčky (0,97+1,24+0,92)*0,10</t>
  </si>
  <si>
    <t xml:space="preserve"> (1,50+1,075)*(3,69-2,00)+ (1,40+0,975)*0,35+plocha polopříčky1,40*0,10</t>
  </si>
  <si>
    <t xml:space="preserve"> (0,975)*(3,69-2,00)+(1,40*2+0,975)*0,35+plocha polopříčky1,40*0,10</t>
  </si>
  <si>
    <t xml:space="preserve"> (1,50+1,080)*(3,69-2,00)+ (1,40+0,980)*0,35</t>
  </si>
  <si>
    <t>strop m.č. 3053 c- f</t>
  </si>
  <si>
    <t>3,06*3,13</t>
  </si>
  <si>
    <t>(2,17*2+2,365)*(3,69-2,00)+(0,42*2*0,20)+2,365*(3,69-2,00)+1,24*(2,00-1,32)+ostění oken (0,325*1,97*2*2+0,250*1,24*2+0,150*1,97*2+0,150*1,24)</t>
  </si>
  <si>
    <t xml:space="preserve"> (0,79+2,365)*2*(3,69-2,00)</t>
  </si>
  <si>
    <t>strop m.č. 3053 a-b</t>
  </si>
  <si>
    <t>3,06*2,365+0,42*1,03</t>
  </si>
  <si>
    <t>v.č. 27 / 5 NP dámské toalety</t>
  </si>
  <si>
    <t xml:space="preserve"> (1,65*2+(0,96+1,24+1,105))*(3,90-2,00)+1,24*(2,00-1,32)+ostění oken (0,325*1,97*2*2+0,250*1,24*2+0,150*1,97*2+0,150*1,24)+(0,96+1,24+1,105)*0,25+plocha polopříčky (0,96+1,24+1,105)*0,10</t>
  </si>
  <si>
    <t xml:space="preserve"> (1,54+1,130)*(3,90-2,00)+ (1,44+1,03)*0,25+plocha polopříčky1,44*0,10</t>
  </si>
  <si>
    <t xml:space="preserve"> (1,035)*(3,90-2,00)+(1,44*2+1,035)*0,25+plocha polopříčky1,44*0,10</t>
  </si>
  <si>
    <t xml:space="preserve"> (1,54+1,140)*(3,90-2,00)+ (1,44+1,040)*0,25</t>
  </si>
  <si>
    <t>strop m.č. 4054 c- f</t>
  </si>
  <si>
    <t>3,19*(0,96+1,24+1,105)</t>
  </si>
  <si>
    <t>(1,54+2,410)*2*(3,90-2,00)+(0,35*2*0,25)+1,22*(2,00-1,32)+ostění oken (0,325*1,97*2*2+0,250*1,22*2+0,150*1,97*2+0,150*1,24)</t>
  </si>
  <si>
    <t>(1,55+2,410)*2*(3,90-2,00)</t>
  </si>
  <si>
    <t>strop m.č. 4054 a-b</t>
  </si>
  <si>
    <t>3,19*2,41+0,35*1,03</t>
  </si>
  <si>
    <t>v.č. 22 / 2NP pánské toalety</t>
  </si>
  <si>
    <t>(2,60+3,87)*2*(3,98-2,00)+1,350*(2,00-0,80)+ ostění okna (0,325*(0,44+2,44)*2+0,150*2,44*2+(0,250*2+0,150)*1,35)</t>
  </si>
  <si>
    <t>(1,40+0,90)*2*(3,98-2,00)</t>
  </si>
  <si>
    <t>strop m.č. 1052 b- d</t>
  </si>
  <si>
    <t>2,60*3,87</t>
  </si>
  <si>
    <t>(2,60+1,50)*2*(3,98-2,00)+(0,60*0,20*2)</t>
  </si>
  <si>
    <t>strop m.č. 1052 a</t>
  </si>
  <si>
    <t>2,60*1,50+0,60*1,15</t>
  </si>
  <si>
    <t>v.č. 24 / 3NP pánské toalety</t>
  </si>
  <si>
    <t>(2,75+4,070+2,07)*(4,00-2,0)+(1,35*(2,0-0,80)+ ostění okna (0,325*(0,44+2,44)*2+0,150*2,44*2+(0,250*2+0,150)*1,35)+(1,50+2,00)*0,35</t>
  </si>
  <si>
    <t>(1,00)*(4,00-2,00)+(1,40*2+0,90)*0,35</t>
  </si>
  <si>
    <t>(1,00+1,50)*(4,00-2,00)+(1,40+0,90)*0,35</t>
  </si>
  <si>
    <t>strop m.č. 2052 b- d</t>
  </si>
  <si>
    <t>2,75*4,07</t>
  </si>
  <si>
    <t>(2,75+1,50)*2*(4,00-2,00)+(0,60*0,50*2)</t>
  </si>
  <si>
    <t>strop m.č. 2052 a</t>
  </si>
  <si>
    <t>2,75*1,50+0,60*1,59</t>
  </si>
  <si>
    <t>v.č. 26 / 4NP pánské toalety</t>
  </si>
  <si>
    <t>(2,75+1,51*2)*(3,45-2,0)+(1,35*(2,0-0,80)+2,75*0,35+ ostění okna (0,175*0,44*2)+(0,290*2,44*2*2)+(0,100+0,250+0,230)*1,35)+plocha polopříčky 2,75*0,10</t>
  </si>
  <si>
    <t>(1,14+0,20)*(3,45-2,00)+(1,46*2+1,14)*0,35+plocha polopříčky(1,56+1,14)*0,10</t>
  </si>
  <si>
    <t>(2,750+2,91+1,67)*(3,45-2,00)+(1,56+1,14)*0,35</t>
  </si>
  <si>
    <t>strop m.č. 3059 b- d</t>
  </si>
  <si>
    <t>2,75*(2,91+0,10+1,51)</t>
  </si>
  <si>
    <t>(2,75+1,195)*2*(3,45-2,00)+(0,42*2*0,30)</t>
  </si>
  <si>
    <t>2,75*1,195+0,42*1,14</t>
  </si>
  <si>
    <t>v.č. 28 / 5NP pánské toalety</t>
  </si>
  <si>
    <t>(2,40+1,255*2)*(3,60-2,0)+(1,35*(2,0-0,80)+2,40*0,25+ ostění okna (0,175*0,44*2)+(0,290*2,44*2*2)+(0,100+0,250+0,230)*1,35)+plocha polopříčky 2,40*0,10</t>
  </si>
  <si>
    <t>(1,02+0,20)*(3,60-2,00)+(1,50*2+1,02)*0,25+plocha polopříčky(1,60+1,02)*0,10</t>
  </si>
  <si>
    <t>(2,400+2,85+1,73)*(3,60-2,00)+(1,60+1,02)*0,25</t>
  </si>
  <si>
    <t>strop m.č. 4058 b - d</t>
  </si>
  <si>
    <t>2,40*(2,85+1,255)</t>
  </si>
  <si>
    <t>(2,40+1,54)*2*(3,60-2,00)+(0,49*2*0,30)</t>
  </si>
  <si>
    <t>strop m.č. 4058 a</t>
  </si>
  <si>
    <t>2,40*1,54+0,49*1,10</t>
  </si>
  <si>
    <t>784 - Malby stěn a stropů</t>
  </si>
  <si>
    <t>sk</t>
  </si>
  <si>
    <t>Podlahová vpusť DN40/50 s vodorovným odtokem s 
izolačním límcem, zápachovou uzávěrou primus. Hladina uzavírací vody v zápachové uzávěrce je 30mm. Nástavec výškově stavitelný 17-70mm/123x123mm a vtoková mřížka 115 x 115mm s primus designem. Tento uzávěr je těsný s i bez vody v ZU, Doplňování do ZU již není nutné, Ochranný stavební kryt rámečku je v balení. Minimální stavební výška 70mm</t>
  </si>
  <si>
    <t>Opatrné odsekání parapetních keramických dlaždic, plochy do 1m2</t>
  </si>
  <si>
    <t>Vysekání rýh ve zdivu cihelném pro závěsné WC a pisoáry vel. Hl.250mm, š. 450mm ; výměra : 1,20*33</t>
  </si>
  <si>
    <t xml:space="preserve">Podlahová vpusť s nerezovou mřížkou se suchou zápachovou uzávěrou </t>
  </si>
  <si>
    <t xml:space="preserve">Přesun hmot  </t>
  </si>
  <si>
    <t>Zkouška těsnosti vodou do DN 200</t>
  </si>
  <si>
    <r>
      <t xml:space="preserve">721 - Vnitřní kanalizace </t>
    </r>
    <r>
      <rPr>
        <sz val="9"/>
        <rFont val="Arial"/>
        <family val="2"/>
      </rPr>
      <t xml:space="preserve">včetně montážního a </t>
    </r>
  </si>
  <si>
    <t>Proplach a desinfekce vodovodního potrubí 
do DN 80mm</t>
  </si>
  <si>
    <t>Zkouška těsnosti vodou do DN 50</t>
  </si>
  <si>
    <t>Přesun hmot  (8%)</t>
  </si>
  <si>
    <t xml:space="preserve">Dodáv.+Mont.
</t>
  </si>
  <si>
    <t>Sádrokartonový podhled kazetový, demontovatelný, velikost kazet 600x600mm + závěsná nosná 
konstrikce viditelná</t>
  </si>
  <si>
    <t>m.č.3053c</t>
  </si>
  <si>
    <t>m.č.3053d</t>
  </si>
  <si>
    <t>m.č.3053e</t>
  </si>
  <si>
    <t>m.č.3053f</t>
  </si>
  <si>
    <t xml:space="preserve">v.č. D.1.1.25 / 4NP dámské toalety </t>
  </si>
  <si>
    <t>Přesun hmot   (2,02%)</t>
  </si>
  <si>
    <r>
      <t>Nástěnné svítidlo,</t>
    </r>
    <r>
      <rPr>
        <sz val="9"/>
        <rFont val="Arial"/>
        <family val="2"/>
      </rPr>
      <t xml:space="preserve"> čistý design a vysoká kvalita, 
matný bílý lakovaný kov, vhodné k osvětlení chodby, haly, schodiště nebo koupelny, 71135, včetně
 žárovky: 1x max. 100 watt halogenová R7S 230V, 
vel. v.10 cm x š. 18 cm x hl.6,5 cm, nástěnná deska: 
10 cm x 17 cm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</si>
  <si>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 xml:space="preserve">Vypínač; </t>
    </r>
    <r>
      <rPr>
        <sz val="9"/>
        <rFont val="Arial"/>
        <family val="2"/>
      </rPr>
      <t xml:space="preserve">kryt spínače jednoduchý kouřová šedá 
3558A-A651 S2,vel. š. 65,3 mm,dl. 65 mm, v. 26 mm, hmotnost: 26,46 g, kryt spínače se dodává s 
přídržnou deskou pro upevnění k přístroji spínače+rámeček jednonásobný+ přístroj spínače jednopólového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</si>
  <si>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t xml:space="preserve">Kč </t>
  </si>
  <si>
    <t>Úpravy kabelů</t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</si>
  <si>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hladké dýhované, levé do ocelových zárubní, L 600 x 1970 mm, budou, opáleny, vykytovány přebroušeny, kování - nová klika nerezová, barva šedá,  zárubeň - stávající ocelová (barva bílá), barva nová šedá</t>
    </r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</si>
  <si>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hladké dýhované, pravé do ocelových zárubní, P 600 x 1970 mm,  budou, opáleny, vykytovány přebroušeny,kování - nová klika nerezová, barva šedá,  zárubeň -  stávající ocelová (barva bílá), barva nová šedá</t>
    </r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</si>
  <si>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hladké dýhované, pravé do ocelových zárubní, P 800 x 1970 mm , budou, opáleny, vykytovány přebroušeny, kování - nová klika nerezová, barva šedá,  zárubeň - stávající ocelová (barva bílá), barva nová šedá</t>
    </r>
  </si>
  <si>
    <r>
      <t>Umyvadlo keramické bílé vel. 60x46,5x9,5cm</t>
    </r>
    <r>
      <rPr>
        <sz val="9"/>
        <rFont val="Arial"/>
        <family val="2"/>
      </rPr>
      <t xml:space="preserve">, s </t>
    </r>
    <r>
      <rPr>
        <sz val="8"/>
        <rFont val="Arial"/>
        <family val="2"/>
      </rPr>
      <t xml:space="preserve">otvorem na baterii uprostřed, s oblým designem, hmotnost 17kg, 1696.3.000.104.1
</t>
    </r>
    <r>
      <rPr>
        <b/>
        <sz val="8"/>
        <rFont val="Arial"/>
        <family val="2"/>
      </rPr>
      <t>Sifon umyvadlový</t>
    </r>
    <r>
      <rPr>
        <sz val="8"/>
        <rFont val="Arial"/>
        <family val="2"/>
      </rPr>
      <t xml:space="preserve">,  vtok 5/4 CR, chrom, hmotnost 0,74kg, sifm + manžeta
</t>
    </r>
    <r>
      <rPr>
        <b/>
        <sz val="8"/>
        <rFont val="Arial"/>
        <family val="2"/>
      </rPr>
      <t>Vtok um. 5/4</t>
    </r>
    <r>
      <rPr>
        <sz val="8"/>
        <rFont val="Arial"/>
        <family val="2"/>
      </rPr>
      <t>, clic-clac celochrom, hmotnost 0,50kg, vf785cr, clic-clac má kulatý pochromovaný klobouk, který dokonale překryje vtok v umyvadle, klobouk lze odmontovat a vyčistit tak vtok od nečistot jako jsou například lidské vlasy</t>
    </r>
    <r>
      <rPr>
        <b/>
        <sz val="8"/>
        <rFont val="Arial"/>
        <family val="2"/>
      </rPr>
      <t xml:space="preserve">
Montážní sada na uchycení umyvadla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Set pro mokré vrtání</t>
    </r>
    <r>
      <rPr>
        <sz val="8"/>
        <rFont val="Arial"/>
        <family val="2"/>
      </rPr>
      <t xml:space="preserve"> složený z diamantového vrtáku a adaptéru, který zajišťuje optimální chlazení a přesné vedení vrtáku.
</t>
    </r>
    <r>
      <rPr>
        <b/>
        <sz val="8"/>
        <rFont val="Arial"/>
        <family val="2"/>
      </rPr>
      <t xml:space="preserve">Zvukoizolační vložka k umyvadlu - </t>
    </r>
    <r>
      <rPr>
        <sz val="8"/>
        <rFont val="Arial"/>
        <family val="2"/>
      </rPr>
      <t xml:space="preserve">vložka z měkké hmoty, která se dává mezi umyvadlo a zeď. Zabraňuje prasknutí obkladů při dotažení umyvadla ke zdi
</t>
    </r>
    <r>
      <rPr>
        <b/>
        <sz val="8"/>
        <rFont val="Arial"/>
        <family val="2"/>
      </rPr>
      <t xml:space="preserve">Kompletní provedení </t>
    </r>
    <r>
      <rPr>
        <sz val="8"/>
        <rFont val="Arial"/>
        <family val="2"/>
      </rPr>
      <t>včetně montážního a pomocného materiálu</t>
    </r>
  </si>
  <si>
    <t>m.č. 037a-b</t>
  </si>
  <si>
    <t>strop+klenba(0,48+1,24+0,645)*3,06+0,6*1,03</t>
  </si>
  <si>
    <t>m.č.1047c-f</t>
  </si>
  <si>
    <t>strop+klenba(0,92+1,24+0,91)*3,06</t>
  </si>
  <si>
    <t>m.č.1047a-b</t>
  </si>
  <si>
    <t>strop+klenba2,365*3,06+0,6*1,03</t>
  </si>
  <si>
    <t>m.č. 037c- f</t>
  </si>
  <si>
    <r>
      <rPr>
        <b/>
        <sz val="8"/>
        <rFont val="Arial"/>
        <family val="2"/>
      </rPr>
      <t>Předstěnový</t>
    </r>
    <r>
      <rPr>
        <sz val="8"/>
        <rFont val="Arial"/>
        <family val="2"/>
      </rPr>
      <t xml:space="preserve"> instalační systém do kombinovaných stěn   </t>
    </r>
  </si>
  <si>
    <r>
      <rPr>
        <b/>
        <sz val="9"/>
        <rFont val="Arial"/>
        <family val="2"/>
      </rPr>
      <t>Dřez</t>
    </r>
    <r>
      <rPr>
        <sz val="9"/>
        <rFont val="Arial"/>
        <family val="2"/>
      </rPr>
      <t xml:space="preserve"> nerezový včetně spodní kuch. skříňky</t>
    </r>
  </si>
  <si>
    <r>
      <rPr>
        <b/>
        <sz val="9"/>
        <rFont val="Arial"/>
        <family val="2"/>
      </rPr>
      <t>Výlevka</t>
    </r>
    <r>
      <rPr>
        <sz val="9"/>
        <rFont val="Arial"/>
        <family val="2"/>
      </rPr>
      <t xml:space="preserve"> ocelová</t>
    </r>
  </si>
  <si>
    <t>9 - Přípravné práce + demontáže konstrukcí</t>
  </si>
  <si>
    <t>6 - Vnitřní úpravy povrchů</t>
  </si>
  <si>
    <t>766 - Truhlářské konstrukce</t>
  </si>
  <si>
    <t>731 - Ústřední vytápění</t>
  </si>
  <si>
    <r>
      <rPr>
        <b/>
        <sz val="8"/>
        <rFont val="Arial"/>
        <family val="2"/>
      </rPr>
      <t xml:space="preserve">Poznámka </t>
    </r>
    <r>
      <rPr>
        <sz val="8"/>
        <rFont val="Arial"/>
        <family val="2"/>
      </rPr>
      <t>:
Kovové předměty budou zváženy, hmotnost zapsána do stavebního deníku, odvezeny do sběrny druhotných surovin (kovošrot) a jejich výzisk bude odečten z ceny díla v hodnotě určené cenou/ kg v den jejich prodeje. Výměra ; cca 157kg (ocel.potrubí ?) upřesní se dle skutečnosti.</t>
    </r>
  </si>
  <si>
    <t>Nové a úprava připojovacího potrubí DN 15</t>
  </si>
  <si>
    <t>poznámka : podrobnosti viz TZ bod 4.5,4</t>
  </si>
  <si>
    <t>Dtto, otopná tělesa avšak  vel. 22/900/400</t>
  </si>
  <si>
    <t>Dtto, otopná tělesa avšak  vel. 22/600/800</t>
  </si>
  <si>
    <t>Dtto, otopná tělesa avšak  vel. 22/900/500</t>
  </si>
  <si>
    <t>Dtto, otopná tělesa avšak  vel. 22/600/1200</t>
  </si>
  <si>
    <t>Dtto, otopná tělesa avšak  vel. 22/900/900</t>
  </si>
  <si>
    <t>Termostatické hlavice včetně šroubení</t>
  </si>
  <si>
    <t>Přesun hmot</t>
  </si>
  <si>
    <t>Částečné dozdění výklenků po vysekání  výklenků nebo kapes ve zdivu cihelném na MVC  hl. do 300mm.  (pro uzavírací ventily) / výměra 9*0,80</t>
  </si>
  <si>
    <t>Částečné dozdění rýh  po osazení závěsných konstr. (WC+pisoáry)  ve zdivu cihelném na MVC  vel. 250/400mm.  (závěsné WC+pisoáry)/ 
výměra (0,400*1,20*33)</t>
  </si>
  <si>
    <r>
      <rPr>
        <b/>
        <sz val="9"/>
        <rFont val="Arial"/>
        <family val="2"/>
      </rPr>
      <t>Zrcadlo 600x900mm</t>
    </r>
    <r>
      <rPr>
        <sz val="9"/>
        <rFont val="Arial"/>
        <family val="2"/>
      </rPr>
      <t xml:space="preserve"> bez fazet, vsazené do obkladu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</si>
  <si>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t>Vyhláška 169/2016Sb.</t>
  </si>
  <si>
    <t xml:space="preserve"> - příloha č.1</t>
  </si>
  <si>
    <t>Elektroinstalace</t>
  </si>
  <si>
    <t>Interiérové prvky</t>
  </si>
  <si>
    <r>
      <rPr>
        <b/>
        <sz val="9"/>
        <rFont val="Arial"/>
        <family val="2"/>
      </rPr>
      <t>Demontáž,</t>
    </r>
    <r>
      <rPr>
        <sz val="9"/>
        <rFont val="Arial"/>
        <family val="2"/>
      </rPr>
      <t xml:space="preserve"> vyklizení a likvidace drobných předmětů -zásobník na toaletní papír, háček na dveřích, el. sušák rukou, nádoba+štětka na WC - zásobník na papír.ručníky </t>
    </r>
  </si>
  <si>
    <t>Demontáž malé kuchyňské linky-spodní+horní skříňka</t>
  </si>
  <si>
    <t>Opatrné odsekání podlahových keramických dlaždic, plochy přes 1m2 +začištění povrchu (zbroušení)+ zametení</t>
  </si>
  <si>
    <t>Opatrné vyřezání rýh ve zdivu cihelném na MVC do hl 50mm a š. do 70mm. (pro vodu)</t>
  </si>
  <si>
    <t>Opatrné vyřezání rýh ve zdivu cihelném na MVC do hl 70mm a š. do 70mm.  (pro vodu)</t>
  </si>
  <si>
    <t>Demontáž stávajícího přívodního potrubí DN 15 včetně odřezání konzol, držáků objímek, připojovacích armatur (výměra bude upřesněna dle skutečnosti)</t>
  </si>
  <si>
    <t>Demontáž stávajících otopných těles, radiátorů litinových, článkových včetně regulačních ventilů</t>
  </si>
  <si>
    <t>rýhy do hl 50mm a š. do 70mm. (pro vodu)</t>
  </si>
  <si>
    <t>rýhy do hl 70mm a š. do 70mm.  (pro vodu)</t>
  </si>
  <si>
    <t>Potrubí odpadní svislé - trubka PPs DN 100</t>
  </si>
  <si>
    <t>Kulový kohout KK DN 20</t>
  </si>
  <si>
    <t xml:space="preserve">Kloset zavěšený samonosný  do zapuštěné stěny </t>
  </si>
  <si>
    <t>Pisoár  s automatickém inteligentním splachováním</t>
  </si>
  <si>
    <r>
      <rPr>
        <b/>
        <sz val="9"/>
        <rFont val="Arial"/>
        <family val="2"/>
      </rPr>
      <t>Sprchový kout</t>
    </r>
    <r>
      <rPr>
        <sz val="9"/>
        <rFont val="Arial"/>
        <family val="2"/>
      </rPr>
      <t xml:space="preserve"> se sifónem a prosklenou zástěnou </t>
    </r>
  </si>
  <si>
    <t>Otopná tělesa, deskové radiátory ve standardu 
vel. 22/900/800 / PV 15, PS 15, včetně ; na přívodu- přímé radiátorové ventily DN 15+na zpátečce- uzavíratelné spojky DN 15</t>
  </si>
  <si>
    <t>Soupis prací a dodávek  
s výkazem výměr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</si>
</sst>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"/>
    <numFmt numFmtId="166" formatCode="0.0000"/>
    <numFmt numFmtId="167" formatCode="0.000"/>
    <numFmt numFmtId="168" formatCode="0.00000"/>
    <numFmt numFmtId="169" formatCode="#,##0.000"/>
    <numFmt numFmtId="170" formatCode="0.0"/>
    <numFmt numFmtId="171" formatCode="0.000000"/>
    <numFmt numFmtId="172" formatCode="#,##0.00\ &quot;Kč&quot;"/>
    <numFmt numFmtId="173" formatCode="#,##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_K_č"/>
    <numFmt numFmtId="178" formatCode="#,##0.\-"/>
    <numFmt numFmtId="179" formatCode="#,##0.000;\-#,##0.000"/>
    <numFmt numFmtId="180" formatCode="#,##0;\-#,##0"/>
    <numFmt numFmtId="181" formatCode="#,##0.00;\-#,##0.00"/>
    <numFmt numFmtId="182" formatCode="#,##0.0;\-#,##0.0"/>
    <numFmt numFmtId="183" formatCode="###0;\-###0"/>
    <numFmt numFmtId="184" formatCode="0.0000000"/>
    <numFmt numFmtId="185" formatCode="#,##0.\-;[Red]\-#,##0.\-"/>
    <numFmt numFmtId="186" formatCode="_-* #,##0\ &quot;Kč&quot;_-;\-* #,##0\ &quot;Kč&quot;_-;_-* &quot;-&quot;??\ &quot;Kč&quot;_-;_-@_-"/>
    <numFmt numFmtId="187" formatCode="_-* #,##0.000\ _K_č_-;\-* #,##0.000\ _K_č_-;_-* &quot;-&quot;??\ _K_č_-;_-@_-"/>
    <numFmt numFmtId="188" formatCode="_-* #,##0.0000\ _K_č_-;\-* #,##0.0000\ _K_č_-;_-* &quot;-&quot;??\ _K_č_-;_-@_-"/>
    <numFmt numFmtId="189" formatCode="#,##0\ &quot;Kč&quot;"/>
    <numFmt numFmtId="190" formatCode="000\ 00"/>
    <numFmt numFmtId="191" formatCode="[$-405]d\.\ mmmm\ yyyy"/>
    <numFmt numFmtId="192" formatCode="#,##0.00;[Red]#,##0.00"/>
    <numFmt numFmtId="193" formatCode="0.00;[Red]0.00"/>
    <numFmt numFmtId="194" formatCode="0.00000;[Red]0.00000"/>
    <numFmt numFmtId="195" formatCode="0.000;[Red]0.000"/>
    <numFmt numFmtId="196" formatCode="0.0;[Red]0.0"/>
    <numFmt numFmtId="197" formatCode="0;[Red]0"/>
    <numFmt numFmtId="198" formatCode="0.0000;[Red]0.0000"/>
    <numFmt numFmtId="199" formatCode="[$¥€-2]\ #\ ##,000_);[Red]\([$€-2]\ #\ ##,000\)"/>
    <numFmt numFmtId="200" formatCode="0.00_ ;\-0.00\ "/>
  </numFmts>
  <fonts count="66"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Helv"/>
      <family val="0"/>
    </font>
    <font>
      <sz val="9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sz val="9"/>
      <color indexed="17"/>
      <name val="Arial CE"/>
      <family val="2"/>
    </font>
    <font>
      <b/>
      <sz val="9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sz val="9"/>
      <color rgb="FF00B050"/>
      <name val="Arial CE"/>
      <family val="2"/>
    </font>
    <font>
      <b/>
      <sz val="9"/>
      <color rgb="FF00B05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0" fillId="0" borderId="0" applyAlignment="0"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 applyAlignment="0">
      <protection locked="0"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9" fillId="0" borderId="8">
      <alignment horizontal="left" vertical="center" wrapText="1" indent="1"/>
      <protection/>
    </xf>
    <xf numFmtId="0" fontId="19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" fillId="0" borderId="0">
      <alignment/>
      <protection/>
    </xf>
    <xf numFmtId="0" fontId="58" fillId="0" borderId="0" applyNumberFormat="0" applyFill="0" applyBorder="0" applyAlignment="0" applyProtection="0"/>
    <xf numFmtId="0" fontId="59" fillId="25" borderId="9" applyNumberFormat="0" applyAlignment="0" applyProtection="0"/>
    <xf numFmtId="0" fontId="60" fillId="26" borderId="9" applyNumberFormat="0" applyAlignment="0" applyProtection="0"/>
    <xf numFmtId="0" fontId="61" fillId="26" borderId="10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justify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8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/>
    </xf>
    <xf numFmtId="193" fontId="1" fillId="0" borderId="0" xfId="0" applyNumberFormat="1" applyFont="1" applyFill="1" applyAlignment="1">
      <alignment wrapText="1"/>
    </xf>
    <xf numFmtId="165" fontId="6" fillId="0" borderId="0" xfId="0" applyNumberFormat="1" applyFont="1" applyFill="1" applyBorder="1" applyAlignment="1">
      <alignment vertical="top"/>
    </xf>
    <xf numFmtId="49" fontId="21" fillId="0" borderId="0" xfId="0" applyNumberFormat="1" applyFont="1" applyFill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197" fontId="1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167" fontId="21" fillId="0" borderId="0" xfId="0" applyNumberFormat="1" applyFont="1" applyFill="1" applyAlignment="1">
      <alignment horizontal="right" vertical="top" wrapText="1"/>
    </xf>
    <xf numFmtId="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97" fontId="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 horizontal="left" vertical="top" wrapText="1"/>
    </xf>
    <xf numFmtId="193" fontId="1" fillId="0" borderId="0" xfId="0" applyNumberFormat="1" applyFont="1" applyFill="1" applyAlignment="1">
      <alignment vertical="top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6" fillId="0" borderId="0" xfId="47" applyFont="1" applyFill="1" applyBorder="1" applyAlignment="1">
      <alignment horizontal="left" vertical="top" wrapText="1"/>
      <protection/>
    </xf>
    <xf numFmtId="0" fontId="20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vertical="top" wrapText="1"/>
    </xf>
    <xf numFmtId="0" fontId="63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 wrapText="1"/>
    </xf>
    <xf numFmtId="0" fontId="65" fillId="0" borderId="0" xfId="0" applyFont="1" applyFill="1" applyAlignment="1">
      <alignment horizontal="center" vertical="top" wrapText="1"/>
    </xf>
    <xf numFmtId="0" fontId="64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wrapText="1"/>
    </xf>
    <xf numFmtId="3" fontId="20" fillId="0" borderId="0" xfId="0" applyNumberFormat="1" applyFont="1" applyFill="1" applyAlignment="1">
      <alignment horizontal="center" wrapText="1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2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4" fontId="20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165" fontId="6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horizontal="right" vertical="top" wrapText="1"/>
    </xf>
    <xf numFmtId="167" fontId="9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3" fontId="24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3" fontId="20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165" fontId="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5" fontId="24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right" wrapText="1"/>
    </xf>
    <xf numFmtId="165" fontId="0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wrapText="1"/>
    </xf>
    <xf numFmtId="167" fontId="9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23" fillId="0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right" wrapText="1"/>
    </xf>
    <xf numFmtId="167" fontId="23" fillId="0" borderId="0" xfId="0" applyNumberFormat="1" applyFont="1" applyFill="1" applyAlignment="1">
      <alignment horizontal="right" vertical="top" wrapText="1"/>
    </xf>
    <xf numFmtId="4" fontId="2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right" wrapText="1"/>
    </xf>
    <xf numFmtId="167" fontId="6" fillId="0" borderId="0" xfId="0" applyNumberFormat="1" applyFont="1" applyFill="1" applyAlignment="1">
      <alignment wrapText="1"/>
    </xf>
    <xf numFmtId="193" fontId="6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67" fontId="9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20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167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vertical="top"/>
    </xf>
    <xf numFmtId="4" fontId="9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horizontal="right" vertical="top" wrapText="1"/>
    </xf>
    <xf numFmtId="170" fontId="6" fillId="0" borderId="0" xfId="0" applyNumberFormat="1" applyFont="1" applyFill="1" applyAlignment="1">
      <alignment horizontal="right" vertical="top" wrapText="1"/>
    </xf>
    <xf numFmtId="170" fontId="0" fillId="0" borderId="0" xfId="0" applyNumberFormat="1" applyFont="1" applyFill="1" applyAlignment="1">
      <alignment horizontal="right" vertical="top" wrapText="1"/>
    </xf>
    <xf numFmtId="170" fontId="24" fillId="0" borderId="11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Alignment="1">
      <alignment vertical="top" wrapText="1"/>
    </xf>
    <xf numFmtId="170" fontId="6" fillId="0" borderId="0" xfId="0" applyNumberFormat="1" applyFont="1" applyFill="1" applyAlignment="1">
      <alignment wrapText="1"/>
    </xf>
    <xf numFmtId="170" fontId="6" fillId="0" borderId="0" xfId="0" applyNumberFormat="1" applyFont="1" applyFill="1" applyAlignment="1">
      <alignment vertical="top" wrapText="1"/>
    </xf>
    <xf numFmtId="170" fontId="20" fillId="0" borderId="0" xfId="0" applyNumberFormat="1" applyFont="1" applyFill="1" applyAlignment="1">
      <alignment wrapText="1"/>
    </xf>
    <xf numFmtId="170" fontId="6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 horizontal="right" wrapText="1"/>
    </xf>
    <xf numFmtId="170" fontId="6" fillId="0" borderId="0" xfId="0" applyNumberFormat="1" applyFont="1" applyFill="1" applyAlignment="1">
      <alignment vertical="top"/>
    </xf>
    <xf numFmtId="170" fontId="6" fillId="0" borderId="0" xfId="0" applyNumberFormat="1" applyFont="1" applyFill="1" applyAlignment="1">
      <alignment horizontal="left" wrapText="1"/>
    </xf>
    <xf numFmtId="170" fontId="6" fillId="0" borderId="0" xfId="0" applyNumberFormat="1" applyFont="1" applyFill="1" applyAlignment="1">
      <alignment horizontal="center" wrapText="1"/>
    </xf>
    <xf numFmtId="170" fontId="20" fillId="0" borderId="0" xfId="0" applyNumberFormat="1" applyFont="1" applyFill="1" applyAlignment="1">
      <alignment vertical="top" wrapText="1"/>
    </xf>
    <xf numFmtId="170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70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 wrapText="1"/>
    </xf>
    <xf numFmtId="2" fontId="6" fillId="0" borderId="0" xfId="0" applyNumberFormat="1" applyFont="1" applyFill="1" applyAlignment="1">
      <alignment horizontal="right" vertical="top" wrapText="1"/>
    </xf>
    <xf numFmtId="170" fontId="23" fillId="0" borderId="0" xfId="0" applyNumberFormat="1" applyFont="1" applyFill="1" applyAlignment="1">
      <alignment wrapText="1"/>
    </xf>
    <xf numFmtId="0" fontId="2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9" fontId="6" fillId="0" borderId="0" xfId="53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wrapText="1"/>
    </xf>
    <xf numFmtId="49" fontId="20" fillId="0" borderId="0" xfId="63" applyNumberFormat="1" applyFont="1" applyFill="1" applyBorder="1" applyAlignment="1">
      <alignment horizontal="center" wrapText="1"/>
      <protection/>
    </xf>
    <xf numFmtId="49" fontId="6" fillId="0" borderId="0" xfId="63" applyNumberFormat="1" applyFont="1" applyFill="1" applyBorder="1" applyAlignment="1">
      <alignment horizontal="center" wrapText="1"/>
      <protection/>
    </xf>
    <xf numFmtId="49" fontId="6" fillId="0" borderId="0" xfId="63" applyNumberFormat="1" applyFont="1" applyFill="1" applyBorder="1" applyAlignment="1">
      <alignment horizontal="left" wrapText="1"/>
      <protection/>
    </xf>
    <xf numFmtId="49" fontId="20" fillId="0" borderId="0" xfId="53" applyNumberFormat="1" applyFont="1" applyFill="1" applyBorder="1" applyAlignment="1">
      <alignment horizontal="left" wrapText="1"/>
      <protection/>
    </xf>
    <xf numFmtId="0" fontId="6" fillId="0" borderId="0" xfId="0" applyFont="1" applyFill="1" applyAlignment="1">
      <alignment horizontal="justify"/>
    </xf>
    <xf numFmtId="0" fontId="20" fillId="0" borderId="0" xfId="0" applyFont="1" applyFill="1" applyAlignment="1">
      <alignment horizontal="justify"/>
    </xf>
    <xf numFmtId="0" fontId="6" fillId="0" borderId="0" xfId="53" applyFont="1" applyFill="1" applyAlignment="1">
      <alignment horizontal="justify"/>
      <protection/>
    </xf>
    <xf numFmtId="49" fontId="20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167" fontId="1" fillId="0" borderId="0" xfId="0" applyNumberFormat="1" applyFont="1" applyFill="1" applyAlignment="1">
      <alignment horizontal="right" vertical="top"/>
    </xf>
    <xf numFmtId="2" fontId="1" fillId="0" borderId="0" xfId="0" applyNumberFormat="1" applyFont="1" applyFill="1" applyAlignment="1">
      <alignment horizontal="right" vertical="top"/>
    </xf>
    <xf numFmtId="49" fontId="24" fillId="0" borderId="1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wrapText="1"/>
    </xf>
    <xf numFmtId="166" fontId="9" fillId="0" borderId="0" xfId="0" applyNumberFormat="1" applyFont="1" applyFill="1" applyAlignment="1">
      <alignment horizontal="right" vertical="top" wrapText="1"/>
    </xf>
    <xf numFmtId="170" fontId="20" fillId="0" borderId="0" xfId="0" applyNumberFormat="1" applyFont="1" applyFill="1" applyAlignment="1">
      <alignment horizontal="right" wrapText="1"/>
    </xf>
    <xf numFmtId="4" fontId="20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166" fontId="9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vertical="top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9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1" fontId="25" fillId="0" borderId="0" xfId="0" applyNumberFormat="1" applyFont="1" applyFill="1" applyBorder="1" applyAlignment="1">
      <alignment/>
    </xf>
    <xf numFmtId="165" fontId="25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197" fontId="6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center" vertical="top" wrapText="1"/>
    </xf>
    <xf numFmtId="49" fontId="0" fillId="0" borderId="0" xfId="63" applyNumberFormat="1" applyFont="1" applyFill="1" applyBorder="1" applyAlignment="1">
      <alignment horizontal="left" wrapText="1"/>
      <protection/>
    </xf>
    <xf numFmtId="197" fontId="6" fillId="0" borderId="0" xfId="0" applyNumberFormat="1" applyFont="1" applyFill="1" applyAlignment="1">
      <alignment wrapText="1"/>
    </xf>
    <xf numFmtId="0" fontId="12" fillId="0" borderId="0" xfId="0" applyFont="1" applyAlignment="1">
      <alignment horizontal="right"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0 2" xfId="48"/>
    <cellStyle name="Normální 11" xfId="49"/>
    <cellStyle name="Normální 12" xfId="50"/>
    <cellStyle name="Normální 13" xfId="51"/>
    <cellStyle name="Normální 14" xfId="52"/>
    <cellStyle name="Normální 15" xfId="53"/>
    <cellStyle name="normální 2" xfId="54"/>
    <cellStyle name="normální 2 2" xfId="55"/>
    <cellStyle name="normální 2 3" xfId="56"/>
    <cellStyle name="Normální 28" xfId="57"/>
    <cellStyle name="normální 3" xfId="58"/>
    <cellStyle name="Normální 4" xfId="59"/>
    <cellStyle name="Normální 5" xfId="60"/>
    <cellStyle name="Normální 6" xfId="61"/>
    <cellStyle name="Normální 6 2" xfId="62"/>
    <cellStyle name="Normální 7" xfId="63"/>
    <cellStyle name="Normální 7 2" xfId="64"/>
    <cellStyle name="Normální 8" xfId="65"/>
    <cellStyle name="Normální 8 2" xfId="66"/>
    <cellStyle name="Normální 9" xfId="67"/>
    <cellStyle name="Normální 9 2" xfId="68"/>
    <cellStyle name="Poznámka" xfId="69"/>
    <cellStyle name="Percent" xfId="70"/>
    <cellStyle name="Propojená buňka" xfId="71"/>
    <cellStyle name="R_text" xfId="72"/>
    <cellStyle name="Followed Hyperlink" xfId="73"/>
    <cellStyle name="Správně" xfId="74"/>
    <cellStyle name="Styl 1" xfId="75"/>
    <cellStyle name="Text upozornění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92.7109375" style="32" customWidth="1"/>
    <col min="2" max="2" width="9.140625" style="32" customWidth="1"/>
    <col min="3" max="3" width="56.28125" style="32" customWidth="1"/>
    <col min="4" max="16384" width="9.140625" style="32" customWidth="1"/>
  </cols>
  <sheetData>
    <row r="1" ht="12.75">
      <c r="A1" s="31" t="s">
        <v>38</v>
      </c>
    </row>
    <row r="2" spans="1:5" ht="12.75">
      <c r="A2" s="33" t="s">
        <v>39</v>
      </c>
      <c r="B2" s="34"/>
      <c r="C2" s="34"/>
      <c r="D2" s="34"/>
      <c r="E2" s="34"/>
    </row>
    <row r="3" spans="1:5" ht="12.75">
      <c r="A3" s="34"/>
      <c r="B3" s="34"/>
      <c r="C3" s="34"/>
      <c r="D3" s="34"/>
      <c r="E3" s="34"/>
    </row>
    <row r="4" spans="1:5" ht="12.75">
      <c r="A4" s="35" t="s">
        <v>40</v>
      </c>
      <c r="B4" s="35"/>
      <c r="C4" s="35"/>
      <c r="D4" s="34"/>
      <c r="E4" s="34"/>
    </row>
    <row r="5" spans="1:5" ht="12.75">
      <c r="A5" s="35"/>
      <c r="B5" s="35"/>
      <c r="C5" s="35"/>
      <c r="D5" s="34"/>
      <c r="E5" s="34"/>
    </row>
    <row r="6" spans="1:5" ht="12.75">
      <c r="A6" s="35" t="s">
        <v>41</v>
      </c>
      <c r="B6" s="35"/>
      <c r="C6" s="35"/>
      <c r="D6" s="34"/>
      <c r="E6" s="34"/>
    </row>
    <row r="7" spans="1:5" ht="12.75">
      <c r="A7" s="35"/>
      <c r="B7" s="35"/>
      <c r="C7" s="35"/>
      <c r="D7" s="34"/>
      <c r="E7" s="34"/>
    </row>
    <row r="8" spans="1:5" ht="25.5">
      <c r="A8" s="35" t="s">
        <v>42</v>
      </c>
      <c r="B8" s="35"/>
      <c r="C8" s="35"/>
      <c r="D8" s="34"/>
      <c r="E8" s="34"/>
    </row>
    <row r="9" spans="1:5" ht="12.75">
      <c r="A9" s="35"/>
      <c r="B9" s="35"/>
      <c r="C9" s="35"/>
      <c r="D9" s="34"/>
      <c r="E9" s="34"/>
    </row>
    <row r="10" spans="1:5" ht="25.5">
      <c r="A10" s="35" t="s">
        <v>43</v>
      </c>
      <c r="B10" s="35"/>
      <c r="C10" s="35"/>
      <c r="D10" s="34"/>
      <c r="E10" s="34"/>
    </row>
    <row r="11" spans="1:5" ht="12.75">
      <c r="A11" s="36"/>
      <c r="B11" s="35"/>
      <c r="C11" s="35"/>
      <c r="D11" s="34"/>
      <c r="E11" s="34"/>
    </row>
    <row r="12" spans="1:5" ht="63.75">
      <c r="A12" s="35" t="s">
        <v>105</v>
      </c>
      <c r="B12" s="35"/>
      <c r="C12" s="35"/>
      <c r="D12" s="34"/>
      <c r="E12" s="34"/>
    </row>
    <row r="13" spans="1:5" ht="12.75">
      <c r="A13" s="35"/>
      <c r="B13" s="35"/>
      <c r="C13" s="35"/>
      <c r="D13" s="34"/>
      <c r="E13" s="34"/>
    </row>
    <row r="14" spans="1:5" ht="38.25">
      <c r="A14" s="35" t="s">
        <v>44</v>
      </c>
      <c r="B14" s="35"/>
      <c r="C14" s="35"/>
      <c r="D14" s="34"/>
      <c r="E14" s="34"/>
    </row>
    <row r="15" spans="1:5" ht="12.75">
      <c r="A15" s="35"/>
      <c r="B15" s="35"/>
      <c r="C15" s="35"/>
      <c r="D15" s="34"/>
      <c r="E15" s="34"/>
    </row>
    <row r="16" spans="1:5" ht="38.25">
      <c r="A16" s="35" t="s">
        <v>45</v>
      </c>
      <c r="B16" s="35"/>
      <c r="C16" s="35"/>
      <c r="D16" s="34"/>
      <c r="E16" s="34"/>
    </row>
    <row r="17" spans="1:5" ht="12.75">
      <c r="A17" s="35"/>
      <c r="B17" s="35"/>
      <c r="C17" s="35"/>
      <c r="D17" s="34"/>
      <c r="E17" s="34"/>
    </row>
    <row r="18" spans="1:5" ht="12.75">
      <c r="A18" s="35" t="s">
        <v>46</v>
      </c>
      <c r="B18" s="35"/>
      <c r="C18" s="35"/>
      <c r="D18" s="34"/>
      <c r="E18" s="34"/>
    </row>
    <row r="19" spans="1:5" ht="12.75">
      <c r="A19" s="35"/>
      <c r="B19" s="35"/>
      <c r="C19" s="35"/>
      <c r="D19" s="34"/>
      <c r="E19" s="34"/>
    </row>
    <row r="20" spans="1:5" ht="25.5">
      <c r="A20" s="35" t="s">
        <v>106</v>
      </c>
      <c r="B20" s="35"/>
      <c r="C20" s="35"/>
      <c r="D20" s="34"/>
      <c r="E20" s="34"/>
    </row>
    <row r="21" spans="1:5" ht="12.75">
      <c r="A21" s="35"/>
      <c r="B21" s="35"/>
      <c r="C21" s="35"/>
      <c r="D21" s="34"/>
      <c r="E21" s="34"/>
    </row>
    <row r="22" spans="1:5" ht="38.25">
      <c r="A22" s="35" t="s">
        <v>47</v>
      </c>
      <c r="B22" s="35"/>
      <c r="C22" s="35"/>
      <c r="D22" s="34"/>
      <c r="E22" s="34"/>
    </row>
    <row r="23" spans="1:5" ht="12.75">
      <c r="A23" s="35"/>
      <c r="B23" s="35"/>
      <c r="C23" s="35"/>
      <c r="D23" s="34"/>
      <c r="E23" s="34"/>
    </row>
    <row r="24" spans="1:5" ht="25.5">
      <c r="A24" s="35" t="s">
        <v>0</v>
      </c>
      <c r="B24" s="35"/>
      <c r="C24" s="35"/>
      <c r="D24" s="34"/>
      <c r="E24" s="34"/>
    </row>
    <row r="25" spans="1:5" ht="12.75">
      <c r="A25" s="35"/>
      <c r="B25" s="35"/>
      <c r="C25" s="35"/>
      <c r="D25" s="34"/>
      <c r="E25" s="34"/>
    </row>
    <row r="26" spans="1:5" ht="25.5">
      <c r="A26" s="35" t="s">
        <v>1</v>
      </c>
      <c r="B26" s="35"/>
      <c r="C26" s="35"/>
      <c r="D26" s="34"/>
      <c r="E26" s="34"/>
    </row>
    <row r="27" spans="1:5" ht="12.75">
      <c r="A27" s="35"/>
      <c r="B27" s="35"/>
      <c r="C27" s="35"/>
      <c r="D27" s="34"/>
      <c r="E27" s="34"/>
    </row>
    <row r="28" spans="1:5" ht="12.75">
      <c r="A28" s="35" t="s">
        <v>2</v>
      </c>
      <c r="B28" s="35"/>
      <c r="C28" s="35"/>
      <c r="D28" s="34"/>
      <c r="E28" s="34"/>
    </row>
    <row r="29" spans="1:5" ht="12.75">
      <c r="A29" s="35"/>
      <c r="B29" s="35"/>
      <c r="C29" s="35"/>
      <c r="D29" s="34"/>
      <c r="E29" s="34"/>
    </row>
    <row r="30" spans="1:5" ht="12.75">
      <c r="A30" s="35" t="s">
        <v>3</v>
      </c>
      <c r="B30" s="35"/>
      <c r="C30" s="35"/>
      <c r="D30" s="34"/>
      <c r="E30" s="34"/>
    </row>
    <row r="31" spans="1:5" ht="12.75">
      <c r="A31" s="35"/>
      <c r="B31" s="35"/>
      <c r="C31" s="35"/>
      <c r="D31" s="34"/>
      <c r="E31" s="34"/>
    </row>
    <row r="32" spans="1:5" ht="25.5">
      <c r="A32" s="35" t="s">
        <v>4</v>
      </c>
      <c r="B32" s="35"/>
      <c r="C32" s="35"/>
      <c r="D32" s="34"/>
      <c r="E32" s="34"/>
    </row>
    <row r="33" spans="1:5" ht="12.75">
      <c r="A33" s="35"/>
      <c r="B33" s="35"/>
      <c r="C33" s="35"/>
      <c r="D33" s="34"/>
      <c r="E33" s="34"/>
    </row>
    <row r="34" spans="1:5" ht="25.5">
      <c r="A34" s="35" t="s">
        <v>5</v>
      </c>
      <c r="B34" s="35"/>
      <c r="C34" s="35"/>
      <c r="D34" s="34"/>
      <c r="E34" s="34"/>
    </row>
    <row r="35" spans="1:5" ht="12.75">
      <c r="A35" s="35"/>
      <c r="B35" s="35"/>
      <c r="C35" s="35"/>
      <c r="D35" s="34"/>
      <c r="E35" s="34"/>
    </row>
    <row r="36" spans="1:5" ht="38.25">
      <c r="A36" s="35" t="s">
        <v>6</v>
      </c>
      <c r="B36" s="35"/>
      <c r="C36" s="35"/>
      <c r="D36" s="34"/>
      <c r="E36" s="34"/>
    </row>
    <row r="37" spans="1:5" ht="12.75">
      <c r="A37" s="35"/>
      <c r="B37" s="35"/>
      <c r="C37" s="35"/>
      <c r="D37" s="34"/>
      <c r="E37" s="34"/>
    </row>
    <row r="38" spans="1:5" ht="89.25">
      <c r="A38" s="37" t="s">
        <v>7</v>
      </c>
      <c r="B38" s="35"/>
      <c r="C38" s="35"/>
      <c r="D38" s="34"/>
      <c r="E38" s="34"/>
    </row>
    <row r="39" spans="1:5" ht="12.75">
      <c r="A39" s="37"/>
      <c r="B39" s="35"/>
      <c r="C39" s="35"/>
      <c r="D39" s="34"/>
      <c r="E39" s="34"/>
    </row>
    <row r="40" spans="1:5" ht="89.25">
      <c r="A40" s="38" t="s">
        <v>8</v>
      </c>
      <c r="B40" s="35"/>
      <c r="C40" s="35"/>
      <c r="D40" s="34"/>
      <c r="E40" s="34"/>
    </row>
    <row r="41" spans="1:5" s="30" customFormat="1" ht="12.75">
      <c r="A41" s="35"/>
      <c r="B41" s="35"/>
      <c r="C41" s="35"/>
      <c r="D41" s="35"/>
      <c r="E41" s="35"/>
    </row>
    <row r="42" spans="1:5" ht="51">
      <c r="A42" s="37" t="s">
        <v>9</v>
      </c>
      <c r="B42" s="35"/>
      <c r="C42" s="35"/>
      <c r="D42" s="34"/>
      <c r="E42" s="34"/>
    </row>
    <row r="43" spans="1:5" ht="12.75">
      <c r="A43" s="37"/>
      <c r="B43" s="35"/>
      <c r="C43" s="35"/>
      <c r="D43" s="34"/>
      <c r="E43" s="34"/>
    </row>
    <row r="44" spans="1:5" ht="76.5">
      <c r="A44" s="37" t="s">
        <v>10</v>
      </c>
      <c r="B44" s="35"/>
      <c r="C44" s="35"/>
      <c r="D44" s="34"/>
      <c r="E44" s="34"/>
    </row>
    <row r="45" spans="1:5" ht="12.75">
      <c r="A45" s="28"/>
      <c r="B45" s="30"/>
      <c r="C45" s="30"/>
      <c r="D45" s="31"/>
      <c r="E45" s="31"/>
    </row>
    <row r="46" ht="25.5">
      <c r="A46" s="29" t="s">
        <v>11</v>
      </c>
    </row>
    <row r="47" ht="12.75">
      <c r="A47" s="29"/>
    </row>
    <row r="48" ht="76.5">
      <c r="A48" s="29" t="s">
        <v>12</v>
      </c>
    </row>
    <row r="49" ht="12.75">
      <c r="A49" s="29"/>
    </row>
    <row r="50" ht="63.75">
      <c r="A50" s="29" t="s">
        <v>13</v>
      </c>
    </row>
    <row r="51" ht="12.75">
      <c r="A51" s="29"/>
    </row>
    <row r="52" ht="25.5">
      <c r="A52" s="29" t="s">
        <v>14</v>
      </c>
    </row>
    <row r="54" ht="38.25">
      <c r="A54" s="29" t="s">
        <v>15</v>
      </c>
    </row>
    <row r="56" ht="25.5">
      <c r="A56" s="39" t="s">
        <v>16</v>
      </c>
    </row>
    <row r="58" ht="12.75">
      <c r="A58" s="42"/>
    </row>
    <row r="70" spans="1:12" ht="12.7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59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1" width="3.7109375" style="115" customWidth="1"/>
    <col min="2" max="2" width="9.421875" style="116" customWidth="1"/>
    <col min="3" max="3" width="43.421875" style="102" customWidth="1"/>
    <col min="4" max="4" width="3.7109375" style="117" customWidth="1"/>
    <col min="5" max="5" width="6.8515625" style="197" customWidth="1"/>
    <col min="6" max="6" width="7.8515625" style="118" customWidth="1"/>
    <col min="7" max="7" width="9.421875" style="119" customWidth="1"/>
    <col min="8" max="8" width="6.140625" style="120" customWidth="1"/>
    <col min="9" max="9" width="7.421875" style="121" customWidth="1"/>
    <col min="10" max="10" width="11.421875" style="122" bestFit="1" customWidth="1"/>
    <col min="11" max="11" width="13.28125" style="102" customWidth="1"/>
    <col min="12" max="12" width="11.421875" style="102" bestFit="1" customWidth="1"/>
    <col min="13" max="16384" width="9.140625" style="102" customWidth="1"/>
  </cols>
  <sheetData>
    <row r="2" ht="12.75">
      <c r="C2" s="94" t="s">
        <v>101</v>
      </c>
    </row>
    <row r="3" ht="12">
      <c r="C3" s="160"/>
    </row>
    <row r="4" ht="12">
      <c r="C4" s="160" t="s">
        <v>52</v>
      </c>
    </row>
    <row r="5" ht="12.75">
      <c r="C5" s="94" t="s">
        <v>107</v>
      </c>
    </row>
    <row r="7" ht="12">
      <c r="C7" s="160" t="s">
        <v>64</v>
      </c>
    </row>
    <row r="8" ht="24">
      <c r="C8" s="123" t="s">
        <v>108</v>
      </c>
    </row>
    <row r="9" ht="12">
      <c r="C9" s="123"/>
    </row>
    <row r="10" ht="12">
      <c r="C10" s="183" t="s">
        <v>109</v>
      </c>
    </row>
    <row r="11" ht="24">
      <c r="C11" s="123" t="s">
        <v>108</v>
      </c>
    </row>
    <row r="12" ht="12">
      <c r="C12" s="123"/>
    </row>
    <row r="13" ht="12.75">
      <c r="C13" s="124" t="s">
        <v>65</v>
      </c>
    </row>
    <row r="14" spans="1:9" ht="12">
      <c r="A14" s="115" t="s">
        <v>48</v>
      </c>
      <c r="C14" s="102" t="s">
        <v>539</v>
      </c>
      <c r="D14" s="117" t="s">
        <v>51</v>
      </c>
      <c r="G14" s="119">
        <f>G43</f>
        <v>0</v>
      </c>
      <c r="I14" s="125"/>
    </row>
    <row r="15" spans="1:7" ht="12">
      <c r="A15" s="115" t="s">
        <v>49</v>
      </c>
      <c r="C15" s="82" t="s">
        <v>540</v>
      </c>
      <c r="D15" s="117" t="s">
        <v>51</v>
      </c>
      <c r="G15" s="119">
        <f>G213</f>
        <v>0</v>
      </c>
    </row>
    <row r="16" spans="1:7" ht="12">
      <c r="A16" s="115" t="s">
        <v>50</v>
      </c>
      <c r="C16" s="82" t="s">
        <v>100</v>
      </c>
      <c r="D16" s="117" t="s">
        <v>51</v>
      </c>
      <c r="G16" s="119">
        <f>G307</f>
        <v>0</v>
      </c>
    </row>
    <row r="17" spans="3:7" ht="12">
      <c r="C17" s="45" t="s">
        <v>72</v>
      </c>
      <c r="D17" s="117" t="s">
        <v>51</v>
      </c>
      <c r="G17" s="119">
        <f>G340</f>
        <v>0</v>
      </c>
    </row>
    <row r="18" spans="3:7" ht="12">
      <c r="C18" s="104" t="s">
        <v>370</v>
      </c>
      <c r="D18" s="117" t="s">
        <v>51</v>
      </c>
      <c r="G18" s="119">
        <f>G349</f>
        <v>0</v>
      </c>
    </row>
    <row r="19" spans="3:7" ht="12">
      <c r="C19" s="104" t="s">
        <v>375</v>
      </c>
      <c r="D19" s="117" t="s">
        <v>51</v>
      </c>
      <c r="G19" s="119">
        <f>G358</f>
        <v>0</v>
      </c>
    </row>
    <row r="20" spans="1:7" ht="12">
      <c r="A20" s="115" t="s">
        <v>18</v>
      </c>
      <c r="C20" s="104" t="s">
        <v>377</v>
      </c>
      <c r="D20" s="117" t="s">
        <v>51</v>
      </c>
      <c r="G20" s="119">
        <f>G380</f>
        <v>0</v>
      </c>
    </row>
    <row r="21" spans="1:7" ht="12">
      <c r="A21" s="115" t="s">
        <v>19</v>
      </c>
      <c r="C21" s="104" t="s">
        <v>541</v>
      </c>
      <c r="D21" s="117" t="s">
        <v>51</v>
      </c>
      <c r="G21" s="119">
        <f>G389</f>
        <v>0</v>
      </c>
    </row>
    <row r="22" spans="1:7" ht="12">
      <c r="A22" s="115" t="s">
        <v>20</v>
      </c>
      <c r="C22" s="254" t="s">
        <v>501</v>
      </c>
      <c r="D22" s="117" t="s">
        <v>51</v>
      </c>
      <c r="G22" s="119">
        <f>G407</f>
        <v>0</v>
      </c>
    </row>
    <row r="23" spans="1:7" ht="12.75">
      <c r="A23" s="115" t="s">
        <v>21</v>
      </c>
      <c r="C23" s="50" t="s">
        <v>73</v>
      </c>
      <c r="D23" s="117" t="s">
        <v>51</v>
      </c>
      <c r="G23" s="119">
        <f>G503</f>
        <v>0</v>
      </c>
    </row>
    <row r="24" spans="3:7" ht="12.75">
      <c r="C24" s="50" t="s">
        <v>542</v>
      </c>
      <c r="D24" s="117" t="s">
        <v>51</v>
      </c>
      <c r="G24" s="119">
        <f>G551</f>
        <v>0</v>
      </c>
    </row>
    <row r="25" spans="1:7" ht="12.75">
      <c r="A25" s="115" t="s">
        <v>22</v>
      </c>
      <c r="C25" s="171" t="s">
        <v>558</v>
      </c>
      <c r="D25" s="117" t="s">
        <v>51</v>
      </c>
      <c r="G25" s="119">
        <f>G564</f>
        <v>0</v>
      </c>
    </row>
    <row r="26" spans="1:7" ht="12.75">
      <c r="A26" s="115" t="s">
        <v>23</v>
      </c>
      <c r="C26" s="171" t="s">
        <v>559</v>
      </c>
      <c r="D26" s="117" t="s">
        <v>51</v>
      </c>
      <c r="G26" s="119">
        <f>G612</f>
        <v>0</v>
      </c>
    </row>
    <row r="27" spans="1:3" ht="12.75">
      <c r="A27" s="115" t="s">
        <v>24</v>
      </c>
      <c r="C27" s="50"/>
    </row>
    <row r="28" spans="1:3" ht="12.75">
      <c r="A28" s="115" t="s">
        <v>25</v>
      </c>
      <c r="C28" s="281"/>
    </row>
    <row r="29" ht="12">
      <c r="A29" s="115" t="s">
        <v>26</v>
      </c>
    </row>
    <row r="30" spans="1:9" ht="12">
      <c r="A30" s="115" t="s">
        <v>27</v>
      </c>
      <c r="C30" s="123" t="s">
        <v>30</v>
      </c>
      <c r="D30" s="126" t="s">
        <v>51</v>
      </c>
      <c r="G30" s="127">
        <f>SUM(G14:G26)</f>
        <v>0</v>
      </c>
      <c r="I30" s="119"/>
    </row>
    <row r="31" spans="1:7" ht="13.5" customHeight="1">
      <c r="A31" s="115" t="s">
        <v>28</v>
      </c>
      <c r="C31" s="128"/>
      <c r="D31" s="129"/>
      <c r="G31" s="127"/>
    </row>
    <row r="32" spans="1:7" ht="13.5" customHeight="1">
      <c r="A32" s="115" t="s">
        <v>29</v>
      </c>
      <c r="C32" s="130" t="s">
        <v>63</v>
      </c>
      <c r="D32" s="117" t="s">
        <v>51</v>
      </c>
      <c r="G32" s="119">
        <f>G30*0.21</f>
        <v>0</v>
      </c>
    </row>
    <row r="33" spans="1:7" ht="12.75">
      <c r="A33" s="115" t="s">
        <v>60</v>
      </c>
      <c r="C33" s="131" t="s">
        <v>384</v>
      </c>
      <c r="D33" s="131" t="s">
        <v>51</v>
      </c>
      <c r="E33" s="198"/>
      <c r="F33" s="132"/>
      <c r="G33" s="280">
        <f>SUM(G30:G32)</f>
        <v>0</v>
      </c>
    </row>
    <row r="34" spans="1:3" ht="12">
      <c r="A34" s="115" t="s">
        <v>61</v>
      </c>
      <c r="C34" s="123"/>
    </row>
    <row r="35" spans="1:7" ht="12">
      <c r="A35" s="115" t="s">
        <v>62</v>
      </c>
      <c r="B35" s="133"/>
      <c r="C35" s="134"/>
      <c r="G35" s="127"/>
    </row>
    <row r="36" spans="1:7" ht="22.5">
      <c r="A36" s="115" t="s">
        <v>74</v>
      </c>
      <c r="B36" s="133"/>
      <c r="C36" s="135" t="s">
        <v>57</v>
      </c>
      <c r="G36" s="127"/>
    </row>
    <row r="37" spans="1:7" ht="12">
      <c r="A37" s="115" t="s">
        <v>75</v>
      </c>
      <c r="B37" s="133"/>
      <c r="C37" s="134" t="s">
        <v>556</v>
      </c>
      <c r="G37" s="127"/>
    </row>
    <row r="38" spans="1:7" ht="22.5">
      <c r="A38" s="115" t="s">
        <v>77</v>
      </c>
      <c r="B38" s="133"/>
      <c r="C38" s="136" t="s">
        <v>99</v>
      </c>
      <c r="G38" s="127"/>
    </row>
    <row r="39" spans="2:7" ht="12">
      <c r="B39" s="133"/>
      <c r="C39" s="136" t="s">
        <v>557</v>
      </c>
      <c r="G39" s="127"/>
    </row>
    <row r="41" spans="1:10" s="144" customFormat="1" ht="29.25">
      <c r="A41" s="249" t="s">
        <v>32</v>
      </c>
      <c r="B41" s="137" t="s">
        <v>66</v>
      </c>
      <c r="C41" s="138" t="s">
        <v>33</v>
      </c>
      <c r="D41" s="137" t="s">
        <v>34</v>
      </c>
      <c r="E41" s="199" t="s">
        <v>35</v>
      </c>
      <c r="F41" s="139" t="s">
        <v>36</v>
      </c>
      <c r="G41" s="140" t="s">
        <v>37</v>
      </c>
      <c r="H41" s="141"/>
      <c r="I41" s="142"/>
      <c r="J41" s="143"/>
    </row>
    <row r="42" spans="1:10" s="144" customFormat="1" ht="11.25">
      <c r="A42" s="145"/>
      <c r="B42" s="134"/>
      <c r="C42" s="146"/>
      <c r="D42" s="146"/>
      <c r="E42" s="200"/>
      <c r="F42" s="147"/>
      <c r="G42" s="148"/>
      <c r="H42" s="149"/>
      <c r="I42" s="142"/>
      <c r="J42" s="143"/>
    </row>
    <row r="43" spans="1:9" ht="13.5" customHeight="1">
      <c r="A43" s="115" t="s">
        <v>48</v>
      </c>
      <c r="B43" s="150"/>
      <c r="C43" s="94" t="s">
        <v>263</v>
      </c>
      <c r="D43" s="151" t="s">
        <v>51</v>
      </c>
      <c r="E43" s="204" t="s">
        <v>31</v>
      </c>
      <c r="F43" s="152"/>
      <c r="G43" s="250">
        <f>SUM(G45:G210)</f>
        <v>0</v>
      </c>
      <c r="I43" s="153"/>
    </row>
    <row r="44" spans="1:9" ht="12.75">
      <c r="A44" s="115" t="s">
        <v>49</v>
      </c>
      <c r="B44" s="150"/>
      <c r="C44" s="228" t="s">
        <v>110</v>
      </c>
      <c r="D44" s="129"/>
      <c r="E44" s="201"/>
      <c r="F44" s="132"/>
      <c r="G44" s="154"/>
      <c r="I44" s="153"/>
    </row>
    <row r="45" spans="1:9" ht="48">
      <c r="A45" s="115" t="s">
        <v>50</v>
      </c>
      <c r="B45" s="115" t="s">
        <v>48</v>
      </c>
      <c r="C45" s="102" t="s">
        <v>385</v>
      </c>
      <c r="D45" s="155"/>
      <c r="E45" s="202"/>
      <c r="F45" s="156"/>
      <c r="G45" s="156"/>
      <c r="I45" s="153"/>
    </row>
    <row r="46" spans="1:9" ht="12">
      <c r="A46" s="115" t="s">
        <v>18</v>
      </c>
      <c r="B46" s="115" t="s">
        <v>115</v>
      </c>
      <c r="C46" s="102" t="s">
        <v>111</v>
      </c>
      <c r="D46" s="155" t="s">
        <v>70</v>
      </c>
      <c r="E46" s="202">
        <v>18</v>
      </c>
      <c r="F46" s="156"/>
      <c r="G46" s="156">
        <f>E46*F46</f>
        <v>0</v>
      </c>
      <c r="I46" s="153"/>
    </row>
    <row r="47" spans="1:9" ht="12">
      <c r="A47" s="115" t="s">
        <v>19</v>
      </c>
      <c r="B47" s="115" t="s">
        <v>114</v>
      </c>
      <c r="C47" s="102" t="s">
        <v>112</v>
      </c>
      <c r="D47" s="155" t="s">
        <v>70</v>
      </c>
      <c r="E47" s="202">
        <v>18</v>
      </c>
      <c r="F47" s="156"/>
      <c r="G47" s="156">
        <f>E47*F47</f>
        <v>0</v>
      </c>
      <c r="I47" s="153"/>
    </row>
    <row r="48" spans="1:9" ht="12">
      <c r="A48" s="115" t="s">
        <v>20</v>
      </c>
      <c r="B48" s="115" t="s">
        <v>116</v>
      </c>
      <c r="C48" s="102" t="s">
        <v>113</v>
      </c>
      <c r="D48" s="155" t="s">
        <v>68</v>
      </c>
      <c r="E48" s="202">
        <v>18</v>
      </c>
      <c r="F48" s="156"/>
      <c r="G48" s="156">
        <f>E48*F48</f>
        <v>0</v>
      </c>
      <c r="I48" s="153"/>
    </row>
    <row r="49" spans="1:9" ht="36.75" customHeight="1">
      <c r="A49" s="115" t="s">
        <v>21</v>
      </c>
      <c r="B49" s="150"/>
      <c r="C49" s="102" t="s">
        <v>560</v>
      </c>
      <c r="D49" s="155"/>
      <c r="E49" s="202"/>
      <c r="F49" s="156"/>
      <c r="G49" s="156"/>
      <c r="I49" s="153"/>
    </row>
    <row r="50" spans="1:9" ht="48">
      <c r="A50" s="115" t="s">
        <v>22</v>
      </c>
      <c r="B50" s="104"/>
      <c r="C50" s="102" t="s">
        <v>118</v>
      </c>
      <c r="D50" s="122" t="s">
        <v>68</v>
      </c>
      <c r="E50" s="206">
        <v>1</v>
      </c>
      <c r="F50" s="156"/>
      <c r="G50" s="156">
        <f>E50*F50</f>
        <v>0</v>
      </c>
      <c r="I50" s="153"/>
    </row>
    <row r="51" spans="1:9" ht="48">
      <c r="A51" s="115" t="s">
        <v>23</v>
      </c>
      <c r="B51" s="104"/>
      <c r="C51" s="102" t="s">
        <v>117</v>
      </c>
      <c r="D51" s="122" t="s">
        <v>68</v>
      </c>
      <c r="E51" s="206">
        <v>1</v>
      </c>
      <c r="F51" s="156"/>
      <c r="G51" s="156">
        <f>E51*F51</f>
        <v>0</v>
      </c>
      <c r="I51" s="153"/>
    </row>
    <row r="52" spans="1:9" ht="24">
      <c r="A52" s="115" t="s">
        <v>24</v>
      </c>
      <c r="B52" s="104"/>
      <c r="C52" s="102" t="s">
        <v>561</v>
      </c>
      <c r="D52" s="122" t="s">
        <v>68</v>
      </c>
      <c r="E52" s="203">
        <v>1</v>
      </c>
      <c r="F52" s="119"/>
      <c r="G52" s="156">
        <f>E52*F52</f>
        <v>0</v>
      </c>
      <c r="H52" s="120">
        <v>0.03</v>
      </c>
      <c r="I52" s="193">
        <f>E52*H52</f>
        <v>0.03</v>
      </c>
    </row>
    <row r="53" spans="1:9" ht="24">
      <c r="A53" s="115" t="s">
        <v>25</v>
      </c>
      <c r="B53" s="150">
        <v>766691914</v>
      </c>
      <c r="C53" s="102" t="s">
        <v>386</v>
      </c>
      <c r="D53" s="155" t="s">
        <v>71</v>
      </c>
      <c r="E53" s="202">
        <v>28</v>
      </c>
      <c r="F53" s="156"/>
      <c r="G53" s="156">
        <f>E53*F53</f>
        <v>0</v>
      </c>
      <c r="H53" s="120">
        <v>0.024</v>
      </c>
      <c r="I53" s="193">
        <f>E53*H53</f>
        <v>0.672</v>
      </c>
    </row>
    <row r="54" spans="1:9" ht="12">
      <c r="A54" s="115" t="s">
        <v>26</v>
      </c>
      <c r="B54" s="150"/>
      <c r="C54" s="102" t="s">
        <v>119</v>
      </c>
      <c r="D54" s="155"/>
      <c r="E54" s="202"/>
      <c r="F54" s="156"/>
      <c r="G54" s="156"/>
      <c r="I54" s="153"/>
    </row>
    <row r="55" spans="1:9" ht="12">
      <c r="A55" s="115" t="s">
        <v>27</v>
      </c>
      <c r="B55" s="150"/>
      <c r="C55" s="102" t="s">
        <v>120</v>
      </c>
      <c r="D55" s="155"/>
      <c r="E55" s="202">
        <f>4*5</f>
        <v>20</v>
      </c>
      <c r="F55" s="156"/>
      <c r="G55" s="156"/>
      <c r="I55" s="153"/>
    </row>
    <row r="56" spans="1:9" ht="12">
      <c r="A56" s="115" t="s">
        <v>28</v>
      </c>
      <c r="B56" s="150"/>
      <c r="C56" s="102" t="s">
        <v>121</v>
      </c>
      <c r="D56" s="155"/>
      <c r="E56" s="202">
        <f>5</f>
        <v>5</v>
      </c>
      <c r="F56" s="156"/>
      <c r="G56" s="156"/>
      <c r="I56" s="153"/>
    </row>
    <row r="57" spans="1:9" ht="12">
      <c r="A57" s="115" t="s">
        <v>29</v>
      </c>
      <c r="B57" s="150"/>
      <c r="C57" s="102" t="s">
        <v>122</v>
      </c>
      <c r="D57" s="155"/>
      <c r="E57" s="202">
        <v>3</v>
      </c>
      <c r="F57" s="156"/>
      <c r="G57" s="156"/>
      <c r="I57" s="153"/>
    </row>
    <row r="58" spans="1:9" ht="12">
      <c r="A58" s="115" t="s">
        <v>60</v>
      </c>
      <c r="B58" s="150"/>
      <c r="D58" s="155"/>
      <c r="E58" s="202"/>
      <c r="F58" s="156"/>
      <c r="G58" s="156"/>
      <c r="I58" s="153"/>
    </row>
    <row r="59" spans="1:9" ht="24">
      <c r="A59" s="115" t="s">
        <v>61</v>
      </c>
      <c r="B59" s="150">
        <v>978059541</v>
      </c>
      <c r="C59" s="102" t="s">
        <v>238</v>
      </c>
      <c r="D59" s="155"/>
      <c r="E59" s="202">
        <f>SUM(E61:E122)</f>
        <v>537.8639999999999</v>
      </c>
      <c r="F59" s="156"/>
      <c r="G59" s="156">
        <f>E59*F59</f>
        <v>0</v>
      </c>
      <c r="H59" s="120">
        <v>0.068</v>
      </c>
      <c r="I59" s="193">
        <f>E59*H59</f>
        <v>36.574752</v>
      </c>
    </row>
    <row r="60" spans="2:9" ht="12">
      <c r="B60" s="150"/>
      <c r="C60" s="102" t="s">
        <v>123</v>
      </c>
      <c r="D60" s="155"/>
      <c r="E60" s="202"/>
      <c r="F60" s="156"/>
      <c r="G60" s="156"/>
      <c r="I60" s="193"/>
    </row>
    <row r="61" spans="1:9" ht="24">
      <c r="A61" s="115" t="s">
        <v>62</v>
      </c>
      <c r="B61" s="150" t="s">
        <v>124</v>
      </c>
      <c r="C61" s="102" t="s">
        <v>134</v>
      </c>
      <c r="D61" s="155" t="s">
        <v>58</v>
      </c>
      <c r="E61" s="205">
        <f>(1.47+(0.92+1.24+0.91))*2*2.1-(0.6*1.97*3+0.8*1.97)-(1.24*(2.1-1.32))</f>
        <v>12.978800000000001</v>
      </c>
      <c r="F61" s="156"/>
      <c r="G61" s="156"/>
      <c r="I61" s="153"/>
    </row>
    <row r="62" spans="1:9" ht="12">
      <c r="A62" s="115" t="s">
        <v>74</v>
      </c>
      <c r="B62" s="150" t="s">
        <v>125</v>
      </c>
      <c r="C62" s="102" t="s">
        <v>130</v>
      </c>
      <c r="D62" s="155" t="s">
        <v>58</v>
      </c>
      <c r="E62" s="206">
        <f>(1.4+0.975)*2*2.1-0.6*1.97</f>
        <v>8.793</v>
      </c>
      <c r="F62" s="156"/>
      <c r="G62" s="156"/>
      <c r="I62" s="153"/>
    </row>
    <row r="63" spans="1:9" ht="12">
      <c r="A63" s="115" t="s">
        <v>75</v>
      </c>
      <c r="B63" s="150" t="s">
        <v>126</v>
      </c>
      <c r="C63" s="102" t="s">
        <v>131</v>
      </c>
      <c r="D63" s="155" t="s">
        <v>58</v>
      </c>
      <c r="E63" s="202">
        <f>(1.4+0.94)*2*2.1-0.6*1.97</f>
        <v>8.645999999999999</v>
      </c>
      <c r="F63" s="156"/>
      <c r="G63" s="156"/>
      <c r="I63" s="153"/>
    </row>
    <row r="64" spans="1:9" ht="12">
      <c r="A64" s="115" t="s">
        <v>76</v>
      </c>
      <c r="B64" s="150" t="s">
        <v>127</v>
      </c>
      <c r="C64" s="102" t="s">
        <v>133</v>
      </c>
      <c r="D64" s="155" t="s">
        <v>58</v>
      </c>
      <c r="E64" s="202">
        <f>(1.4+0.955)*2*2.1-0.6*1.97</f>
        <v>8.709</v>
      </c>
      <c r="F64" s="156"/>
      <c r="G64" s="156"/>
      <c r="I64" s="153"/>
    </row>
    <row r="65" spans="2:9" ht="24">
      <c r="B65" s="150" t="s">
        <v>128</v>
      </c>
      <c r="C65" s="102" t="s">
        <v>146</v>
      </c>
      <c r="D65" s="155" t="s">
        <v>58</v>
      </c>
      <c r="E65" s="206">
        <f>(2+(0.48+1.24+0.645))*2*2-((0.6+0.8)*1.97)-(0.8*2)-(1.24*(2-1.32))+(0.6*2*2)</f>
        <v>14.658800000000003</v>
      </c>
      <c r="F65" s="156"/>
      <c r="G65" s="156"/>
      <c r="I65" s="153"/>
    </row>
    <row r="66" spans="2:9" ht="12">
      <c r="B66" s="150" t="s">
        <v>129</v>
      </c>
      <c r="C66" s="102" t="s">
        <v>135</v>
      </c>
      <c r="D66" s="155" t="s">
        <v>58</v>
      </c>
      <c r="E66" s="202">
        <f>(0.87+2.365)*2*2-(0.6*1.97)</f>
        <v>11.758000000000001</v>
      </c>
      <c r="F66" s="156"/>
      <c r="G66" s="156"/>
      <c r="I66" s="153"/>
    </row>
    <row r="67" spans="2:9" ht="12">
      <c r="B67" s="150"/>
      <c r="D67" s="155"/>
      <c r="E67" s="202"/>
      <c r="F67" s="156"/>
      <c r="G67" s="156"/>
      <c r="I67" s="153"/>
    </row>
    <row r="68" spans="2:9" ht="12">
      <c r="B68" s="150"/>
      <c r="C68" s="102" t="s">
        <v>132</v>
      </c>
      <c r="D68" s="155"/>
      <c r="E68" s="202"/>
      <c r="F68" s="156"/>
      <c r="G68" s="156"/>
      <c r="I68" s="153"/>
    </row>
    <row r="69" spans="2:9" ht="24">
      <c r="B69" s="150" t="s">
        <v>136</v>
      </c>
      <c r="C69" s="102" t="s">
        <v>165</v>
      </c>
      <c r="D69" s="155" t="s">
        <v>58</v>
      </c>
      <c r="E69" s="205">
        <f>(1.47+(0.92+1.24+0.91))*2*2-(0.6*1.97*3+0.8*1.97)-(1.24*(2-1.32))</f>
        <v>12.1948</v>
      </c>
      <c r="F69" s="156"/>
      <c r="G69" s="156"/>
      <c r="I69" s="153"/>
    </row>
    <row r="70" spans="2:9" ht="12">
      <c r="B70" s="150" t="s">
        <v>137</v>
      </c>
      <c r="C70" s="102" t="s">
        <v>143</v>
      </c>
      <c r="D70" s="155" t="s">
        <v>58</v>
      </c>
      <c r="E70" s="206">
        <f>(1.4+0.975)*2*2-0.6*1.97</f>
        <v>8.318</v>
      </c>
      <c r="F70" s="156"/>
      <c r="G70" s="156"/>
      <c r="I70" s="153"/>
    </row>
    <row r="71" spans="2:9" ht="12">
      <c r="B71" s="150" t="s">
        <v>138</v>
      </c>
      <c r="C71" s="102" t="s">
        <v>144</v>
      </c>
      <c r="D71" s="155" t="s">
        <v>58</v>
      </c>
      <c r="E71" s="202">
        <f>(1.4+0.94)*2*2-0.6*1.97</f>
        <v>8.177999999999999</v>
      </c>
      <c r="F71" s="156"/>
      <c r="G71" s="156"/>
      <c r="I71" s="153"/>
    </row>
    <row r="72" spans="2:9" ht="12">
      <c r="B72" s="150" t="s">
        <v>139</v>
      </c>
      <c r="C72" s="102" t="s">
        <v>145</v>
      </c>
      <c r="D72" s="155" t="s">
        <v>58</v>
      </c>
      <c r="E72" s="202">
        <f>(1.4+0.955)*2*2-0.6*1.97</f>
        <v>8.238</v>
      </c>
      <c r="F72" s="156"/>
      <c r="G72" s="156"/>
      <c r="I72" s="153"/>
    </row>
    <row r="73" spans="2:9" ht="24">
      <c r="B73" s="150" t="s">
        <v>140</v>
      </c>
      <c r="C73" s="102" t="s">
        <v>147</v>
      </c>
      <c r="D73" s="155" t="s">
        <v>58</v>
      </c>
      <c r="E73" s="205">
        <f>(2.07+2.365)*2*2-(0.6+0.8*2)*1.97-(1.24*(2-1.32))+(0.6*2*2)</f>
        <v>14.962800000000003</v>
      </c>
      <c r="F73" s="156"/>
      <c r="G73" s="156"/>
      <c r="I73" s="153"/>
    </row>
    <row r="74" spans="2:9" ht="12">
      <c r="B74" s="150" t="s">
        <v>141</v>
      </c>
      <c r="C74" s="104" t="s">
        <v>148</v>
      </c>
      <c r="D74" s="155" t="s">
        <v>58</v>
      </c>
      <c r="E74" s="217">
        <f>(0.8+2.365)*2*2-0.6*1.97</f>
        <v>11.478</v>
      </c>
      <c r="F74" s="156"/>
      <c r="G74" s="156"/>
      <c r="I74" s="153"/>
    </row>
    <row r="75" spans="2:9" ht="12">
      <c r="B75" s="150"/>
      <c r="C75" s="150"/>
      <c r="D75" s="155"/>
      <c r="E75" s="202"/>
      <c r="F75" s="156"/>
      <c r="G75" s="156"/>
      <c r="I75" s="153"/>
    </row>
    <row r="76" spans="2:9" ht="12">
      <c r="B76" s="150"/>
      <c r="C76" s="102" t="s">
        <v>149</v>
      </c>
      <c r="D76" s="155"/>
      <c r="E76" s="202"/>
      <c r="F76" s="156"/>
      <c r="G76" s="156"/>
      <c r="I76" s="153"/>
    </row>
    <row r="77" spans="2:9" ht="24">
      <c r="B77" s="150" t="s">
        <v>150</v>
      </c>
      <c r="C77" s="102" t="s">
        <v>142</v>
      </c>
      <c r="D77" s="155"/>
      <c r="E77" s="205">
        <f>(1.47+(0.92+1.24+0.91))*2*2-(0.6*1.97*3+0.8*1.97)-(1.24*(2.1-1.32))</f>
        <v>12.0708</v>
      </c>
      <c r="F77" s="156"/>
      <c r="G77" s="156"/>
      <c r="I77" s="153"/>
    </row>
    <row r="78" spans="2:9" ht="12">
      <c r="B78" s="150" t="s">
        <v>151</v>
      </c>
      <c r="C78" s="102" t="s">
        <v>143</v>
      </c>
      <c r="D78" s="155"/>
      <c r="E78" s="205">
        <f>(1.4+0.975)*2*2-0.6*1.97</f>
        <v>8.318</v>
      </c>
      <c r="F78" s="156"/>
      <c r="G78" s="156"/>
      <c r="I78" s="153"/>
    </row>
    <row r="79" spans="2:9" ht="12">
      <c r="B79" s="150" t="s">
        <v>152</v>
      </c>
      <c r="C79" s="102" t="s">
        <v>144</v>
      </c>
      <c r="D79" s="155"/>
      <c r="E79" s="205">
        <f>(1.4+0.94)*2*2-0.6*1.97</f>
        <v>8.177999999999999</v>
      </c>
      <c r="F79" s="156"/>
      <c r="G79" s="156"/>
      <c r="I79" s="153"/>
    </row>
    <row r="80" spans="2:9" ht="12">
      <c r="B80" s="150" t="s">
        <v>153</v>
      </c>
      <c r="C80" s="102" t="s">
        <v>145</v>
      </c>
      <c r="D80" s="155"/>
      <c r="E80" s="205">
        <f>(1.4+0.955)*2*2-0.6*1.97</f>
        <v>8.238</v>
      </c>
      <c r="F80" s="156"/>
      <c r="G80" s="156"/>
      <c r="I80" s="153"/>
    </row>
    <row r="81" spans="2:9" ht="24">
      <c r="B81" s="150" t="s">
        <v>154</v>
      </c>
      <c r="C81" s="102" t="s">
        <v>156</v>
      </c>
      <c r="D81" s="155"/>
      <c r="E81" s="205">
        <f>(2.07+2.365)*2*2-(0.6+0.8*2)*1.97-(1.24*(2-1.32))+(0.5*2*2)</f>
        <v>14.562800000000003</v>
      </c>
      <c r="F81" s="156"/>
      <c r="G81" s="156"/>
      <c r="I81" s="153"/>
    </row>
    <row r="82" spans="2:9" ht="12">
      <c r="B82" s="150" t="s">
        <v>155</v>
      </c>
      <c r="C82" s="104" t="s">
        <v>148</v>
      </c>
      <c r="D82" s="155"/>
      <c r="E82" s="217">
        <f>(0.8+2.365)*2*2-0.6*1.97</f>
        <v>11.478</v>
      </c>
      <c r="F82" s="156"/>
      <c r="G82" s="156"/>
      <c r="I82" s="153"/>
    </row>
    <row r="83" spans="2:9" ht="12">
      <c r="B83" s="150"/>
      <c r="D83" s="155"/>
      <c r="E83" s="202"/>
      <c r="F83" s="156"/>
      <c r="G83" s="156"/>
      <c r="I83" s="153"/>
    </row>
    <row r="84" spans="2:9" ht="12">
      <c r="B84" s="150"/>
      <c r="C84" s="102" t="s">
        <v>157</v>
      </c>
      <c r="D84" s="155"/>
      <c r="E84" s="202"/>
      <c r="F84" s="156"/>
      <c r="G84" s="156"/>
      <c r="I84" s="153"/>
    </row>
    <row r="85" spans="2:9" ht="24">
      <c r="B85" s="150" t="s">
        <v>158</v>
      </c>
      <c r="C85" s="102" t="s">
        <v>164</v>
      </c>
      <c r="D85" s="155" t="s">
        <v>58</v>
      </c>
      <c r="E85" s="205">
        <f>(1.56+(0.92+1.24+0.91))*2*2-(0.6*1.97*3+0.8*1.97)-(1.24*(2-1.32))</f>
        <v>12.554800000000004</v>
      </c>
      <c r="F85" s="156"/>
      <c r="G85" s="156"/>
      <c r="I85" s="153"/>
    </row>
    <row r="86" spans="2:9" ht="12">
      <c r="B86" s="150" t="s">
        <v>159</v>
      </c>
      <c r="C86" s="102" t="s">
        <v>143</v>
      </c>
      <c r="D86" s="155" t="s">
        <v>58</v>
      </c>
      <c r="E86" s="205">
        <f>(1.4+0.975)*2*2-0.6*1.97</f>
        <v>8.318</v>
      </c>
      <c r="F86" s="156"/>
      <c r="G86" s="156"/>
      <c r="I86" s="153"/>
    </row>
    <row r="87" spans="2:9" ht="12">
      <c r="B87" s="150" t="s">
        <v>160</v>
      </c>
      <c r="C87" s="102" t="s">
        <v>143</v>
      </c>
      <c r="D87" s="155" t="s">
        <v>58</v>
      </c>
      <c r="E87" s="205">
        <f>(1.4+0.975)*2*2-0.6*1.97</f>
        <v>8.318</v>
      </c>
      <c r="F87" s="156"/>
      <c r="G87" s="156"/>
      <c r="I87" s="153"/>
    </row>
    <row r="88" spans="2:9" ht="12">
      <c r="B88" s="150" t="s">
        <v>161</v>
      </c>
      <c r="C88" s="102" t="s">
        <v>166</v>
      </c>
      <c r="D88" s="155" t="s">
        <v>58</v>
      </c>
      <c r="E88" s="205">
        <f>(1.4+0.98)*2*2-0.6*1.97</f>
        <v>8.338</v>
      </c>
      <c r="F88" s="156"/>
      <c r="G88" s="156"/>
      <c r="I88" s="153"/>
    </row>
    <row r="89" spans="2:9" ht="24">
      <c r="B89" s="150" t="s">
        <v>162</v>
      </c>
      <c r="C89" s="102" t="s">
        <v>167</v>
      </c>
      <c r="D89" s="155" t="s">
        <v>58</v>
      </c>
      <c r="E89" s="205">
        <f>(2.17+2.365)*2*2-(0.6+0.8*2)*1.97-(1.24*(2-1.32))+(0.42*2*2)</f>
        <v>14.642800000000001</v>
      </c>
      <c r="F89" s="156"/>
      <c r="G89" s="156"/>
      <c r="I89" s="153"/>
    </row>
    <row r="90" spans="2:9" ht="12">
      <c r="B90" s="150" t="s">
        <v>163</v>
      </c>
      <c r="C90" s="104" t="s">
        <v>168</v>
      </c>
      <c r="D90" s="155" t="s">
        <v>58</v>
      </c>
      <c r="E90" s="217">
        <f>(0.79+2.365)*2*2-0.6*1.97</f>
        <v>11.438</v>
      </c>
      <c r="F90" s="156"/>
      <c r="G90" s="156"/>
      <c r="I90" s="153"/>
    </row>
    <row r="91" spans="2:9" ht="12">
      <c r="B91" s="150"/>
      <c r="D91" s="155"/>
      <c r="E91" s="202"/>
      <c r="F91" s="156"/>
      <c r="G91" s="156"/>
      <c r="I91" s="153"/>
    </row>
    <row r="92" spans="2:9" ht="12">
      <c r="B92" s="150"/>
      <c r="C92" s="102" t="s">
        <v>180</v>
      </c>
      <c r="D92" s="155"/>
      <c r="E92" s="202"/>
      <c r="F92" s="156"/>
      <c r="G92" s="156"/>
      <c r="I92" s="153"/>
    </row>
    <row r="93" spans="2:9" ht="24">
      <c r="B93" s="150" t="s">
        <v>169</v>
      </c>
      <c r="C93" s="102" t="s">
        <v>175</v>
      </c>
      <c r="D93" s="155" t="s">
        <v>58</v>
      </c>
      <c r="E93" s="205">
        <f>(1.65+(1.105+1.24+0.96))*2*2-(0.6*1.97*3+0.8*1.97)-(1.24*(2-1.32))</f>
        <v>13.854800000000001</v>
      </c>
      <c r="F93" s="156"/>
      <c r="G93" s="156"/>
      <c r="I93" s="153"/>
    </row>
    <row r="94" spans="2:9" ht="12">
      <c r="B94" s="150" t="s">
        <v>170</v>
      </c>
      <c r="C94" s="102" t="s">
        <v>176</v>
      </c>
      <c r="D94" s="155" t="s">
        <v>58</v>
      </c>
      <c r="E94" s="205">
        <f>(1.44+1.03)*2*2-0.6*1.97</f>
        <v>8.697999999999999</v>
      </c>
      <c r="F94" s="156"/>
      <c r="G94" s="156"/>
      <c r="I94" s="153"/>
    </row>
    <row r="95" spans="2:9" ht="12">
      <c r="B95" s="150" t="s">
        <v>171</v>
      </c>
      <c r="C95" s="102" t="s">
        <v>177</v>
      </c>
      <c r="D95" s="155" t="s">
        <v>58</v>
      </c>
      <c r="E95" s="205">
        <f>(1.44+1.035)*2*2-0.6*1.97</f>
        <v>8.717999999999998</v>
      </c>
      <c r="F95" s="156"/>
      <c r="G95" s="156"/>
      <c r="I95" s="153"/>
    </row>
    <row r="96" spans="2:9" ht="12">
      <c r="B96" s="150" t="s">
        <v>172</v>
      </c>
      <c r="C96" s="102" t="s">
        <v>178</v>
      </c>
      <c r="D96" s="155" t="s">
        <v>58</v>
      </c>
      <c r="E96" s="205">
        <f>(1.44+1.04)*2*2-0.6*1.97</f>
        <v>8.738</v>
      </c>
      <c r="F96" s="156"/>
      <c r="G96" s="156"/>
      <c r="I96" s="153"/>
    </row>
    <row r="97" spans="2:9" ht="24">
      <c r="B97" s="150" t="s">
        <v>173</v>
      </c>
      <c r="C97" s="102" t="s">
        <v>216</v>
      </c>
      <c r="D97" s="155" t="s">
        <v>58</v>
      </c>
      <c r="E97" s="205">
        <f>(1.54+2.41)*2*2-(0.6+0.8*2)*1.97-(1.22*(2-1.32))+(0.35*2*2)</f>
        <v>12.036400000000002</v>
      </c>
      <c r="F97" s="156"/>
      <c r="G97" s="156"/>
      <c r="I97" s="153"/>
    </row>
    <row r="98" spans="2:9" ht="12">
      <c r="B98" s="150" t="s">
        <v>174</v>
      </c>
      <c r="C98" s="104" t="s">
        <v>179</v>
      </c>
      <c r="D98" s="155" t="s">
        <v>58</v>
      </c>
      <c r="E98" s="217">
        <f>(1.55+2.41)*2*2-0.6*1.97</f>
        <v>14.658</v>
      </c>
      <c r="F98" s="156"/>
      <c r="G98" s="156"/>
      <c r="I98" s="153"/>
    </row>
    <row r="99" spans="2:9" ht="12">
      <c r="B99" s="150"/>
      <c r="C99" s="104"/>
      <c r="D99" s="155"/>
      <c r="E99" s="217"/>
      <c r="F99" s="156"/>
      <c r="G99" s="156"/>
      <c r="I99" s="153"/>
    </row>
    <row r="100" spans="2:9" ht="12">
      <c r="B100" s="150"/>
      <c r="C100" s="102" t="s">
        <v>183</v>
      </c>
      <c r="D100" s="155"/>
      <c r="E100" s="217"/>
      <c r="F100" s="156"/>
      <c r="G100" s="156"/>
      <c r="I100" s="153"/>
    </row>
    <row r="101" spans="2:9" ht="24">
      <c r="B101" s="150" t="s">
        <v>184</v>
      </c>
      <c r="C101" s="104" t="s">
        <v>287</v>
      </c>
      <c r="D101" s="155"/>
      <c r="E101" s="217">
        <f>(2.6+3.87+0.25)*2*2-(1.35*(2-0.8))-(0.6*2+0.8)*1.97</f>
        <v>21.32</v>
      </c>
      <c r="F101" s="156"/>
      <c r="G101" s="156"/>
      <c r="I101" s="153"/>
    </row>
    <row r="102" spans="2:9" ht="12">
      <c r="B102" s="150" t="s">
        <v>185</v>
      </c>
      <c r="C102" s="104" t="s">
        <v>188</v>
      </c>
      <c r="D102" s="155"/>
      <c r="E102" s="217">
        <f>(1.4+0.9)*2*2-0.6*1.97</f>
        <v>8.017999999999999</v>
      </c>
      <c r="F102" s="156"/>
      <c r="G102" s="156"/>
      <c r="I102" s="153"/>
    </row>
    <row r="103" spans="2:9" ht="12">
      <c r="B103" s="150" t="s">
        <v>186</v>
      </c>
      <c r="C103" s="104" t="s">
        <v>188</v>
      </c>
      <c r="D103" s="155"/>
      <c r="E103" s="217">
        <f>(1.4+0.9)*2*2-0.6*1.97</f>
        <v>8.017999999999999</v>
      </c>
      <c r="F103" s="156"/>
      <c r="G103" s="156"/>
      <c r="I103" s="153"/>
    </row>
    <row r="104" spans="2:9" ht="12">
      <c r="B104" s="150" t="s">
        <v>187</v>
      </c>
      <c r="C104" s="104" t="s">
        <v>203</v>
      </c>
      <c r="D104" s="155"/>
      <c r="E104" s="217">
        <f>(2.6+1.5)*2*2+(0.6*2*2)-(0.8*2*2)</f>
        <v>15.599999999999998</v>
      </c>
      <c r="F104" s="156"/>
      <c r="G104" s="156"/>
      <c r="I104" s="153"/>
    </row>
    <row r="105" spans="2:9" ht="12">
      <c r="B105" s="150"/>
      <c r="C105" s="104"/>
      <c r="D105" s="155"/>
      <c r="E105" s="217"/>
      <c r="F105" s="156"/>
      <c r="G105" s="156"/>
      <c r="I105" s="153"/>
    </row>
    <row r="106" spans="2:9" ht="12">
      <c r="B106" s="150"/>
      <c r="C106" s="102" t="s">
        <v>189</v>
      </c>
      <c r="D106" s="155"/>
      <c r="E106" s="217"/>
      <c r="F106" s="156"/>
      <c r="G106" s="156"/>
      <c r="I106" s="153"/>
    </row>
    <row r="107" spans="2:9" ht="24">
      <c r="B107" s="150" t="s">
        <v>190</v>
      </c>
      <c r="C107" s="104" t="s">
        <v>288</v>
      </c>
      <c r="D107" s="155"/>
      <c r="E107" s="217">
        <f>(2.75+4.07+0.25)*2*2-(1.35*(2-0.8))-(0.6*2+0.8)*1.97</f>
        <v>22.72</v>
      </c>
      <c r="F107" s="156"/>
      <c r="G107" s="156"/>
      <c r="I107" s="153"/>
    </row>
    <row r="108" spans="2:9" ht="12">
      <c r="B108" s="150" t="s">
        <v>191</v>
      </c>
      <c r="C108" s="104" t="s">
        <v>188</v>
      </c>
      <c r="D108" s="155"/>
      <c r="E108" s="217">
        <f>(1.4+0.9)*2*2-0.6*1.97</f>
        <v>8.017999999999999</v>
      </c>
      <c r="F108" s="156"/>
      <c r="G108" s="156"/>
      <c r="I108" s="153"/>
    </row>
    <row r="109" spans="2:9" ht="12">
      <c r="B109" s="150" t="s">
        <v>192</v>
      </c>
      <c r="C109" s="104" t="s">
        <v>188</v>
      </c>
      <c r="D109" s="155"/>
      <c r="E109" s="217">
        <f>(1.4+0.9)*2*2-0.6*1.97</f>
        <v>8.017999999999999</v>
      </c>
      <c r="F109" s="156"/>
      <c r="G109" s="156"/>
      <c r="I109" s="153"/>
    </row>
    <row r="110" spans="2:9" ht="24">
      <c r="B110" s="150" t="s">
        <v>193</v>
      </c>
      <c r="C110" s="104" t="s">
        <v>202</v>
      </c>
      <c r="D110" s="155"/>
      <c r="E110" s="217">
        <f>(2.75+1.5)*2*2+(0.6*2*2)-(0.8*1.97)-(1.4*2)</f>
        <v>15.023999999999997</v>
      </c>
      <c r="F110" s="156"/>
      <c r="G110" s="156"/>
      <c r="I110" s="153"/>
    </row>
    <row r="111" spans="2:9" ht="12">
      <c r="B111" s="150"/>
      <c r="C111" s="104"/>
      <c r="D111" s="155"/>
      <c r="E111" s="217"/>
      <c r="F111" s="156"/>
      <c r="G111" s="156"/>
      <c r="I111" s="153"/>
    </row>
    <row r="112" spans="2:9" ht="12">
      <c r="B112" s="150"/>
      <c r="C112" s="102" t="s">
        <v>194</v>
      </c>
      <c r="D112" s="155"/>
      <c r="E112" s="217"/>
      <c r="F112" s="156"/>
      <c r="G112" s="156"/>
      <c r="I112" s="153"/>
    </row>
    <row r="113" spans="2:9" ht="12">
      <c r="B113" s="150" t="s">
        <v>197</v>
      </c>
      <c r="C113" s="104" t="s">
        <v>289</v>
      </c>
      <c r="D113" s="155"/>
      <c r="E113" s="217">
        <f>(2.75+1.51+0.1)*2*2-(1.35*(2-0.8))-(0.6*1.97)</f>
        <v>14.637999999999996</v>
      </c>
      <c r="F113" s="156"/>
      <c r="G113" s="156"/>
      <c r="I113" s="153"/>
    </row>
    <row r="114" spans="2:9" ht="12">
      <c r="B114" s="150" t="s">
        <v>196</v>
      </c>
      <c r="C114" s="104" t="s">
        <v>199</v>
      </c>
      <c r="D114" s="155"/>
      <c r="E114" s="217">
        <f>(1.46+1.14)*2*2-(0.6*1.97)</f>
        <v>9.217999999999998</v>
      </c>
      <c r="F114" s="156"/>
      <c r="G114" s="156"/>
      <c r="I114" s="153"/>
    </row>
    <row r="115" spans="2:9" ht="12">
      <c r="B115" s="150" t="s">
        <v>195</v>
      </c>
      <c r="C115" s="104" t="s">
        <v>200</v>
      </c>
      <c r="D115" s="155"/>
      <c r="E115" s="217">
        <f>(2.75+2.91)*2*2-(0.6*2+0.8)*1.97</f>
        <v>18.7</v>
      </c>
      <c r="F115" s="156"/>
      <c r="G115" s="156"/>
      <c r="I115" s="153"/>
    </row>
    <row r="116" spans="2:9" ht="12">
      <c r="B116" s="150" t="s">
        <v>198</v>
      </c>
      <c r="C116" s="104" t="s">
        <v>201</v>
      </c>
      <c r="D116" s="155"/>
      <c r="E116" s="217">
        <f>(2.75+1.195)*2*2+(0.42*2*2)-(0.8+0.94)*1.97</f>
        <v>14.032200000000001</v>
      </c>
      <c r="F116" s="156"/>
      <c r="G116" s="156"/>
      <c r="I116" s="153"/>
    </row>
    <row r="117" spans="2:9" ht="12">
      <c r="B117" s="150"/>
      <c r="C117" s="104"/>
      <c r="D117" s="155"/>
      <c r="E117" s="217"/>
      <c r="F117" s="156"/>
      <c r="G117" s="156"/>
      <c r="I117" s="153"/>
    </row>
    <row r="118" spans="2:9" ht="12">
      <c r="B118" s="150"/>
      <c r="C118" s="102" t="s">
        <v>204</v>
      </c>
      <c r="D118" s="155"/>
      <c r="E118" s="217"/>
      <c r="F118" s="156"/>
      <c r="G118" s="156"/>
      <c r="I118" s="153"/>
    </row>
    <row r="119" spans="2:9" ht="24">
      <c r="B119" s="150" t="s">
        <v>205</v>
      </c>
      <c r="C119" s="104" t="s">
        <v>290</v>
      </c>
      <c r="D119" s="155"/>
      <c r="E119" s="217">
        <f>(2.4+1.255+0.1)*2*2-(1.35*(2-0.8))-(0.6*1.97)</f>
        <v>12.217999999999998</v>
      </c>
      <c r="F119" s="156"/>
      <c r="G119" s="156"/>
      <c r="I119" s="153"/>
    </row>
    <row r="120" spans="2:9" ht="12">
      <c r="B120" s="150" t="s">
        <v>206</v>
      </c>
      <c r="C120" s="104" t="s">
        <v>209</v>
      </c>
      <c r="D120" s="155"/>
      <c r="E120" s="217">
        <f>(1.5+1.02)*2*2-0.6*1.97</f>
        <v>8.898</v>
      </c>
      <c r="F120" s="156"/>
      <c r="G120" s="156"/>
      <c r="I120" s="153"/>
    </row>
    <row r="121" spans="2:9" ht="12">
      <c r="B121" s="150" t="s">
        <v>207</v>
      </c>
      <c r="C121" s="104" t="s">
        <v>210</v>
      </c>
      <c r="D121" s="155"/>
      <c r="E121" s="217">
        <f>(2.4+2.85)*2*2-(0.6*2+0.8)*1.97</f>
        <v>17.06</v>
      </c>
      <c r="F121" s="156"/>
      <c r="G121" s="156"/>
      <c r="I121" s="153"/>
    </row>
    <row r="122" spans="2:9" ht="12">
      <c r="B122" s="150" t="s">
        <v>208</v>
      </c>
      <c r="C122" s="104" t="s">
        <v>211</v>
      </c>
      <c r="D122" s="155"/>
      <c r="E122" s="217">
        <f>(2.4+1.54)*2*2+(0.49*2*2)-(0.8+0.94)*1.97</f>
        <v>14.2922</v>
      </c>
      <c r="F122" s="156"/>
      <c r="G122" s="156"/>
      <c r="I122" s="153"/>
    </row>
    <row r="123" spans="2:9" ht="12">
      <c r="B123" s="150"/>
      <c r="C123" s="104"/>
      <c r="D123" s="155"/>
      <c r="E123" s="217"/>
      <c r="F123" s="156"/>
      <c r="G123" s="156"/>
      <c r="I123" s="153"/>
    </row>
    <row r="124" spans="2:9" ht="36">
      <c r="B124" s="150">
        <v>965081382</v>
      </c>
      <c r="C124" s="104" t="s">
        <v>562</v>
      </c>
      <c r="D124" s="155"/>
      <c r="E124" s="217">
        <f>SUM(E125:E150)</f>
        <v>146.47299999999998</v>
      </c>
      <c r="F124" s="156"/>
      <c r="G124" s="156">
        <f>E124*F124</f>
        <v>0</v>
      </c>
      <c r="H124" s="120">
        <v>0.076</v>
      </c>
      <c r="I124" s="153">
        <f>E124*H124</f>
        <v>11.131947999999998</v>
      </c>
    </row>
    <row r="125" spans="2:9" ht="12">
      <c r="B125" s="150"/>
      <c r="C125" s="102" t="s">
        <v>181</v>
      </c>
      <c r="D125" s="155" t="s">
        <v>58</v>
      </c>
      <c r="E125" s="217">
        <f>16.13+(0.1*0.6)*4+(0.2*0.8)+(0.15*0.8)</f>
        <v>16.65</v>
      </c>
      <c r="F125" s="156"/>
      <c r="G125" s="156"/>
      <c r="I125" s="153"/>
    </row>
    <row r="126" spans="2:9" ht="24">
      <c r="B126" s="150"/>
      <c r="C126" s="104" t="s">
        <v>182</v>
      </c>
      <c r="D126" s="155"/>
      <c r="E126" s="217"/>
      <c r="F126" s="156"/>
      <c r="G126" s="156"/>
      <c r="I126" s="153"/>
    </row>
    <row r="127" spans="2:9" ht="12">
      <c r="B127" s="150"/>
      <c r="C127" s="104"/>
      <c r="D127" s="155"/>
      <c r="E127" s="217"/>
      <c r="F127" s="156"/>
      <c r="G127" s="156"/>
      <c r="I127" s="153"/>
    </row>
    <row r="128" spans="2:9" ht="12">
      <c r="B128" s="150"/>
      <c r="C128" s="102" t="s">
        <v>132</v>
      </c>
      <c r="D128" s="155" t="s">
        <v>58</v>
      </c>
      <c r="E128" s="207">
        <f>15.93+(0.1*0.6)*4+(0.2*0.8)+(0.15*0.8)</f>
        <v>16.45</v>
      </c>
      <c r="F128" s="156"/>
      <c r="G128" s="156"/>
      <c r="I128" s="153"/>
    </row>
    <row r="129" spans="2:9" ht="24">
      <c r="B129" s="150"/>
      <c r="C129" s="104" t="s">
        <v>212</v>
      </c>
      <c r="D129" s="102"/>
      <c r="E129" s="202"/>
      <c r="F129" s="156"/>
      <c r="G129" s="156"/>
      <c r="I129" s="153"/>
    </row>
    <row r="130" spans="2:9" ht="12">
      <c r="B130" s="150"/>
      <c r="C130" s="104"/>
      <c r="D130" s="155"/>
      <c r="E130" s="217"/>
      <c r="F130" s="156"/>
      <c r="G130" s="156"/>
      <c r="I130" s="153"/>
    </row>
    <row r="131" spans="2:9" ht="12">
      <c r="B131" s="150"/>
      <c r="C131" s="102" t="s">
        <v>149</v>
      </c>
      <c r="D131" s="155"/>
      <c r="E131" s="217"/>
      <c r="F131" s="156"/>
      <c r="G131" s="156"/>
      <c r="I131" s="153"/>
    </row>
    <row r="132" spans="2:9" ht="24">
      <c r="B132" s="150"/>
      <c r="C132" s="104" t="s">
        <v>213</v>
      </c>
      <c r="D132" s="155" t="s">
        <v>58</v>
      </c>
      <c r="E132" s="207">
        <f>15.93+(0.1*0.6)*4+(0.2*0.8)+(0.15*0.8)</f>
        <v>16.45</v>
      </c>
      <c r="F132" s="156"/>
      <c r="G132" s="156"/>
      <c r="I132" s="153"/>
    </row>
    <row r="133" spans="2:9" ht="12">
      <c r="B133" s="150"/>
      <c r="C133" s="104"/>
      <c r="D133" s="155"/>
      <c r="E133" s="217"/>
      <c r="F133" s="156"/>
      <c r="G133" s="156"/>
      <c r="I133" s="153"/>
    </row>
    <row r="134" spans="2:9" ht="12">
      <c r="B134" s="150"/>
      <c r="C134" s="102" t="s">
        <v>157</v>
      </c>
      <c r="D134" s="155"/>
      <c r="E134" s="217"/>
      <c r="F134" s="156"/>
      <c r="G134" s="156"/>
      <c r="I134" s="153"/>
    </row>
    <row r="135" spans="2:9" ht="24">
      <c r="B135" s="150"/>
      <c r="C135" s="104" t="s">
        <v>214</v>
      </c>
      <c r="D135" s="155" t="s">
        <v>58</v>
      </c>
      <c r="E135" s="207">
        <f>16.4+(0.1*0.6)*4+(0.2*0.8)+(0.15*0.8)</f>
        <v>16.919999999999998</v>
      </c>
      <c r="F135" s="156"/>
      <c r="G135" s="156"/>
      <c r="I135" s="153"/>
    </row>
    <row r="136" spans="2:9" ht="12">
      <c r="B136" s="150"/>
      <c r="C136" s="104"/>
      <c r="D136" s="155"/>
      <c r="E136" s="217"/>
      <c r="F136" s="156"/>
      <c r="G136" s="156"/>
      <c r="I136" s="153"/>
    </row>
    <row r="137" spans="2:9" ht="12">
      <c r="B137" s="150"/>
      <c r="C137" s="102" t="s">
        <v>180</v>
      </c>
      <c r="D137" s="155"/>
      <c r="E137" s="202"/>
      <c r="F137" s="156"/>
      <c r="G137" s="156"/>
      <c r="I137" s="153"/>
    </row>
    <row r="138" spans="2:9" ht="24">
      <c r="B138" s="150"/>
      <c r="C138" s="104" t="s">
        <v>215</v>
      </c>
      <c r="D138" s="155" t="s">
        <v>58</v>
      </c>
      <c r="E138" s="202">
        <f>17.8+(0.1*0.6)*4+(0.1*0.8)+(0.15*0.9)</f>
        <v>18.255</v>
      </c>
      <c r="F138" s="156"/>
      <c r="G138" s="156"/>
      <c r="I138" s="153"/>
    </row>
    <row r="139" spans="2:9" ht="12">
      <c r="B139" s="150"/>
      <c r="C139" s="104"/>
      <c r="D139" s="155"/>
      <c r="E139" s="202"/>
      <c r="F139" s="156"/>
      <c r="G139" s="156"/>
      <c r="I139" s="153"/>
    </row>
    <row r="140" spans="2:9" ht="12">
      <c r="B140" s="150"/>
      <c r="C140" s="102" t="s">
        <v>183</v>
      </c>
      <c r="D140" s="155"/>
      <c r="E140" s="202"/>
      <c r="F140" s="156"/>
      <c r="G140" s="156"/>
      <c r="I140" s="153"/>
    </row>
    <row r="141" spans="2:9" ht="24">
      <c r="B141" s="150"/>
      <c r="C141" s="104" t="s">
        <v>217</v>
      </c>
      <c r="D141" s="155" t="s">
        <v>58</v>
      </c>
      <c r="E141" s="202">
        <f>14.51+(0.1*0.6)*2+(0.1*0.8)+(0.15*0.94)</f>
        <v>14.850999999999999</v>
      </c>
      <c r="F141" s="156"/>
      <c r="G141" s="153"/>
      <c r="I141" s="153"/>
    </row>
    <row r="142" spans="2:9" ht="12">
      <c r="B142" s="150"/>
      <c r="C142" s="104"/>
      <c r="D142" s="155"/>
      <c r="E142" s="202"/>
      <c r="F142" s="156"/>
      <c r="G142" s="156"/>
      <c r="I142" s="153"/>
    </row>
    <row r="143" spans="2:9" ht="12">
      <c r="B143" s="150"/>
      <c r="C143" s="102" t="s">
        <v>189</v>
      </c>
      <c r="D143" s="155"/>
      <c r="E143" s="202"/>
      <c r="F143" s="156"/>
      <c r="G143" s="156"/>
      <c r="I143" s="153"/>
    </row>
    <row r="144" spans="2:9" ht="24">
      <c r="B144" s="150"/>
      <c r="C144" s="104" t="s">
        <v>218</v>
      </c>
      <c r="D144" s="155" t="s">
        <v>58</v>
      </c>
      <c r="E144" s="202">
        <f>16.131+(0.1*0.6)*2+(0.1*0.8)+(0.15*1.4)</f>
        <v>16.541</v>
      </c>
      <c r="F144" s="156"/>
      <c r="G144" s="156"/>
      <c r="I144" s="153"/>
    </row>
    <row r="145" spans="2:9" ht="12">
      <c r="B145" s="150"/>
      <c r="C145" s="104"/>
      <c r="D145" s="155"/>
      <c r="E145" s="202"/>
      <c r="F145" s="156"/>
      <c r="G145" s="156"/>
      <c r="I145" s="153"/>
    </row>
    <row r="146" spans="2:9" ht="12">
      <c r="B146" s="150"/>
      <c r="C146" s="102" t="s">
        <v>194</v>
      </c>
      <c r="D146" s="155"/>
      <c r="E146" s="202"/>
      <c r="F146" s="156"/>
      <c r="G146" s="156"/>
      <c r="I146" s="153"/>
    </row>
    <row r="147" spans="2:9" ht="24">
      <c r="B147" s="150"/>
      <c r="C147" s="104" t="s">
        <v>220</v>
      </c>
      <c r="D147" s="155" t="s">
        <v>58</v>
      </c>
      <c r="E147" s="202">
        <f>15.78+(0.1*0.6)*2+(0.1*0.8)+(0.2*0.94)</f>
        <v>16.168</v>
      </c>
      <c r="F147" s="156"/>
      <c r="G147" s="156"/>
      <c r="I147" s="153"/>
    </row>
    <row r="148" spans="2:9" ht="12">
      <c r="B148" s="150"/>
      <c r="C148" s="104"/>
      <c r="D148" s="155"/>
      <c r="E148" s="202"/>
      <c r="F148" s="156"/>
      <c r="G148" s="156"/>
      <c r="I148" s="153"/>
    </row>
    <row r="149" spans="2:9" ht="12">
      <c r="B149" s="150"/>
      <c r="C149" s="102" t="s">
        <v>204</v>
      </c>
      <c r="D149" s="155"/>
      <c r="E149" s="202"/>
      <c r="F149" s="156"/>
      <c r="G149" s="156"/>
      <c r="I149" s="153"/>
    </row>
    <row r="150" spans="2:9" ht="24">
      <c r="B150" s="150"/>
      <c r="C150" s="104" t="s">
        <v>219</v>
      </c>
      <c r="D150" s="155" t="s">
        <v>58</v>
      </c>
      <c r="E150" s="206">
        <f>13.8+(0.1*0.6)*2+(0.1*0.8)+(0.2*0.94)</f>
        <v>14.188</v>
      </c>
      <c r="F150" s="156"/>
      <c r="G150" s="156"/>
      <c r="I150" s="153"/>
    </row>
    <row r="151" spans="2:9" ht="12">
      <c r="B151" s="150"/>
      <c r="C151" s="104"/>
      <c r="D151" s="155"/>
      <c r="E151" s="206"/>
      <c r="F151" s="156"/>
      <c r="G151" s="156"/>
      <c r="I151" s="153"/>
    </row>
    <row r="152" spans="2:9" ht="24">
      <c r="B152" s="150"/>
      <c r="C152" s="104" t="s">
        <v>504</v>
      </c>
      <c r="D152" s="155" t="s">
        <v>58</v>
      </c>
      <c r="E152" s="206">
        <f>0.35*1.24*2</f>
        <v>0.868</v>
      </c>
      <c r="F152" s="156"/>
      <c r="G152" s="156">
        <f>E152*F152</f>
        <v>0</v>
      </c>
      <c r="H152" s="120">
        <v>0.076</v>
      </c>
      <c r="I152" s="153">
        <f>E152*H152</f>
        <v>0.065968</v>
      </c>
    </row>
    <row r="153" spans="2:9" ht="12">
      <c r="B153" s="150"/>
      <c r="C153" s="104" t="s">
        <v>291</v>
      </c>
      <c r="D153" s="155"/>
      <c r="E153" s="206"/>
      <c r="F153" s="156"/>
      <c r="G153" s="156"/>
      <c r="I153" s="153"/>
    </row>
    <row r="154" spans="2:9" ht="12">
      <c r="B154" s="150"/>
      <c r="C154" s="104"/>
      <c r="D154" s="155"/>
      <c r="E154" s="202"/>
      <c r="F154" s="156"/>
      <c r="G154" s="156"/>
      <c r="I154" s="153"/>
    </row>
    <row r="155" spans="2:9" ht="24">
      <c r="B155" s="150">
        <v>766441821</v>
      </c>
      <c r="C155" s="104" t="s">
        <v>221</v>
      </c>
      <c r="D155" s="155"/>
      <c r="E155" s="202">
        <f>SUM(E156:E164)</f>
        <v>12</v>
      </c>
      <c r="F155" s="156"/>
      <c r="G155" s="156">
        <f>E155*F155</f>
        <v>0</v>
      </c>
      <c r="H155" s="120">
        <v>0.005</v>
      </c>
      <c r="I155" s="153">
        <f>E155*H155</f>
        <v>0.06</v>
      </c>
    </row>
    <row r="156" spans="2:9" ht="24">
      <c r="B156" s="150"/>
      <c r="C156" s="102" t="s">
        <v>292</v>
      </c>
      <c r="D156" s="155"/>
      <c r="E156" s="202">
        <v>0</v>
      </c>
      <c r="F156" s="156"/>
      <c r="G156" s="156"/>
      <c r="I156" s="153"/>
    </row>
    <row r="157" spans="2:9" ht="12">
      <c r="B157" s="150"/>
      <c r="C157" s="102" t="s">
        <v>222</v>
      </c>
      <c r="D157" s="155" t="s">
        <v>71</v>
      </c>
      <c r="E157" s="202">
        <v>2</v>
      </c>
      <c r="F157" s="156"/>
      <c r="G157" s="156"/>
      <c r="I157" s="153"/>
    </row>
    <row r="158" spans="2:9" ht="12">
      <c r="B158" s="150"/>
      <c r="C158" s="102" t="s">
        <v>223</v>
      </c>
      <c r="D158" s="155" t="s">
        <v>71</v>
      </c>
      <c r="E158" s="202">
        <v>2</v>
      </c>
      <c r="F158" s="156"/>
      <c r="G158" s="156"/>
      <c r="I158" s="153"/>
    </row>
    <row r="159" spans="2:9" ht="12">
      <c r="B159" s="150"/>
      <c r="C159" s="102" t="s">
        <v>224</v>
      </c>
      <c r="D159" s="155" t="s">
        <v>71</v>
      </c>
      <c r="E159" s="202">
        <v>2</v>
      </c>
      <c r="F159" s="156"/>
      <c r="G159" s="156"/>
      <c r="I159" s="153"/>
    </row>
    <row r="160" spans="2:9" ht="12">
      <c r="B160" s="150"/>
      <c r="C160" s="102" t="s">
        <v>225</v>
      </c>
      <c r="D160" s="155" t="s">
        <v>71</v>
      </c>
      <c r="E160" s="202">
        <v>2</v>
      </c>
      <c r="F160" s="156"/>
      <c r="G160" s="156"/>
      <c r="I160" s="153"/>
    </row>
    <row r="161" spans="2:9" ht="12">
      <c r="B161" s="150"/>
      <c r="C161" s="102" t="s">
        <v>226</v>
      </c>
      <c r="D161" s="155" t="s">
        <v>71</v>
      </c>
      <c r="E161" s="202">
        <v>1</v>
      </c>
      <c r="F161" s="156"/>
      <c r="G161" s="156"/>
      <c r="I161" s="153"/>
    </row>
    <row r="162" spans="2:9" ht="12">
      <c r="B162" s="150"/>
      <c r="C162" s="102" t="s">
        <v>227</v>
      </c>
      <c r="D162" s="155" t="s">
        <v>71</v>
      </c>
      <c r="E162" s="202">
        <v>1</v>
      </c>
      <c r="F162" s="156"/>
      <c r="G162" s="156"/>
      <c r="I162" s="153"/>
    </row>
    <row r="163" spans="2:9" ht="12">
      <c r="B163" s="150"/>
      <c r="C163" s="102" t="s">
        <v>229</v>
      </c>
      <c r="D163" s="155" t="s">
        <v>71</v>
      </c>
      <c r="E163" s="202">
        <v>1</v>
      </c>
      <c r="F163" s="156"/>
      <c r="G163" s="156"/>
      <c r="I163" s="153"/>
    </row>
    <row r="164" spans="2:9" ht="12">
      <c r="B164" s="150"/>
      <c r="C164" s="102" t="s">
        <v>228</v>
      </c>
      <c r="D164" s="155" t="s">
        <v>71</v>
      </c>
      <c r="E164" s="202">
        <v>1</v>
      </c>
      <c r="F164" s="156"/>
      <c r="G164" s="156"/>
      <c r="I164" s="153"/>
    </row>
    <row r="165" spans="2:9" ht="12">
      <c r="B165" s="150"/>
      <c r="D165" s="155"/>
      <c r="E165" s="202"/>
      <c r="F165" s="156"/>
      <c r="G165" s="156"/>
      <c r="I165" s="153"/>
    </row>
    <row r="166" spans="2:9" ht="24">
      <c r="B166" s="150">
        <v>974031142</v>
      </c>
      <c r="C166" s="104" t="s">
        <v>232</v>
      </c>
      <c r="D166" s="155" t="s">
        <v>59</v>
      </c>
      <c r="E166" s="202">
        <v>23</v>
      </c>
      <c r="F166" s="156"/>
      <c r="G166" s="156">
        <f>E166*F166</f>
        <v>0</v>
      </c>
      <c r="H166" s="120">
        <v>0.011</v>
      </c>
      <c r="I166" s="153">
        <f>E166*H166</f>
        <v>0.253</v>
      </c>
    </row>
    <row r="167" spans="2:9" ht="24">
      <c r="B167" s="150"/>
      <c r="C167" s="104" t="s">
        <v>230</v>
      </c>
      <c r="D167" s="155"/>
      <c r="E167" s="202"/>
      <c r="F167" s="156"/>
      <c r="G167" s="156"/>
      <c r="I167" s="153"/>
    </row>
    <row r="168" spans="2:9" ht="12">
      <c r="B168" s="150"/>
      <c r="D168" s="155"/>
      <c r="E168" s="202"/>
      <c r="F168" s="156"/>
      <c r="G168" s="156"/>
      <c r="I168" s="153"/>
    </row>
    <row r="169" spans="2:9" ht="24">
      <c r="B169" s="150">
        <v>974031153</v>
      </c>
      <c r="C169" s="104" t="s">
        <v>233</v>
      </c>
      <c r="D169" s="155"/>
      <c r="E169" s="202">
        <v>8.5</v>
      </c>
      <c r="F169" s="156"/>
      <c r="G169" s="156">
        <f>E169*F169</f>
        <v>0</v>
      </c>
      <c r="H169" s="120">
        <v>0.018</v>
      </c>
      <c r="I169" s="153">
        <f>E169*H169</f>
        <v>0.153</v>
      </c>
    </row>
    <row r="170" spans="2:9" ht="24">
      <c r="B170" s="150"/>
      <c r="C170" s="104" t="s">
        <v>230</v>
      </c>
      <c r="D170" s="155"/>
      <c r="E170" s="202"/>
      <c r="F170" s="156"/>
      <c r="G170" s="156"/>
      <c r="I170" s="153"/>
    </row>
    <row r="171" spans="2:9" ht="12">
      <c r="B171" s="150"/>
      <c r="D171" s="155"/>
      <c r="E171" s="202"/>
      <c r="F171" s="156"/>
      <c r="G171" s="156"/>
      <c r="I171" s="153"/>
    </row>
    <row r="172" spans="2:9" ht="24">
      <c r="B172" s="150">
        <v>974031164</v>
      </c>
      <c r="C172" s="104" t="s">
        <v>234</v>
      </c>
      <c r="D172" s="155"/>
      <c r="E172" s="202">
        <f>19+52</f>
        <v>71</v>
      </c>
      <c r="F172" s="156"/>
      <c r="G172" s="156">
        <f>E172*F172</f>
        <v>0</v>
      </c>
      <c r="H172" s="120">
        <v>0.04</v>
      </c>
      <c r="I172" s="153">
        <f>E172*H172</f>
        <v>2.84</v>
      </c>
    </row>
    <row r="173" spans="2:9" ht="24">
      <c r="B173" s="150"/>
      <c r="C173" s="104" t="s">
        <v>230</v>
      </c>
      <c r="D173" s="155"/>
      <c r="E173" s="202"/>
      <c r="F173" s="156"/>
      <c r="G173" s="156"/>
      <c r="I173" s="153"/>
    </row>
    <row r="174" spans="2:9" ht="12">
      <c r="B174" s="150"/>
      <c r="C174" s="102" t="s">
        <v>231</v>
      </c>
      <c r="D174" s="155"/>
      <c r="E174" s="202"/>
      <c r="F174" s="156"/>
      <c r="G174" s="156"/>
      <c r="I174" s="153"/>
    </row>
    <row r="175" spans="2:9" ht="12">
      <c r="B175" s="150"/>
      <c r="D175" s="155"/>
      <c r="E175" s="202"/>
      <c r="F175" s="156"/>
      <c r="G175" s="156"/>
      <c r="I175" s="153"/>
    </row>
    <row r="176" spans="2:9" ht="24">
      <c r="B176" s="150">
        <v>974031132</v>
      </c>
      <c r="C176" s="104" t="s">
        <v>563</v>
      </c>
      <c r="D176" s="155" t="s">
        <v>59</v>
      </c>
      <c r="E176" s="202">
        <f>130+36</f>
        <v>166</v>
      </c>
      <c r="F176" s="156"/>
      <c r="G176" s="156">
        <f>E176*F176</f>
        <v>0</v>
      </c>
      <c r="H176" s="120">
        <v>0.006</v>
      </c>
      <c r="I176" s="153">
        <f>E176*H176</f>
        <v>0.996</v>
      </c>
    </row>
    <row r="177" spans="2:9" ht="24">
      <c r="B177" s="150"/>
      <c r="C177" s="104" t="s">
        <v>237</v>
      </c>
      <c r="D177" s="155"/>
      <c r="E177" s="202"/>
      <c r="F177" s="156"/>
      <c r="G177" s="156"/>
      <c r="I177" s="153"/>
    </row>
    <row r="178" spans="2:9" ht="12">
      <c r="B178" s="150"/>
      <c r="C178" s="102" t="s">
        <v>235</v>
      </c>
      <c r="D178" s="155"/>
      <c r="E178" s="202"/>
      <c r="F178" s="156"/>
      <c r="G178" s="156"/>
      <c r="I178" s="153"/>
    </row>
    <row r="179" spans="2:9" ht="12">
      <c r="B179" s="150"/>
      <c r="D179" s="155"/>
      <c r="E179" s="202"/>
      <c r="F179" s="156"/>
      <c r="G179" s="156"/>
      <c r="I179" s="153"/>
    </row>
    <row r="180" spans="2:9" ht="24">
      <c r="B180" s="150">
        <v>974031142</v>
      </c>
      <c r="C180" s="104" t="s">
        <v>564</v>
      </c>
      <c r="D180" s="155" t="s">
        <v>59</v>
      </c>
      <c r="E180" s="202">
        <f>21+11</f>
        <v>32</v>
      </c>
      <c r="F180" s="156"/>
      <c r="G180" s="156">
        <f>E180*F180</f>
        <v>0</v>
      </c>
      <c r="H180" s="120">
        <v>0.009</v>
      </c>
      <c r="I180" s="153">
        <f>E180*H180</f>
        <v>0.288</v>
      </c>
    </row>
    <row r="181" spans="2:9" ht="24">
      <c r="B181" s="150"/>
      <c r="C181" s="104" t="s">
        <v>237</v>
      </c>
      <c r="D181" s="155"/>
      <c r="E181" s="202"/>
      <c r="F181" s="156"/>
      <c r="G181" s="156"/>
      <c r="I181" s="153"/>
    </row>
    <row r="182" spans="2:9" ht="12">
      <c r="B182" s="150"/>
      <c r="C182" s="102" t="s">
        <v>236</v>
      </c>
      <c r="D182" s="102"/>
      <c r="E182" s="202"/>
      <c r="F182" s="102"/>
      <c r="G182" s="156"/>
      <c r="I182" s="153"/>
    </row>
    <row r="183" spans="2:9" ht="12">
      <c r="B183" s="150"/>
      <c r="D183" s="155"/>
      <c r="E183" s="202"/>
      <c r="F183" s="156"/>
      <c r="G183" s="156"/>
      <c r="I183" s="153"/>
    </row>
    <row r="184" spans="2:9" ht="36">
      <c r="B184" s="150">
        <v>973031335</v>
      </c>
      <c r="C184" s="104" t="s">
        <v>313</v>
      </c>
      <c r="D184" s="155" t="s">
        <v>71</v>
      </c>
      <c r="E184" s="202">
        <v>9</v>
      </c>
      <c r="F184" s="156"/>
      <c r="G184" s="156">
        <f>E184*F184</f>
        <v>0</v>
      </c>
      <c r="H184" s="120">
        <v>0.062</v>
      </c>
      <c r="I184" s="153">
        <f>E184*H184</f>
        <v>0.558</v>
      </c>
    </row>
    <row r="185" spans="2:9" ht="24">
      <c r="B185" s="150"/>
      <c r="C185" s="104" t="s">
        <v>230</v>
      </c>
      <c r="D185" s="155"/>
      <c r="E185" s="202"/>
      <c r="F185" s="156"/>
      <c r="G185" s="156"/>
      <c r="I185" s="153"/>
    </row>
    <row r="186" spans="2:9" ht="12">
      <c r="B186" s="150"/>
      <c r="C186" s="104"/>
      <c r="D186" s="155"/>
      <c r="E186" s="202"/>
      <c r="F186" s="156"/>
      <c r="G186" s="156"/>
      <c r="I186" s="153"/>
    </row>
    <row r="187" spans="2:9" ht="24">
      <c r="B187" s="150"/>
      <c r="C187" s="104" t="s">
        <v>505</v>
      </c>
      <c r="D187" s="155" t="s">
        <v>59</v>
      </c>
      <c r="E187" s="202">
        <f>1.2*33</f>
        <v>39.6</v>
      </c>
      <c r="F187" s="156"/>
      <c r="G187" s="156">
        <f>E187*F187</f>
        <v>0</v>
      </c>
      <c r="H187" s="120">
        <v>0.243</v>
      </c>
      <c r="I187" s="153">
        <f>E187*H187</f>
        <v>9.6228</v>
      </c>
    </row>
    <row r="188" spans="2:9" ht="12">
      <c r="B188" s="150"/>
      <c r="D188" s="155"/>
      <c r="E188" s="202"/>
      <c r="F188" s="156"/>
      <c r="G188" s="156"/>
      <c r="I188" s="153"/>
    </row>
    <row r="189" spans="2:9" ht="12">
      <c r="B189" s="150"/>
      <c r="C189" s="102" t="s">
        <v>314</v>
      </c>
      <c r="D189" s="155"/>
      <c r="E189" s="202"/>
      <c r="F189" s="156"/>
      <c r="G189" s="156"/>
      <c r="I189" s="153"/>
    </row>
    <row r="190" spans="2:9" ht="24">
      <c r="B190" s="150"/>
      <c r="C190" s="104" t="s">
        <v>244</v>
      </c>
      <c r="D190" s="155"/>
      <c r="E190" s="202"/>
      <c r="F190" s="156"/>
      <c r="G190" s="156"/>
      <c r="I190" s="153"/>
    </row>
    <row r="191" spans="2:9" ht="12">
      <c r="B191" s="150">
        <v>725110811</v>
      </c>
      <c r="C191" s="102" t="s">
        <v>242</v>
      </c>
      <c r="D191" s="155" t="s">
        <v>243</v>
      </c>
      <c r="E191" s="202">
        <v>23</v>
      </c>
      <c r="F191" s="156"/>
      <c r="G191" s="156">
        <f>E191*F191</f>
        <v>0</v>
      </c>
      <c r="H191" s="120">
        <v>0.01933</v>
      </c>
      <c r="I191" s="153">
        <f aca="true" t="shared" si="0" ref="I191:I197">E191*H191</f>
        <v>0.44459</v>
      </c>
    </row>
    <row r="192" spans="2:9" ht="12">
      <c r="B192" s="150">
        <v>725130811</v>
      </c>
      <c r="C192" s="102" t="s">
        <v>239</v>
      </c>
      <c r="D192" s="155"/>
      <c r="E192" s="202">
        <v>10</v>
      </c>
      <c r="F192" s="156"/>
      <c r="G192" s="156">
        <f aca="true" t="shared" si="1" ref="G192:G197">E192*F192</f>
        <v>0</v>
      </c>
      <c r="H192" s="120">
        <v>0.03968</v>
      </c>
      <c r="I192" s="153">
        <f t="shared" si="0"/>
        <v>0.3968</v>
      </c>
    </row>
    <row r="193" spans="2:9" ht="12">
      <c r="B193" s="150">
        <v>725210821</v>
      </c>
      <c r="C193" s="102" t="s">
        <v>240</v>
      </c>
      <c r="D193" s="155"/>
      <c r="E193" s="202">
        <v>11</v>
      </c>
      <c r="F193" s="156"/>
      <c r="G193" s="156">
        <f t="shared" si="1"/>
        <v>0</v>
      </c>
      <c r="H193" s="120">
        <v>0.01946</v>
      </c>
      <c r="I193" s="153">
        <f t="shared" si="0"/>
        <v>0.21406000000000003</v>
      </c>
    </row>
    <row r="194" spans="2:9" ht="12">
      <c r="B194" s="150">
        <v>725310821</v>
      </c>
      <c r="C194" s="102" t="s">
        <v>246</v>
      </c>
      <c r="D194" s="155"/>
      <c r="E194" s="202">
        <v>1</v>
      </c>
      <c r="F194" s="157"/>
      <c r="G194" s="156">
        <f t="shared" si="1"/>
        <v>0</v>
      </c>
      <c r="H194" s="120">
        <v>0.01707</v>
      </c>
      <c r="I194" s="153">
        <f t="shared" si="0"/>
        <v>0.01707</v>
      </c>
    </row>
    <row r="195" spans="2:9" ht="12">
      <c r="B195" s="150">
        <v>725240812</v>
      </c>
      <c r="C195" s="102" t="s">
        <v>241</v>
      </c>
      <c r="D195" s="155"/>
      <c r="E195" s="202">
        <v>1</v>
      </c>
      <c r="F195" s="156"/>
      <c r="G195" s="156">
        <f t="shared" si="1"/>
        <v>0</v>
      </c>
      <c r="H195" s="120">
        <v>0.0245</v>
      </c>
      <c r="I195" s="153">
        <f t="shared" si="0"/>
        <v>0.0245</v>
      </c>
    </row>
    <row r="196" spans="2:9" ht="12">
      <c r="B196" s="150">
        <v>725330820</v>
      </c>
      <c r="C196" s="102" t="s">
        <v>247</v>
      </c>
      <c r="D196" s="155"/>
      <c r="E196" s="202">
        <v>4</v>
      </c>
      <c r="F196" s="156"/>
      <c r="G196" s="156">
        <f t="shared" si="1"/>
        <v>0</v>
      </c>
      <c r="H196" s="120">
        <v>0.0347</v>
      </c>
      <c r="I196" s="153">
        <f t="shared" si="0"/>
        <v>0.1388</v>
      </c>
    </row>
    <row r="197" spans="2:9" ht="12">
      <c r="B197" s="150">
        <v>725820809</v>
      </c>
      <c r="C197" s="102" t="s">
        <v>245</v>
      </c>
      <c r="D197" s="155"/>
      <c r="E197" s="202">
        <v>16</v>
      </c>
      <c r="F197" s="156"/>
      <c r="G197" s="156">
        <f t="shared" si="1"/>
        <v>0</v>
      </c>
      <c r="H197" s="120">
        <v>0.00176</v>
      </c>
      <c r="I197" s="153">
        <f t="shared" si="0"/>
        <v>0.02816</v>
      </c>
    </row>
    <row r="198" spans="2:9" ht="12">
      <c r="B198" s="150"/>
      <c r="D198" s="155"/>
      <c r="E198" s="202"/>
      <c r="F198" s="156"/>
      <c r="G198" s="156"/>
      <c r="I198" s="153"/>
    </row>
    <row r="199" spans="1:9" ht="24">
      <c r="A199" s="115" t="s">
        <v>81</v>
      </c>
      <c r="B199" s="150"/>
      <c r="C199" s="102" t="s">
        <v>264</v>
      </c>
      <c r="D199" s="122" t="s">
        <v>59</v>
      </c>
      <c r="E199" s="202">
        <f>23+8.5+19+52+130+36+21+11</f>
        <v>300.5</v>
      </c>
      <c r="F199" s="158"/>
      <c r="G199" s="156">
        <f aca="true" t="shared" si="2" ref="G199:G209">E199*F199</f>
        <v>0</v>
      </c>
      <c r="H199" s="159">
        <v>0.00497</v>
      </c>
      <c r="I199" s="153">
        <f>E199*H199</f>
        <v>1.493485</v>
      </c>
    </row>
    <row r="200" spans="2:9" ht="12">
      <c r="B200" s="150"/>
      <c r="D200" s="122"/>
      <c r="E200" s="202"/>
      <c r="F200" s="158"/>
      <c r="G200" s="156"/>
      <c r="H200" s="159"/>
      <c r="I200" s="153"/>
    </row>
    <row r="201" spans="2:9" ht="12">
      <c r="B201" s="150">
        <v>969011121</v>
      </c>
      <c r="C201" s="102" t="s">
        <v>265</v>
      </c>
      <c r="D201" s="122" t="s">
        <v>59</v>
      </c>
      <c r="E201" s="202">
        <f>130+36+21+11</f>
        <v>198</v>
      </c>
      <c r="F201" s="158"/>
      <c r="G201" s="156">
        <f t="shared" si="2"/>
        <v>0</v>
      </c>
      <c r="H201" s="159">
        <v>0.013</v>
      </c>
      <c r="I201" s="153">
        <f>E201*H201</f>
        <v>2.574</v>
      </c>
    </row>
    <row r="202" spans="2:9" ht="12">
      <c r="B202" s="150">
        <v>969021121</v>
      </c>
      <c r="C202" s="102" t="s">
        <v>266</v>
      </c>
      <c r="D202" s="122" t="s">
        <v>59</v>
      </c>
      <c r="E202" s="202">
        <f>23+8.5+19+52</f>
        <v>102.5</v>
      </c>
      <c r="F202" s="158"/>
      <c r="G202" s="156">
        <f t="shared" si="2"/>
        <v>0</v>
      </c>
      <c r="H202" s="159">
        <v>0.063</v>
      </c>
      <c r="I202" s="153">
        <f>E202*H202</f>
        <v>6.4575000000000005</v>
      </c>
    </row>
    <row r="203" spans="2:9" ht="48">
      <c r="B203" s="150">
        <v>73312</v>
      </c>
      <c r="C203" s="102" t="s">
        <v>565</v>
      </c>
      <c r="D203" s="122" t="s">
        <v>59</v>
      </c>
      <c r="E203" s="202">
        <f>6*14</f>
        <v>84</v>
      </c>
      <c r="F203" s="158"/>
      <c r="G203" s="156">
        <f t="shared" si="2"/>
        <v>0</v>
      </c>
      <c r="H203" s="159">
        <v>0.001</v>
      </c>
      <c r="I203" s="153">
        <f>E203*H203</f>
        <v>0.084</v>
      </c>
    </row>
    <row r="204" spans="2:9" ht="24">
      <c r="B204" s="150">
        <v>73511</v>
      </c>
      <c r="C204" s="102" t="s">
        <v>566</v>
      </c>
      <c r="D204" s="122" t="s">
        <v>58</v>
      </c>
      <c r="E204" s="202">
        <f>1.5*14</f>
        <v>21</v>
      </c>
      <c r="F204" s="158"/>
      <c r="G204" s="156">
        <f t="shared" si="2"/>
        <v>0</v>
      </c>
      <c r="H204" s="257">
        <v>0.0238</v>
      </c>
      <c r="I204" s="153">
        <f>E204*H204</f>
        <v>0.4998</v>
      </c>
    </row>
    <row r="205" spans="2:9" ht="12">
      <c r="B205" s="150"/>
      <c r="D205" s="122"/>
      <c r="E205" s="202"/>
      <c r="F205" s="158"/>
      <c r="G205" s="156"/>
      <c r="H205" s="159"/>
      <c r="I205" s="153"/>
    </row>
    <row r="206" spans="1:9" ht="36">
      <c r="A206" s="115" t="s">
        <v>82</v>
      </c>
      <c r="B206" s="150">
        <v>997013</v>
      </c>
      <c r="C206" s="102" t="s">
        <v>387</v>
      </c>
      <c r="D206" s="160" t="s">
        <v>17</v>
      </c>
      <c r="E206" s="202">
        <f>SUM(I44:I204)</f>
        <v>75.618233</v>
      </c>
      <c r="F206" s="158"/>
      <c r="G206" s="156">
        <f t="shared" si="2"/>
        <v>0</v>
      </c>
      <c r="H206" s="159"/>
      <c r="I206" s="153"/>
    </row>
    <row r="207" spans="1:9" ht="24">
      <c r="A207" s="115" t="s">
        <v>83</v>
      </c>
      <c r="B207" s="150">
        <v>997013</v>
      </c>
      <c r="C207" s="102" t="s">
        <v>388</v>
      </c>
      <c r="D207" s="160" t="s">
        <v>17</v>
      </c>
      <c r="E207" s="202">
        <f>E206</f>
        <v>75.618233</v>
      </c>
      <c r="F207" s="158"/>
      <c r="G207" s="156">
        <f t="shared" si="2"/>
        <v>0</v>
      </c>
      <c r="H207" s="159"/>
      <c r="I207" s="153"/>
    </row>
    <row r="208" spans="1:9" ht="24">
      <c r="A208" s="115" t="s">
        <v>84</v>
      </c>
      <c r="B208" s="150"/>
      <c r="C208" s="102" t="s">
        <v>389</v>
      </c>
      <c r="D208" s="160" t="s">
        <v>17</v>
      </c>
      <c r="E208" s="202">
        <f>E207</f>
        <v>75.618233</v>
      </c>
      <c r="F208" s="158"/>
      <c r="G208" s="156">
        <f t="shared" si="2"/>
        <v>0</v>
      </c>
      <c r="H208" s="159"/>
      <c r="I208" s="153"/>
    </row>
    <row r="209" spans="1:9" ht="24">
      <c r="A209" s="115" t="s">
        <v>85</v>
      </c>
      <c r="B209" s="150">
        <v>997013</v>
      </c>
      <c r="C209" s="102" t="s">
        <v>390</v>
      </c>
      <c r="D209" s="160" t="s">
        <v>17</v>
      </c>
      <c r="E209" s="202">
        <f>E206</f>
        <v>75.618233</v>
      </c>
      <c r="F209" s="158"/>
      <c r="G209" s="156">
        <f t="shared" si="2"/>
        <v>0</v>
      </c>
      <c r="H209" s="159"/>
      <c r="I209" s="153"/>
    </row>
    <row r="210" spans="1:9" ht="72" customHeight="1">
      <c r="A210" s="115" t="s">
        <v>86</v>
      </c>
      <c r="B210" s="150"/>
      <c r="C210" s="161" t="s">
        <v>543</v>
      </c>
      <c r="D210" s="160"/>
      <c r="E210" s="202"/>
      <c r="F210" s="158"/>
      <c r="G210" s="156"/>
      <c r="H210" s="159"/>
      <c r="I210" s="153"/>
    </row>
    <row r="211" spans="2:9" ht="12">
      <c r="B211" s="150"/>
      <c r="D211" s="155"/>
      <c r="E211" s="202"/>
      <c r="F211" s="156"/>
      <c r="G211" s="156"/>
      <c r="I211" s="153"/>
    </row>
    <row r="212" spans="2:9" ht="12.75">
      <c r="B212" s="150"/>
      <c r="C212" s="166" t="s">
        <v>267</v>
      </c>
      <c r="D212" s="155"/>
      <c r="E212" s="202"/>
      <c r="F212" s="156"/>
      <c r="G212" s="156"/>
      <c r="I212" s="153"/>
    </row>
    <row r="213" spans="2:9" ht="24">
      <c r="B213" s="150"/>
      <c r="C213" s="166" t="s">
        <v>540</v>
      </c>
      <c r="D213" s="162" t="s">
        <v>51</v>
      </c>
      <c r="E213" s="204" t="s">
        <v>31</v>
      </c>
      <c r="F213" s="156"/>
      <c r="G213" s="163">
        <f>SUM(G215:G305)</f>
        <v>0</v>
      </c>
      <c r="H213" s="164"/>
      <c r="I213" s="165">
        <f>SUM(I215:I305)</f>
        <v>19.17195376</v>
      </c>
    </row>
    <row r="214" spans="2:9" ht="24">
      <c r="B214" s="150">
        <v>612131121</v>
      </c>
      <c r="C214" s="102" t="s">
        <v>268</v>
      </c>
      <c r="D214" s="155"/>
      <c r="E214" s="202"/>
      <c r="F214" s="156"/>
      <c r="G214" s="156"/>
      <c r="I214" s="153"/>
    </row>
    <row r="215" spans="2:9" ht="12">
      <c r="B215" s="150"/>
      <c r="C215" s="102" t="s">
        <v>269</v>
      </c>
      <c r="D215" s="155" t="s">
        <v>58</v>
      </c>
      <c r="E215" s="202">
        <f>E59</f>
        <v>537.8639999999999</v>
      </c>
      <c r="F215" s="156"/>
      <c r="G215" s="156">
        <f>E215*F215</f>
        <v>0</v>
      </c>
      <c r="H215" s="251">
        <v>0.00026</v>
      </c>
      <c r="I215" s="153">
        <f>E215*H215</f>
        <v>0.13984463999999996</v>
      </c>
    </row>
    <row r="216" spans="2:9" ht="12">
      <c r="B216" s="150"/>
      <c r="D216" s="155"/>
      <c r="E216" s="202"/>
      <c r="F216" s="156"/>
      <c r="G216" s="156"/>
      <c r="I216" s="153"/>
    </row>
    <row r="217" spans="2:9" ht="24">
      <c r="B217" s="150">
        <v>612130000</v>
      </c>
      <c r="C217" s="102" t="s">
        <v>270</v>
      </c>
      <c r="D217" s="155" t="s">
        <v>58</v>
      </c>
      <c r="E217" s="202">
        <f>E215</f>
        <v>537.8639999999999</v>
      </c>
      <c r="F217" s="156"/>
      <c r="G217" s="156">
        <f>E217*F217</f>
        <v>0</v>
      </c>
      <c r="H217" s="120">
        <v>0.02048</v>
      </c>
      <c r="I217" s="153">
        <f>E217*H217</f>
        <v>11.01545472</v>
      </c>
    </row>
    <row r="218" spans="2:9" ht="12">
      <c r="B218" s="150"/>
      <c r="D218" s="155"/>
      <c r="E218" s="202"/>
      <c r="F218" s="156"/>
      <c r="G218" s="156"/>
      <c r="I218" s="153"/>
    </row>
    <row r="219" spans="2:9" ht="24">
      <c r="B219" s="150"/>
      <c r="C219" s="102" t="s">
        <v>271</v>
      </c>
      <c r="D219" s="155" t="s">
        <v>59</v>
      </c>
      <c r="E219" s="202">
        <f>SUM(E221:E282)</f>
        <v>299.66</v>
      </c>
      <c r="F219" s="156"/>
      <c r="G219" s="156">
        <f>E219*F219</f>
        <v>0</v>
      </c>
      <c r="H219" s="120">
        <v>0.00431</v>
      </c>
      <c r="I219" s="153">
        <f>E219*H219</f>
        <v>1.2915346</v>
      </c>
    </row>
    <row r="220" spans="2:9" ht="12">
      <c r="B220" s="150"/>
      <c r="C220" s="102" t="s">
        <v>123</v>
      </c>
      <c r="D220" s="155"/>
      <c r="E220" s="202"/>
      <c r="F220" s="156"/>
      <c r="G220" s="156"/>
      <c r="I220" s="193"/>
    </row>
    <row r="221" spans="1:9" ht="12">
      <c r="A221" s="115" t="s">
        <v>62</v>
      </c>
      <c r="B221" s="150" t="s">
        <v>124</v>
      </c>
      <c r="C221" s="102" t="s">
        <v>276</v>
      </c>
      <c r="D221" s="155"/>
      <c r="E221" s="205">
        <f>(1.47+3.07+0.2)*2-(0.6*3+0.8)+0.68*2</f>
        <v>8.24</v>
      </c>
      <c r="F221" s="156"/>
      <c r="G221" s="156"/>
      <c r="I221" s="153"/>
    </row>
    <row r="222" spans="1:9" ht="12">
      <c r="A222" s="115" t="s">
        <v>74</v>
      </c>
      <c r="B222" s="150" t="s">
        <v>125</v>
      </c>
      <c r="C222" s="102" t="s">
        <v>272</v>
      </c>
      <c r="D222" s="155"/>
      <c r="E222" s="205">
        <f>(1.4+0.975)*2-(0.6)</f>
        <v>4.15</v>
      </c>
      <c r="F222" s="156"/>
      <c r="G222" s="156"/>
      <c r="I222" s="153"/>
    </row>
    <row r="223" spans="1:9" ht="12">
      <c r="A223" s="115" t="s">
        <v>75</v>
      </c>
      <c r="B223" s="150" t="s">
        <v>126</v>
      </c>
      <c r="C223" s="102" t="s">
        <v>273</v>
      </c>
      <c r="D223" s="155"/>
      <c r="E223" s="205">
        <f>(1.4+0.94)*2-(0.6)</f>
        <v>4.08</v>
      </c>
      <c r="F223" s="156"/>
      <c r="G223" s="156"/>
      <c r="I223" s="153"/>
    </row>
    <row r="224" spans="1:9" ht="12">
      <c r="A224" s="115" t="s">
        <v>76</v>
      </c>
      <c r="B224" s="150" t="s">
        <v>127</v>
      </c>
      <c r="C224" s="102" t="s">
        <v>274</v>
      </c>
      <c r="D224" s="155"/>
      <c r="E224" s="205">
        <f>(1.4+0.955)*2-0.6</f>
        <v>4.11</v>
      </c>
      <c r="F224" s="156"/>
      <c r="G224" s="156"/>
      <c r="I224" s="153"/>
    </row>
    <row r="225" spans="2:9" ht="12">
      <c r="B225" s="150" t="s">
        <v>128</v>
      </c>
      <c r="C225" s="102" t="s">
        <v>306</v>
      </c>
      <c r="D225" s="155"/>
      <c r="E225" s="205">
        <f>(2+2.365+0.6)*2-(0.6+0.8)+0.68*2</f>
        <v>9.889999999999999</v>
      </c>
      <c r="F225" s="156"/>
      <c r="G225" s="156"/>
      <c r="I225" s="153"/>
    </row>
    <row r="226" spans="2:9" ht="12">
      <c r="B226" s="150" t="s">
        <v>129</v>
      </c>
      <c r="C226" s="102" t="s">
        <v>275</v>
      </c>
      <c r="D226" s="155"/>
      <c r="E226" s="205">
        <f>(0.87+2.365)*2-0.6</f>
        <v>5.870000000000001</v>
      </c>
      <c r="F226" s="156"/>
      <c r="G226" s="156"/>
      <c r="I226" s="153"/>
    </row>
    <row r="227" spans="2:9" ht="12">
      <c r="B227" s="150"/>
      <c r="D227" s="155"/>
      <c r="E227" s="202"/>
      <c r="F227" s="156"/>
      <c r="G227" s="156"/>
      <c r="I227" s="153"/>
    </row>
    <row r="228" spans="2:9" ht="12">
      <c r="B228" s="150"/>
      <c r="C228" s="102" t="s">
        <v>132</v>
      </c>
      <c r="D228" s="155"/>
      <c r="E228" s="202"/>
      <c r="F228" s="156"/>
      <c r="G228" s="156"/>
      <c r="I228" s="153"/>
    </row>
    <row r="229" spans="2:9" ht="12">
      <c r="B229" s="150" t="s">
        <v>136</v>
      </c>
      <c r="C229" s="102" t="s">
        <v>276</v>
      </c>
      <c r="D229" s="155"/>
      <c r="E229" s="205">
        <f>(1.47+3.07)*2-(0.6*3+0.8)+0.68*2</f>
        <v>7.840000000000001</v>
      </c>
      <c r="F229" s="156"/>
      <c r="G229" s="156"/>
      <c r="I229" s="153"/>
    </row>
    <row r="230" spans="2:9" ht="12">
      <c r="B230" s="150" t="s">
        <v>137</v>
      </c>
      <c r="C230" s="102" t="s">
        <v>277</v>
      </c>
      <c r="D230" s="155"/>
      <c r="E230" s="205">
        <f>(1.4+0.975)*2-(0.6)</f>
        <v>4.15</v>
      </c>
      <c r="F230" s="156"/>
      <c r="G230" s="156"/>
      <c r="I230" s="153"/>
    </row>
    <row r="231" spans="2:9" ht="12">
      <c r="B231" s="150" t="s">
        <v>138</v>
      </c>
      <c r="C231" s="102" t="s">
        <v>273</v>
      </c>
      <c r="D231" s="155"/>
      <c r="E231" s="205">
        <f>(1.4+0.94)*2-0.6</f>
        <v>4.08</v>
      </c>
      <c r="F231" s="156"/>
      <c r="G231" s="156"/>
      <c r="I231" s="153"/>
    </row>
    <row r="232" spans="2:9" ht="12">
      <c r="B232" s="150" t="s">
        <v>139</v>
      </c>
      <c r="C232" s="102" t="s">
        <v>274</v>
      </c>
      <c r="D232" s="155"/>
      <c r="E232" s="205">
        <f>(1.4+0.955)*2-0.6</f>
        <v>4.11</v>
      </c>
      <c r="F232" s="156"/>
      <c r="G232" s="156"/>
      <c r="I232" s="153"/>
    </row>
    <row r="233" spans="2:9" ht="12">
      <c r="B233" s="150" t="s">
        <v>140</v>
      </c>
      <c r="C233" s="102" t="s">
        <v>307</v>
      </c>
      <c r="D233" s="155"/>
      <c r="E233" s="205">
        <f>(2.07+2.365)*2-(0.6+0.8)+(0.6*2)+0.68*2</f>
        <v>10.03</v>
      </c>
      <c r="F233" s="156"/>
      <c r="G233" s="156"/>
      <c r="I233" s="153"/>
    </row>
    <row r="234" spans="2:9" ht="12">
      <c r="B234" s="150" t="s">
        <v>141</v>
      </c>
      <c r="C234" s="104" t="s">
        <v>278</v>
      </c>
      <c r="D234" s="155"/>
      <c r="E234" s="217">
        <f>(0.8+2.365)*2-0.6</f>
        <v>5.73</v>
      </c>
      <c r="F234" s="156"/>
      <c r="G234" s="156"/>
      <c r="I234" s="153"/>
    </row>
    <row r="235" spans="2:9" ht="12">
      <c r="B235" s="150"/>
      <c r="C235" s="150"/>
      <c r="D235" s="155"/>
      <c r="E235" s="202"/>
      <c r="F235" s="156"/>
      <c r="G235" s="156"/>
      <c r="I235" s="153"/>
    </row>
    <row r="236" spans="2:9" ht="12">
      <c r="B236" s="150"/>
      <c r="C236" s="102" t="s">
        <v>149</v>
      </c>
      <c r="D236" s="155"/>
      <c r="E236" s="202"/>
      <c r="F236" s="156"/>
      <c r="G236" s="156"/>
      <c r="I236" s="153"/>
    </row>
    <row r="237" spans="2:9" ht="24">
      <c r="B237" s="150" t="s">
        <v>150</v>
      </c>
      <c r="C237" s="102" t="s">
        <v>308</v>
      </c>
      <c r="D237" s="155"/>
      <c r="E237" s="205">
        <f>(1.47+(0.92+1.24+0.91+0.2))*2-(0.6*3+0.8)+0.68*2</f>
        <v>8.24</v>
      </c>
      <c r="F237" s="156"/>
      <c r="G237" s="156"/>
      <c r="I237" s="153"/>
    </row>
    <row r="238" spans="2:9" ht="12">
      <c r="B238" s="150" t="s">
        <v>151</v>
      </c>
      <c r="C238" s="102" t="s">
        <v>272</v>
      </c>
      <c r="D238" s="155"/>
      <c r="E238" s="205">
        <f>(1.4+0.975)*2-0.6</f>
        <v>4.15</v>
      </c>
      <c r="F238" s="156"/>
      <c r="G238" s="156"/>
      <c r="I238" s="153"/>
    </row>
    <row r="239" spans="2:9" ht="12">
      <c r="B239" s="150" t="s">
        <v>152</v>
      </c>
      <c r="C239" s="102" t="s">
        <v>273</v>
      </c>
      <c r="D239" s="155"/>
      <c r="E239" s="205">
        <f>(1.4+0.94)*2-0.6</f>
        <v>4.08</v>
      </c>
      <c r="F239" s="156"/>
      <c r="G239" s="156"/>
      <c r="I239" s="153"/>
    </row>
    <row r="240" spans="2:9" ht="12">
      <c r="B240" s="150" t="s">
        <v>153</v>
      </c>
      <c r="C240" s="102" t="s">
        <v>274</v>
      </c>
      <c r="D240" s="155"/>
      <c r="E240" s="205">
        <f>(1.4+0.955)*2-0.6</f>
        <v>4.11</v>
      </c>
      <c r="F240" s="156"/>
      <c r="G240" s="156"/>
      <c r="I240" s="153"/>
    </row>
    <row r="241" spans="2:9" ht="12">
      <c r="B241" s="150" t="s">
        <v>154</v>
      </c>
      <c r="C241" s="102" t="s">
        <v>309</v>
      </c>
      <c r="D241" s="155"/>
      <c r="E241" s="205">
        <f>(2.07+2.365)*2-(0.6+0.8)+(0.5+0.68*2)</f>
        <v>9.33</v>
      </c>
      <c r="F241" s="156"/>
      <c r="G241" s="156"/>
      <c r="I241" s="153"/>
    </row>
    <row r="242" spans="2:9" ht="12">
      <c r="B242" s="150" t="s">
        <v>155</v>
      </c>
      <c r="C242" s="104" t="s">
        <v>278</v>
      </c>
      <c r="D242" s="155"/>
      <c r="E242" s="217">
        <f>(0.8+2.365)*2-0.6</f>
        <v>5.73</v>
      </c>
      <c r="F242" s="156"/>
      <c r="G242" s="156"/>
      <c r="I242" s="153"/>
    </row>
    <row r="243" spans="2:9" ht="12">
      <c r="B243" s="150"/>
      <c r="C243" s="104"/>
      <c r="D243" s="155"/>
      <c r="E243" s="202"/>
      <c r="F243" s="156"/>
      <c r="G243" s="156"/>
      <c r="I243" s="153"/>
    </row>
    <row r="244" spans="2:9" ht="12">
      <c r="B244" s="150"/>
      <c r="C244" s="102" t="s">
        <v>157</v>
      </c>
      <c r="D244" s="155"/>
      <c r="E244" s="202"/>
      <c r="F244" s="156"/>
      <c r="G244" s="156"/>
      <c r="I244" s="153"/>
    </row>
    <row r="245" spans="2:9" ht="12">
      <c r="B245" s="150" t="s">
        <v>158</v>
      </c>
      <c r="C245" s="102" t="s">
        <v>279</v>
      </c>
      <c r="D245" s="155"/>
      <c r="E245" s="205">
        <f>(1.56+3.07+0.2)*2-(0.6*3+0.8)+0.68*2</f>
        <v>8.42</v>
      </c>
      <c r="F245" s="156"/>
      <c r="G245" s="156"/>
      <c r="I245" s="153"/>
    </row>
    <row r="246" spans="2:9" ht="12">
      <c r="B246" s="150" t="s">
        <v>159</v>
      </c>
      <c r="C246" s="102" t="s">
        <v>272</v>
      </c>
      <c r="D246" s="155"/>
      <c r="E246" s="205">
        <f>(1.4+0.975)*2-0.6</f>
        <v>4.15</v>
      </c>
      <c r="F246" s="156"/>
      <c r="G246" s="156"/>
      <c r="I246" s="153"/>
    </row>
    <row r="247" spans="2:9" ht="12">
      <c r="B247" s="150" t="s">
        <v>160</v>
      </c>
      <c r="C247" s="102" t="s">
        <v>272</v>
      </c>
      <c r="D247" s="155"/>
      <c r="E247" s="205">
        <f>(1.4+0.975)*2-0.6</f>
        <v>4.15</v>
      </c>
      <c r="F247" s="156"/>
      <c r="G247" s="156"/>
      <c r="I247" s="153"/>
    </row>
    <row r="248" spans="2:9" ht="12">
      <c r="B248" s="150" t="s">
        <v>161</v>
      </c>
      <c r="C248" s="102" t="s">
        <v>280</v>
      </c>
      <c r="D248" s="155"/>
      <c r="E248" s="205">
        <f>(1.4+0.98)*2-0.6</f>
        <v>4.16</v>
      </c>
      <c r="F248" s="156"/>
      <c r="G248" s="156"/>
      <c r="I248" s="153"/>
    </row>
    <row r="249" spans="2:9" ht="12">
      <c r="B249" s="150" t="s">
        <v>162</v>
      </c>
      <c r="C249" s="102" t="s">
        <v>311</v>
      </c>
      <c r="D249" s="155"/>
      <c r="E249" s="205">
        <f>(2.17+2.365)*2-(0.6+0.8)+(0.68+0.42)*2</f>
        <v>9.870000000000001</v>
      </c>
      <c r="F249" s="156"/>
      <c r="G249" s="156"/>
      <c r="I249" s="153"/>
    </row>
    <row r="250" spans="2:9" ht="12">
      <c r="B250" s="150" t="s">
        <v>163</v>
      </c>
      <c r="C250" s="104" t="s">
        <v>281</v>
      </c>
      <c r="D250" s="155"/>
      <c r="E250" s="217">
        <f>(0.79+2.365)*2-0.6</f>
        <v>5.710000000000001</v>
      </c>
      <c r="F250" s="156"/>
      <c r="G250" s="156"/>
      <c r="I250" s="153"/>
    </row>
    <row r="251" spans="2:9" ht="12">
      <c r="B251" s="150"/>
      <c r="D251" s="155"/>
      <c r="E251" s="202"/>
      <c r="F251" s="156"/>
      <c r="G251" s="156"/>
      <c r="I251" s="153"/>
    </row>
    <row r="252" spans="2:9" ht="12">
      <c r="B252" s="150"/>
      <c r="C252" s="102" t="s">
        <v>180</v>
      </c>
      <c r="D252" s="155"/>
      <c r="E252" s="202"/>
      <c r="F252" s="156"/>
      <c r="G252" s="156"/>
      <c r="I252" s="153"/>
    </row>
    <row r="253" spans="2:9" ht="24">
      <c r="B253" s="150" t="s">
        <v>169</v>
      </c>
      <c r="C253" s="102" t="s">
        <v>282</v>
      </c>
      <c r="D253" s="155"/>
      <c r="E253" s="205">
        <f>(1.65+(1.105+1.24+0.96))*2-(0.6*3+0.8)+0.68*2</f>
        <v>8.67</v>
      </c>
      <c r="F253" s="156"/>
      <c r="G253" s="156"/>
      <c r="I253" s="153"/>
    </row>
    <row r="254" spans="2:9" ht="12">
      <c r="B254" s="150" t="s">
        <v>170</v>
      </c>
      <c r="C254" s="102" t="s">
        <v>283</v>
      </c>
      <c r="D254" s="155"/>
      <c r="E254" s="205">
        <f>(1.44+1.03)*2-0.6</f>
        <v>4.34</v>
      </c>
      <c r="F254" s="156"/>
      <c r="G254" s="156"/>
      <c r="I254" s="153"/>
    </row>
    <row r="255" spans="2:9" ht="12">
      <c r="B255" s="150" t="s">
        <v>171</v>
      </c>
      <c r="C255" s="102" t="s">
        <v>284</v>
      </c>
      <c r="D255" s="155"/>
      <c r="E255" s="205">
        <f>(1.44+1.035)*2-0.6</f>
        <v>4.35</v>
      </c>
      <c r="F255" s="156"/>
      <c r="G255" s="156"/>
      <c r="I255" s="153"/>
    </row>
    <row r="256" spans="2:9" ht="12">
      <c r="B256" s="150" t="s">
        <v>172</v>
      </c>
      <c r="C256" s="102" t="s">
        <v>285</v>
      </c>
      <c r="D256" s="155"/>
      <c r="E256" s="205">
        <f>(1.44+1.04)*2-0.6</f>
        <v>4.36</v>
      </c>
      <c r="F256" s="156"/>
      <c r="G256" s="156"/>
      <c r="I256" s="153"/>
    </row>
    <row r="257" spans="2:9" ht="12">
      <c r="B257" s="150" t="s">
        <v>173</v>
      </c>
      <c r="C257" s="102" t="s">
        <v>310</v>
      </c>
      <c r="D257" s="155"/>
      <c r="E257" s="205">
        <f>(1.54+2.41+0.35)*2-(0.6+0.8)+(0.68+0.35)*2</f>
        <v>9.26</v>
      </c>
      <c r="F257" s="156"/>
      <c r="G257" s="156"/>
      <c r="I257" s="153"/>
    </row>
    <row r="258" spans="2:9" ht="12">
      <c r="B258" s="150" t="s">
        <v>174</v>
      </c>
      <c r="C258" s="104" t="s">
        <v>286</v>
      </c>
      <c r="D258" s="155"/>
      <c r="E258" s="217">
        <f>(1.55+2.41)*2-0.6</f>
        <v>7.32</v>
      </c>
      <c r="F258" s="156"/>
      <c r="G258" s="156"/>
      <c r="I258" s="153"/>
    </row>
    <row r="259" spans="2:9" ht="12">
      <c r="B259" s="150"/>
      <c r="C259" s="104"/>
      <c r="D259" s="155"/>
      <c r="E259" s="217"/>
      <c r="F259" s="156"/>
      <c r="G259" s="156"/>
      <c r="I259" s="153"/>
    </row>
    <row r="260" spans="2:9" ht="12">
      <c r="B260" s="150"/>
      <c r="C260" s="102" t="s">
        <v>183</v>
      </c>
      <c r="D260" s="155"/>
      <c r="E260" s="217"/>
      <c r="F260" s="156"/>
      <c r="G260" s="156"/>
      <c r="I260" s="153"/>
    </row>
    <row r="261" spans="2:9" ht="12">
      <c r="B261" s="150" t="s">
        <v>184</v>
      </c>
      <c r="C261" s="104" t="s">
        <v>293</v>
      </c>
      <c r="D261" s="155"/>
      <c r="E261" s="217">
        <f>(2.6+3.87+0.25)*2-(0.6+0.8)</f>
        <v>12.040000000000001</v>
      </c>
      <c r="F261" s="156"/>
      <c r="G261" s="156"/>
      <c r="I261" s="153"/>
    </row>
    <row r="262" spans="2:9" ht="12">
      <c r="B262" s="150" t="s">
        <v>185</v>
      </c>
      <c r="C262" s="104" t="s">
        <v>294</v>
      </c>
      <c r="D262" s="155"/>
      <c r="E262" s="217">
        <f>(1.4+0.9)*2-0.6</f>
        <v>3.9999999999999996</v>
      </c>
      <c r="F262" s="156"/>
      <c r="G262" s="156"/>
      <c r="I262" s="153"/>
    </row>
    <row r="263" spans="2:9" ht="12">
      <c r="B263" s="150" t="s">
        <v>186</v>
      </c>
      <c r="C263" s="104" t="s">
        <v>294</v>
      </c>
      <c r="D263" s="155"/>
      <c r="E263" s="217">
        <f>(1.4+0.9)*2-0.6</f>
        <v>3.9999999999999996</v>
      </c>
      <c r="F263" s="156"/>
      <c r="G263" s="156"/>
      <c r="I263" s="153"/>
    </row>
    <row r="264" spans="2:9" ht="12">
      <c r="B264" s="150" t="s">
        <v>187</v>
      </c>
      <c r="C264" s="104" t="s">
        <v>305</v>
      </c>
      <c r="D264" s="155"/>
      <c r="E264" s="217">
        <f>(2.6+1.5)*2+(0.6*2)-(0.8)</f>
        <v>8.599999999999998</v>
      </c>
      <c r="F264" s="156"/>
      <c r="G264" s="156"/>
      <c r="I264" s="153"/>
    </row>
    <row r="265" spans="2:9" ht="12">
      <c r="B265" s="150"/>
      <c r="C265" s="104"/>
      <c r="D265" s="155"/>
      <c r="E265" s="217"/>
      <c r="F265" s="156"/>
      <c r="G265" s="156"/>
      <c r="I265" s="153"/>
    </row>
    <row r="266" spans="2:9" ht="12">
      <c r="B266" s="150"/>
      <c r="C266" s="102" t="s">
        <v>189</v>
      </c>
      <c r="D266" s="155"/>
      <c r="E266" s="217"/>
      <c r="F266" s="156"/>
      <c r="G266" s="156"/>
      <c r="I266" s="153"/>
    </row>
    <row r="267" spans="2:9" ht="12">
      <c r="B267" s="150" t="s">
        <v>190</v>
      </c>
      <c r="C267" s="104" t="s">
        <v>295</v>
      </c>
      <c r="D267" s="155"/>
      <c r="E267" s="217">
        <f>(2.75+4.07+0.25)*2-(0.6*2+0.8)</f>
        <v>12.14</v>
      </c>
      <c r="F267" s="156"/>
      <c r="G267" s="156"/>
      <c r="I267" s="153"/>
    </row>
    <row r="268" spans="2:9" ht="12">
      <c r="B268" s="150" t="s">
        <v>191</v>
      </c>
      <c r="C268" s="104" t="s">
        <v>294</v>
      </c>
      <c r="D268" s="155"/>
      <c r="E268" s="217">
        <f>(1.4+0.9)*2-0.6</f>
        <v>3.9999999999999996</v>
      </c>
      <c r="F268" s="156"/>
      <c r="G268" s="156"/>
      <c r="I268" s="153"/>
    </row>
    <row r="269" spans="2:9" ht="12">
      <c r="B269" s="150" t="s">
        <v>192</v>
      </c>
      <c r="C269" s="104" t="s">
        <v>294</v>
      </c>
      <c r="D269" s="155"/>
      <c r="E269" s="217">
        <f>(1.4+0.9)*2-0.6</f>
        <v>3.9999999999999996</v>
      </c>
      <c r="F269" s="156"/>
      <c r="G269" s="156"/>
      <c r="I269" s="153"/>
    </row>
    <row r="270" spans="2:9" ht="12">
      <c r="B270" s="150" t="s">
        <v>193</v>
      </c>
      <c r="C270" s="104" t="s">
        <v>304</v>
      </c>
      <c r="D270" s="155"/>
      <c r="E270" s="217">
        <f>(2.75+1.5)*2+(0.6*2+0.8)</f>
        <v>10.5</v>
      </c>
      <c r="F270" s="156"/>
      <c r="G270" s="156"/>
      <c r="I270" s="153"/>
    </row>
    <row r="271" spans="2:9" ht="12">
      <c r="B271" s="150"/>
      <c r="C271" s="104"/>
      <c r="D271" s="155"/>
      <c r="E271" s="217"/>
      <c r="F271" s="156"/>
      <c r="G271" s="156"/>
      <c r="I271" s="153"/>
    </row>
    <row r="272" spans="2:9" ht="12">
      <c r="B272" s="150"/>
      <c r="C272" s="102" t="s">
        <v>194</v>
      </c>
      <c r="D272" s="155"/>
      <c r="E272" s="217"/>
      <c r="F272" s="156"/>
      <c r="G272" s="156"/>
      <c r="I272" s="153"/>
    </row>
    <row r="273" spans="2:9" ht="12">
      <c r="B273" s="150" t="s">
        <v>197</v>
      </c>
      <c r="C273" s="104" t="s">
        <v>296</v>
      </c>
      <c r="D273" s="155"/>
      <c r="E273" s="217">
        <f>(2.75+1.51+0.1)*2-(0.6)</f>
        <v>8.12</v>
      </c>
      <c r="F273" s="156"/>
      <c r="G273" s="156"/>
      <c r="I273" s="153"/>
    </row>
    <row r="274" spans="2:9" ht="12">
      <c r="B274" s="150" t="s">
        <v>196</v>
      </c>
      <c r="C274" s="104" t="s">
        <v>297</v>
      </c>
      <c r="D274" s="155"/>
      <c r="E274" s="217">
        <f>(1.46+1.14)*2-0.6</f>
        <v>4.6</v>
      </c>
      <c r="F274" s="156"/>
      <c r="G274" s="156"/>
      <c r="I274" s="153"/>
    </row>
    <row r="275" spans="2:9" ht="12">
      <c r="B275" s="150" t="s">
        <v>195</v>
      </c>
      <c r="C275" s="104" t="s">
        <v>298</v>
      </c>
      <c r="D275" s="155"/>
      <c r="E275" s="217">
        <f>(2.75+2.91)*2-(0.6*2+0.8)</f>
        <v>9.32</v>
      </c>
      <c r="F275" s="156"/>
      <c r="G275" s="156"/>
      <c r="I275" s="153"/>
    </row>
    <row r="276" spans="2:9" ht="12">
      <c r="B276" s="150" t="s">
        <v>198</v>
      </c>
      <c r="C276" s="104" t="s">
        <v>303</v>
      </c>
      <c r="D276" s="155"/>
      <c r="E276" s="217">
        <f>(2.75+1.195)*2+(0.42*2)-(0.8)</f>
        <v>7.930000000000001</v>
      </c>
      <c r="F276" s="156"/>
      <c r="G276" s="156"/>
      <c r="I276" s="153"/>
    </row>
    <row r="277" spans="2:9" ht="12">
      <c r="B277" s="150"/>
      <c r="C277" s="104"/>
      <c r="D277" s="155"/>
      <c r="E277" s="217"/>
      <c r="F277" s="156"/>
      <c r="G277" s="156"/>
      <c r="I277" s="153"/>
    </row>
    <row r="278" spans="2:9" ht="12">
      <c r="B278" s="150"/>
      <c r="C278" s="102" t="s">
        <v>204</v>
      </c>
      <c r="D278" s="155"/>
      <c r="E278" s="217"/>
      <c r="F278" s="156"/>
      <c r="G278" s="156"/>
      <c r="I278" s="153"/>
    </row>
    <row r="279" spans="2:9" ht="12">
      <c r="B279" s="150" t="s">
        <v>205</v>
      </c>
      <c r="C279" s="104" t="s">
        <v>299</v>
      </c>
      <c r="D279" s="155"/>
      <c r="E279" s="206">
        <f>(2.4+1.255+0.1)*2-(0.6)</f>
        <v>6.91</v>
      </c>
      <c r="F279" s="156"/>
      <c r="G279" s="156"/>
      <c r="I279" s="153"/>
    </row>
    <row r="280" spans="2:9" ht="12">
      <c r="B280" s="150" t="s">
        <v>206</v>
      </c>
      <c r="C280" s="104" t="s">
        <v>300</v>
      </c>
      <c r="D280" s="155"/>
      <c r="E280" s="206">
        <f>(1.5+1.02)*2-0.6</f>
        <v>4.44</v>
      </c>
      <c r="F280" s="156"/>
      <c r="G280" s="156"/>
      <c r="I280" s="153"/>
    </row>
    <row r="281" spans="2:9" ht="12">
      <c r="B281" s="150" t="s">
        <v>207</v>
      </c>
      <c r="C281" s="104" t="s">
        <v>301</v>
      </c>
      <c r="D281" s="155"/>
      <c r="E281" s="206">
        <f>(2.4+2.85)*2-(0.6*2+0.8)</f>
        <v>8.5</v>
      </c>
      <c r="F281" s="156"/>
      <c r="G281" s="156"/>
      <c r="I281" s="153"/>
    </row>
    <row r="282" spans="2:9" ht="12">
      <c r="B282" s="150" t="s">
        <v>208</v>
      </c>
      <c r="C282" s="104" t="s">
        <v>302</v>
      </c>
      <c r="D282" s="155"/>
      <c r="E282" s="206">
        <f>(2.4+1.54+0.4)*2+-(0.8)</f>
        <v>7.88</v>
      </c>
      <c r="F282" s="156"/>
      <c r="G282" s="156"/>
      <c r="I282" s="153"/>
    </row>
    <row r="283" spans="2:9" ht="12">
      <c r="B283" s="150"/>
      <c r="C283" s="104"/>
      <c r="D283" s="155"/>
      <c r="E283" s="217"/>
      <c r="F283" s="156"/>
      <c r="G283" s="156"/>
      <c r="I283" s="153"/>
    </row>
    <row r="284" spans="2:9" ht="24">
      <c r="B284" s="150">
        <v>612403399</v>
      </c>
      <c r="C284" s="104" t="s">
        <v>312</v>
      </c>
      <c r="D284" s="155" t="s">
        <v>58</v>
      </c>
      <c r="E284" s="217">
        <f>SUM(E286:E298)</f>
        <v>30.630000000000003</v>
      </c>
      <c r="F284" s="156"/>
      <c r="G284" s="156">
        <f>E284*F284</f>
        <v>0</v>
      </c>
      <c r="H284" s="120">
        <v>0.10712</v>
      </c>
      <c r="I284" s="153">
        <f>E284*H284</f>
        <v>3.2810856000000004</v>
      </c>
    </row>
    <row r="285" spans="2:9" ht="12">
      <c r="B285" s="150"/>
      <c r="C285" s="104" t="s">
        <v>315</v>
      </c>
      <c r="D285" s="155"/>
      <c r="E285" s="202"/>
      <c r="F285" s="156"/>
      <c r="G285" s="156"/>
      <c r="I285" s="153"/>
    </row>
    <row r="286" spans="2:9" ht="24">
      <c r="B286" s="150"/>
      <c r="C286" s="104" t="s">
        <v>318</v>
      </c>
      <c r="D286" s="155"/>
      <c r="E286" s="202">
        <f>23*0.07</f>
        <v>1.61</v>
      </c>
      <c r="F286" s="156"/>
      <c r="G286" s="156"/>
      <c r="I286" s="153"/>
    </row>
    <row r="287" spans="2:9" ht="12">
      <c r="B287" s="150"/>
      <c r="D287" s="155"/>
      <c r="E287" s="202"/>
      <c r="F287" s="156"/>
      <c r="G287" s="156"/>
      <c r="I287" s="153"/>
    </row>
    <row r="288" spans="2:9" ht="12">
      <c r="B288" s="150"/>
      <c r="C288" s="104" t="s">
        <v>316</v>
      </c>
      <c r="D288" s="155"/>
      <c r="E288" s="202"/>
      <c r="F288" s="156"/>
      <c r="G288" s="156"/>
      <c r="I288" s="153"/>
    </row>
    <row r="289" spans="2:9" ht="24">
      <c r="B289" s="150"/>
      <c r="C289" s="104" t="s">
        <v>319</v>
      </c>
      <c r="D289" s="155"/>
      <c r="E289" s="202">
        <f>8.5*0.1</f>
        <v>0.8500000000000001</v>
      </c>
      <c r="F289" s="156"/>
      <c r="G289" s="156"/>
      <c r="I289" s="153"/>
    </row>
    <row r="290" spans="2:9" ht="12">
      <c r="B290" s="150"/>
      <c r="D290" s="155"/>
      <c r="E290" s="202"/>
      <c r="F290" s="156"/>
      <c r="G290" s="156"/>
      <c r="I290" s="153"/>
    </row>
    <row r="291" spans="2:9" ht="12">
      <c r="B291" s="150"/>
      <c r="C291" s="104" t="s">
        <v>317</v>
      </c>
      <c r="D291" s="155"/>
      <c r="E291" s="202"/>
      <c r="F291" s="156"/>
      <c r="G291" s="156"/>
      <c r="I291" s="153"/>
    </row>
    <row r="292" spans="2:9" ht="24">
      <c r="B292" s="150"/>
      <c r="C292" s="104" t="s">
        <v>320</v>
      </c>
      <c r="D292" s="155"/>
      <c r="E292" s="202">
        <f>(19+36)*0.15</f>
        <v>8.25</v>
      </c>
      <c r="F292" s="156"/>
      <c r="G292" s="156"/>
      <c r="I292" s="153"/>
    </row>
    <row r="293" spans="2:9" ht="12">
      <c r="B293" s="150"/>
      <c r="D293" s="155"/>
      <c r="E293" s="202"/>
      <c r="F293" s="156"/>
      <c r="G293" s="156"/>
      <c r="I293" s="153"/>
    </row>
    <row r="294" spans="2:9" ht="12">
      <c r="B294" s="150"/>
      <c r="C294" s="104" t="s">
        <v>567</v>
      </c>
      <c r="D294" s="155"/>
      <c r="E294" s="202"/>
      <c r="F294" s="156"/>
      <c r="G294" s="156"/>
      <c r="I294" s="153"/>
    </row>
    <row r="295" spans="2:9" ht="24">
      <c r="B295" s="150"/>
      <c r="C295" s="104" t="s">
        <v>321</v>
      </c>
      <c r="D295" s="155"/>
      <c r="E295" s="202">
        <f>166*0.05</f>
        <v>8.3</v>
      </c>
      <c r="F295" s="156"/>
      <c r="G295" s="156"/>
      <c r="I295" s="153"/>
    </row>
    <row r="296" spans="2:9" ht="12">
      <c r="B296" s="150"/>
      <c r="D296" s="155"/>
      <c r="E296" s="202"/>
      <c r="F296" s="156"/>
      <c r="G296" s="156"/>
      <c r="I296" s="153"/>
    </row>
    <row r="297" spans="2:9" ht="12">
      <c r="B297" s="150"/>
      <c r="C297" s="104" t="s">
        <v>568</v>
      </c>
      <c r="D297" s="155"/>
      <c r="E297" s="202"/>
      <c r="F297" s="156"/>
      <c r="G297" s="156"/>
      <c r="I297" s="153"/>
    </row>
    <row r="298" spans="2:9" ht="24">
      <c r="B298" s="150"/>
      <c r="C298" s="104" t="s">
        <v>322</v>
      </c>
      <c r="D298" s="155"/>
      <c r="E298" s="202">
        <f>166*0.07</f>
        <v>11.620000000000001</v>
      </c>
      <c r="F298" s="156"/>
      <c r="G298" s="156"/>
      <c r="I298" s="153"/>
    </row>
    <row r="299" spans="2:9" ht="12">
      <c r="B299" s="150"/>
      <c r="D299" s="102"/>
      <c r="E299" s="202"/>
      <c r="F299" s="156"/>
      <c r="G299" s="156"/>
      <c r="I299" s="153"/>
    </row>
    <row r="300" spans="2:9" ht="36">
      <c r="B300" s="150"/>
      <c r="C300" s="104" t="s">
        <v>553</v>
      </c>
      <c r="D300" s="155" t="s">
        <v>58</v>
      </c>
      <c r="E300" s="202">
        <f>9*0.8</f>
        <v>7.2</v>
      </c>
      <c r="F300" s="156"/>
      <c r="G300" s="156">
        <f>E300*F300</f>
        <v>0</v>
      </c>
      <c r="H300" s="120">
        <v>0.0147</v>
      </c>
      <c r="I300" s="153">
        <f>E300*H300</f>
        <v>0.10584</v>
      </c>
    </row>
    <row r="301" spans="2:9" ht="24">
      <c r="B301" s="150"/>
      <c r="C301" s="104" t="s">
        <v>230</v>
      </c>
      <c r="D301" s="155"/>
      <c r="E301" s="202"/>
      <c r="F301" s="156"/>
      <c r="G301" s="156"/>
      <c r="I301" s="153"/>
    </row>
    <row r="302" spans="2:9" ht="12">
      <c r="B302" s="150"/>
      <c r="C302" s="104"/>
      <c r="D302" s="155"/>
      <c r="E302" s="202"/>
      <c r="F302" s="156"/>
      <c r="G302" s="156"/>
      <c r="I302" s="153"/>
    </row>
    <row r="303" spans="2:9" ht="48">
      <c r="B303" s="150"/>
      <c r="C303" s="104" t="s">
        <v>554</v>
      </c>
      <c r="D303" s="155" t="s">
        <v>58</v>
      </c>
      <c r="E303" s="202">
        <f>0.4*1.2*33</f>
        <v>15.84</v>
      </c>
      <c r="F303" s="156"/>
      <c r="G303" s="156">
        <f>E303*F303</f>
        <v>0</v>
      </c>
      <c r="H303" s="120">
        <v>0.0147</v>
      </c>
      <c r="I303" s="153">
        <f>E303*H303</f>
        <v>0.232848</v>
      </c>
    </row>
    <row r="304" spans="2:9" ht="12">
      <c r="B304" s="150"/>
      <c r="D304" s="122"/>
      <c r="E304" s="202"/>
      <c r="F304" s="156"/>
      <c r="G304" s="156"/>
      <c r="I304" s="153"/>
    </row>
    <row r="305" spans="2:9" ht="24">
      <c r="B305" s="150">
        <v>612423531</v>
      </c>
      <c r="C305" s="102" t="s">
        <v>323</v>
      </c>
      <c r="D305" s="122" t="s">
        <v>58</v>
      </c>
      <c r="E305" s="202">
        <f>E284+E300+E303</f>
        <v>53.67</v>
      </c>
      <c r="F305" s="156"/>
      <c r="G305" s="156">
        <f>E305*F305</f>
        <v>0</v>
      </c>
      <c r="H305" s="120">
        <v>0.05786</v>
      </c>
      <c r="I305" s="153">
        <f>E305*H305</f>
        <v>3.1053462</v>
      </c>
    </row>
    <row r="306" spans="2:9" ht="12">
      <c r="B306" s="150"/>
      <c r="C306" s="104"/>
      <c r="D306" s="155"/>
      <c r="E306" s="217"/>
      <c r="F306" s="156"/>
      <c r="G306" s="156"/>
      <c r="I306" s="153"/>
    </row>
    <row r="307" spans="2:9" ht="24">
      <c r="B307" s="150"/>
      <c r="C307" s="94" t="s">
        <v>100</v>
      </c>
      <c r="D307" s="111" t="s">
        <v>51</v>
      </c>
      <c r="E307" s="204" t="s">
        <v>31</v>
      </c>
      <c r="F307" s="158"/>
      <c r="G307" s="163">
        <f>SUM(G308:G338)</f>
        <v>0</v>
      </c>
      <c r="H307" s="159"/>
      <c r="I307" s="153"/>
    </row>
    <row r="308" spans="2:9" ht="24">
      <c r="B308" s="150" t="s">
        <v>348</v>
      </c>
      <c r="C308" s="102" t="s">
        <v>391</v>
      </c>
      <c r="D308" s="160" t="s">
        <v>58</v>
      </c>
      <c r="E308" s="202">
        <f>146.47</f>
        <v>146.47</v>
      </c>
      <c r="F308" s="158"/>
      <c r="G308" s="156">
        <f>E308*F308</f>
        <v>0</v>
      </c>
      <c r="H308" s="159">
        <v>0.00942</v>
      </c>
      <c r="I308" s="153"/>
    </row>
    <row r="309" spans="2:9" ht="12">
      <c r="B309" s="150"/>
      <c r="C309" s="102" t="s">
        <v>347</v>
      </c>
      <c r="D309" s="160"/>
      <c r="E309" s="202"/>
      <c r="F309" s="158"/>
      <c r="G309" s="156"/>
      <c r="H309" s="159"/>
      <c r="I309" s="153"/>
    </row>
    <row r="310" spans="2:9" ht="12">
      <c r="B310" s="150">
        <v>771591111</v>
      </c>
      <c r="C310" s="45" t="s">
        <v>102</v>
      </c>
      <c r="D310" s="160" t="s">
        <v>58</v>
      </c>
      <c r="E310" s="202">
        <f>E308</f>
        <v>146.47</v>
      </c>
      <c r="F310" s="158"/>
      <c r="G310" s="156">
        <f>E310*F310</f>
        <v>0</v>
      </c>
      <c r="H310" s="159">
        <f>0.001*E310</f>
        <v>0.14647</v>
      </c>
      <c r="I310" s="153"/>
    </row>
    <row r="311" spans="2:9" ht="12">
      <c r="B311" s="150"/>
      <c r="C311" s="45"/>
      <c r="D311" s="160"/>
      <c r="E311" s="202"/>
      <c r="F311" s="158"/>
      <c r="G311" s="156"/>
      <c r="H311" s="159"/>
      <c r="I311" s="153"/>
    </row>
    <row r="312" spans="2:9" ht="24">
      <c r="B312" s="150"/>
      <c r="C312" s="104" t="s">
        <v>346</v>
      </c>
      <c r="D312" s="155"/>
      <c r="E312" s="217">
        <f>SUM(E313:E338)</f>
        <v>146.47299999999998</v>
      </c>
      <c r="F312" s="158"/>
      <c r="G312" s="156"/>
      <c r="H312" s="159"/>
      <c r="I312" s="153"/>
    </row>
    <row r="313" spans="2:9" ht="12">
      <c r="B313" s="150"/>
      <c r="C313" s="102" t="s">
        <v>181</v>
      </c>
      <c r="D313" s="155" t="s">
        <v>58</v>
      </c>
      <c r="E313" s="217">
        <f>16.13+(0.1*0.6)*4+(0.2*0.8)+(0.15*0.8)</f>
        <v>16.65</v>
      </c>
      <c r="F313" s="158"/>
      <c r="G313" s="156"/>
      <c r="H313" s="159"/>
      <c r="I313" s="153"/>
    </row>
    <row r="314" spans="2:9" ht="24">
      <c r="B314" s="150"/>
      <c r="C314" s="104" t="s">
        <v>182</v>
      </c>
      <c r="D314" s="155"/>
      <c r="E314" s="217"/>
      <c r="F314" s="158"/>
      <c r="G314" s="156"/>
      <c r="H314" s="159"/>
      <c r="I314" s="153"/>
    </row>
    <row r="315" spans="2:9" ht="12">
      <c r="B315" s="150"/>
      <c r="C315" s="104"/>
      <c r="D315" s="155"/>
      <c r="E315" s="217"/>
      <c r="F315" s="158"/>
      <c r="G315" s="156"/>
      <c r="H315" s="159"/>
      <c r="I315" s="153"/>
    </row>
    <row r="316" spans="2:9" ht="12">
      <c r="B316" s="150"/>
      <c r="C316" s="102" t="s">
        <v>132</v>
      </c>
      <c r="D316" s="155" t="s">
        <v>58</v>
      </c>
      <c r="E316" s="207">
        <f>15.93+(0.1*0.6)*4+(0.2*0.8)+(0.15*0.8)</f>
        <v>16.45</v>
      </c>
      <c r="F316" s="158"/>
      <c r="G316" s="156"/>
      <c r="H316" s="159"/>
      <c r="I316" s="153"/>
    </row>
    <row r="317" spans="2:9" ht="24">
      <c r="B317" s="150"/>
      <c r="C317" s="104" t="s">
        <v>212</v>
      </c>
      <c r="D317" s="102"/>
      <c r="E317" s="202"/>
      <c r="F317" s="158"/>
      <c r="G317" s="156"/>
      <c r="H317" s="159"/>
      <c r="I317" s="153"/>
    </row>
    <row r="318" spans="2:9" ht="12">
      <c r="B318" s="150"/>
      <c r="C318" s="104"/>
      <c r="D318" s="155"/>
      <c r="E318" s="217"/>
      <c r="F318" s="158"/>
      <c r="G318" s="156"/>
      <c r="H318" s="159"/>
      <c r="I318" s="153"/>
    </row>
    <row r="319" spans="2:9" ht="12">
      <c r="B319" s="150"/>
      <c r="C319" s="102" t="s">
        <v>149</v>
      </c>
      <c r="D319" s="155"/>
      <c r="E319" s="217"/>
      <c r="F319" s="158"/>
      <c r="G319" s="156"/>
      <c r="H319" s="159"/>
      <c r="I319" s="153"/>
    </row>
    <row r="320" spans="2:9" ht="24">
      <c r="B320" s="150"/>
      <c r="C320" s="104" t="s">
        <v>213</v>
      </c>
      <c r="D320" s="155" t="s">
        <v>58</v>
      </c>
      <c r="E320" s="207">
        <f>15.93+(0.1*0.6)*4+(0.2*0.8)+(0.15*0.8)</f>
        <v>16.45</v>
      </c>
      <c r="F320" s="158"/>
      <c r="G320" s="156"/>
      <c r="H320" s="159"/>
      <c r="I320" s="153"/>
    </row>
    <row r="321" spans="2:9" ht="12">
      <c r="B321" s="150"/>
      <c r="C321" s="104"/>
      <c r="D321" s="155"/>
      <c r="E321" s="217"/>
      <c r="F321" s="158"/>
      <c r="G321" s="156"/>
      <c r="H321" s="159"/>
      <c r="I321" s="153"/>
    </row>
    <row r="322" spans="2:9" ht="12">
      <c r="B322" s="150"/>
      <c r="C322" s="102" t="s">
        <v>157</v>
      </c>
      <c r="D322" s="155"/>
      <c r="E322" s="217"/>
      <c r="F322" s="158"/>
      <c r="G322" s="156"/>
      <c r="H322" s="159"/>
      <c r="I322" s="153"/>
    </row>
    <row r="323" spans="2:9" ht="24">
      <c r="B323" s="150"/>
      <c r="C323" s="104" t="s">
        <v>214</v>
      </c>
      <c r="D323" s="155" t="s">
        <v>58</v>
      </c>
      <c r="E323" s="207">
        <f>16.4+(0.1*0.6)*4+(0.2*0.8)+(0.15*0.8)</f>
        <v>16.919999999999998</v>
      </c>
      <c r="F323" s="158"/>
      <c r="G323" s="156"/>
      <c r="H323" s="159"/>
      <c r="I323" s="153"/>
    </row>
    <row r="324" spans="2:9" ht="12">
      <c r="B324" s="150"/>
      <c r="C324" s="104"/>
      <c r="D324" s="155"/>
      <c r="E324" s="217"/>
      <c r="F324" s="158"/>
      <c r="G324" s="156"/>
      <c r="H324" s="159"/>
      <c r="I324" s="153"/>
    </row>
    <row r="325" spans="2:9" ht="12">
      <c r="B325" s="150"/>
      <c r="C325" s="102" t="s">
        <v>180</v>
      </c>
      <c r="D325" s="155"/>
      <c r="E325" s="202"/>
      <c r="F325" s="158"/>
      <c r="G325" s="156"/>
      <c r="H325" s="159"/>
      <c r="I325" s="153"/>
    </row>
    <row r="326" spans="2:9" ht="24">
      <c r="B326" s="150"/>
      <c r="C326" s="104" t="s">
        <v>215</v>
      </c>
      <c r="D326" s="155" t="s">
        <v>58</v>
      </c>
      <c r="E326" s="202">
        <f>17.8+(0.1*0.6)*4+(0.1*0.8)+(0.15*0.9)</f>
        <v>18.255</v>
      </c>
      <c r="F326" s="158"/>
      <c r="G326" s="156"/>
      <c r="H326" s="159"/>
      <c r="I326" s="153"/>
    </row>
    <row r="327" spans="2:9" ht="12">
      <c r="B327" s="150"/>
      <c r="C327" s="104"/>
      <c r="D327" s="155"/>
      <c r="E327" s="202"/>
      <c r="F327" s="158"/>
      <c r="G327" s="156"/>
      <c r="H327" s="159"/>
      <c r="I327" s="153"/>
    </row>
    <row r="328" spans="2:9" ht="12">
      <c r="B328" s="150"/>
      <c r="C328" s="102" t="s">
        <v>183</v>
      </c>
      <c r="D328" s="155"/>
      <c r="E328" s="202"/>
      <c r="F328" s="158"/>
      <c r="G328" s="156"/>
      <c r="H328" s="159"/>
      <c r="I328" s="153"/>
    </row>
    <row r="329" spans="2:9" ht="24">
      <c r="B329" s="150"/>
      <c r="C329" s="104" t="s">
        <v>217</v>
      </c>
      <c r="D329" s="155" t="s">
        <v>58</v>
      </c>
      <c r="E329" s="202">
        <f>14.51+(0.1*0.6)*2+(0.1*0.8)+(0.15*0.94)</f>
        <v>14.850999999999999</v>
      </c>
      <c r="F329" s="158"/>
      <c r="G329" s="156"/>
      <c r="H329" s="159"/>
      <c r="I329" s="153"/>
    </row>
    <row r="330" spans="2:9" ht="12">
      <c r="B330" s="150"/>
      <c r="C330" s="104"/>
      <c r="D330" s="155"/>
      <c r="E330" s="202"/>
      <c r="F330" s="158"/>
      <c r="G330" s="156"/>
      <c r="H330" s="159"/>
      <c r="I330" s="153"/>
    </row>
    <row r="331" spans="2:9" ht="12">
      <c r="B331" s="150"/>
      <c r="C331" s="102" t="s">
        <v>189</v>
      </c>
      <c r="D331" s="155"/>
      <c r="E331" s="202"/>
      <c r="F331" s="158"/>
      <c r="G331" s="156"/>
      <c r="H331" s="159"/>
      <c r="I331" s="153"/>
    </row>
    <row r="332" spans="2:9" ht="24">
      <c r="B332" s="150"/>
      <c r="C332" s="104" t="s">
        <v>218</v>
      </c>
      <c r="D332" s="155" t="s">
        <v>58</v>
      </c>
      <c r="E332" s="202">
        <f>16.131+(0.1*0.6)*2+(0.1*0.8)+(0.15*1.4)</f>
        <v>16.541</v>
      </c>
      <c r="F332" s="158"/>
      <c r="G332" s="156"/>
      <c r="H332" s="159"/>
      <c r="I332" s="153"/>
    </row>
    <row r="333" spans="2:9" ht="12">
      <c r="B333" s="150"/>
      <c r="C333" s="104"/>
      <c r="D333" s="155"/>
      <c r="E333" s="202"/>
      <c r="F333" s="158"/>
      <c r="G333" s="156"/>
      <c r="H333" s="159"/>
      <c r="I333" s="153"/>
    </row>
    <row r="334" spans="2:9" ht="12">
      <c r="B334" s="150"/>
      <c r="C334" s="102" t="s">
        <v>194</v>
      </c>
      <c r="D334" s="155"/>
      <c r="E334" s="202"/>
      <c r="F334" s="158"/>
      <c r="G334" s="156"/>
      <c r="H334" s="159"/>
      <c r="I334" s="153"/>
    </row>
    <row r="335" spans="2:9" ht="24">
      <c r="B335" s="150"/>
      <c r="C335" s="104" t="s">
        <v>220</v>
      </c>
      <c r="D335" s="155" t="s">
        <v>58</v>
      </c>
      <c r="E335" s="202">
        <f>15.78+(0.1*0.6)*2+(0.1*0.8)+(0.2*0.94)</f>
        <v>16.168</v>
      </c>
      <c r="F335" s="158"/>
      <c r="G335" s="156"/>
      <c r="H335" s="159"/>
      <c r="I335" s="153"/>
    </row>
    <row r="336" spans="2:9" ht="12">
      <c r="B336" s="150"/>
      <c r="C336" s="104"/>
      <c r="D336" s="155"/>
      <c r="E336" s="202"/>
      <c r="F336" s="158"/>
      <c r="G336" s="156"/>
      <c r="H336" s="159"/>
      <c r="I336" s="153"/>
    </row>
    <row r="337" spans="2:9" ht="12">
      <c r="B337" s="150"/>
      <c r="C337" s="102" t="s">
        <v>204</v>
      </c>
      <c r="D337" s="155"/>
      <c r="E337" s="202"/>
      <c r="F337" s="158"/>
      <c r="G337" s="156"/>
      <c r="H337" s="159"/>
      <c r="I337" s="153"/>
    </row>
    <row r="338" spans="2:9" ht="24">
      <c r="B338" s="150"/>
      <c r="C338" s="104" t="s">
        <v>219</v>
      </c>
      <c r="D338" s="155" t="s">
        <v>58</v>
      </c>
      <c r="E338" s="206">
        <f>13.8+(0.1*0.6)*2+(0.1*0.8)+(0.2*0.94)</f>
        <v>14.188</v>
      </c>
      <c r="F338" s="158"/>
      <c r="G338" s="156"/>
      <c r="H338" s="159"/>
      <c r="I338" s="153"/>
    </row>
    <row r="339" spans="2:9" ht="12">
      <c r="B339" s="150"/>
      <c r="C339" s="104"/>
      <c r="D339" s="155"/>
      <c r="E339" s="206"/>
      <c r="F339" s="158"/>
      <c r="G339" s="156"/>
      <c r="H339" s="159"/>
      <c r="I339" s="153"/>
    </row>
    <row r="340" spans="1:9" ht="12.75">
      <c r="A340" s="115" t="s">
        <v>91</v>
      </c>
      <c r="B340" s="104"/>
      <c r="C340" s="113" t="s">
        <v>72</v>
      </c>
      <c r="D340" s="94" t="s">
        <v>51</v>
      </c>
      <c r="E340" s="226" t="s">
        <v>31</v>
      </c>
      <c r="F340" s="152"/>
      <c r="G340" s="163">
        <f>SUM(G341:G347)</f>
        <v>0</v>
      </c>
      <c r="H340" s="159"/>
      <c r="I340" s="153"/>
    </row>
    <row r="341" spans="1:9" ht="12">
      <c r="A341" s="115" t="s">
        <v>92</v>
      </c>
      <c r="B341" s="104"/>
      <c r="C341" s="45" t="s">
        <v>374</v>
      </c>
      <c r="D341" s="160" t="s">
        <v>68</v>
      </c>
      <c r="E341" s="202">
        <v>1</v>
      </c>
      <c r="F341" s="167"/>
      <c r="G341" s="156">
        <f aca="true" t="shared" si="3" ref="G341:G347">E341*F341</f>
        <v>0</v>
      </c>
      <c r="H341" s="159"/>
      <c r="I341" s="153"/>
    </row>
    <row r="342" spans="1:9" ht="24">
      <c r="A342" s="115" t="s">
        <v>93</v>
      </c>
      <c r="B342" s="104"/>
      <c r="C342" s="45" t="s">
        <v>371</v>
      </c>
      <c r="D342" s="160" t="s">
        <v>68</v>
      </c>
      <c r="E342" s="202">
        <v>1</v>
      </c>
      <c r="F342" s="167"/>
      <c r="G342" s="156">
        <f t="shared" si="3"/>
        <v>0</v>
      </c>
      <c r="H342" s="159"/>
      <c r="I342" s="153"/>
    </row>
    <row r="343" spans="1:9" ht="24">
      <c r="A343" s="115" t="s">
        <v>94</v>
      </c>
      <c r="B343" s="104">
        <v>94910</v>
      </c>
      <c r="C343" s="45" t="s">
        <v>103</v>
      </c>
      <c r="D343" s="160" t="s">
        <v>58</v>
      </c>
      <c r="E343" s="202">
        <v>146</v>
      </c>
      <c r="F343" s="66"/>
      <c r="G343" s="156">
        <f t="shared" si="3"/>
        <v>0</v>
      </c>
      <c r="H343" s="159"/>
      <c r="I343" s="153"/>
    </row>
    <row r="344" spans="1:9" ht="24">
      <c r="A344" s="115" t="s">
        <v>95</v>
      </c>
      <c r="B344" s="104"/>
      <c r="C344" s="45" t="s">
        <v>104</v>
      </c>
      <c r="D344" s="160" t="s">
        <v>58</v>
      </c>
      <c r="E344" s="202">
        <v>200</v>
      </c>
      <c r="F344" s="66"/>
      <c r="G344" s="156">
        <f t="shared" si="3"/>
        <v>0</v>
      </c>
      <c r="H344" s="159"/>
      <c r="I344" s="153"/>
    </row>
    <row r="345" spans="2:9" ht="24">
      <c r="B345" s="104"/>
      <c r="C345" s="45" t="s">
        <v>372</v>
      </c>
      <c r="D345" s="160" t="s">
        <v>71</v>
      </c>
      <c r="E345" s="202">
        <v>9</v>
      </c>
      <c r="F345" s="66"/>
      <c r="G345" s="156">
        <f t="shared" si="3"/>
        <v>0</v>
      </c>
      <c r="H345" s="159"/>
      <c r="I345" s="153"/>
    </row>
    <row r="346" spans="2:9" ht="24">
      <c r="B346" s="104"/>
      <c r="C346" s="45" t="s">
        <v>373</v>
      </c>
      <c r="D346" s="160" t="s">
        <v>71</v>
      </c>
      <c r="E346" s="202">
        <v>2</v>
      </c>
      <c r="F346" s="66"/>
      <c r="G346" s="156">
        <f t="shared" si="3"/>
        <v>0</v>
      </c>
      <c r="H346" s="159"/>
      <c r="I346" s="153"/>
    </row>
    <row r="347" spans="1:9" ht="12">
      <c r="A347" s="115" t="s">
        <v>96</v>
      </c>
      <c r="B347" s="104"/>
      <c r="C347" s="45" t="s">
        <v>376</v>
      </c>
      <c r="D347" s="160" t="s">
        <v>17</v>
      </c>
      <c r="E347" s="202">
        <f>I213</f>
        <v>19.17195376</v>
      </c>
      <c r="F347" s="114"/>
      <c r="G347" s="156">
        <f t="shared" si="3"/>
        <v>0</v>
      </c>
      <c r="H347" s="159"/>
      <c r="I347" s="153"/>
    </row>
    <row r="348" spans="2:9" ht="12">
      <c r="B348" s="150"/>
      <c r="C348" s="104"/>
      <c r="D348" s="155"/>
      <c r="E348" s="206"/>
      <c r="F348" s="158"/>
      <c r="G348" s="156"/>
      <c r="H348" s="159"/>
      <c r="I348" s="153"/>
    </row>
    <row r="349" spans="2:9" ht="24">
      <c r="B349" s="150"/>
      <c r="C349" s="111" t="s">
        <v>370</v>
      </c>
      <c r="D349" s="162" t="s">
        <v>51</v>
      </c>
      <c r="E349" s="252" t="s">
        <v>31</v>
      </c>
      <c r="F349" s="158"/>
      <c r="G349" s="163">
        <f>SUM(G350:G356)</f>
        <v>0</v>
      </c>
      <c r="H349" s="159"/>
      <c r="I349" s="153"/>
    </row>
    <row r="350" spans="1:9" ht="60">
      <c r="A350" s="115" t="s">
        <v>87</v>
      </c>
      <c r="B350" s="104">
        <v>77147</v>
      </c>
      <c r="C350" s="64" t="s">
        <v>351</v>
      </c>
      <c r="D350" s="160" t="s">
        <v>58</v>
      </c>
      <c r="E350" s="202">
        <f>146.47*1.06</f>
        <v>155.25820000000002</v>
      </c>
      <c r="F350" s="158"/>
      <c r="G350" s="156">
        <f>E350*F350</f>
        <v>0</v>
      </c>
      <c r="H350" s="159"/>
      <c r="I350" s="153"/>
    </row>
    <row r="351" spans="1:9" ht="12">
      <c r="A351" s="115" t="s">
        <v>88</v>
      </c>
      <c r="B351" s="104"/>
      <c r="C351" s="102" t="s">
        <v>349</v>
      </c>
      <c r="D351" s="160"/>
      <c r="E351" s="202"/>
      <c r="F351" s="158"/>
      <c r="G351" s="156"/>
      <c r="H351" s="159"/>
      <c r="I351" s="153"/>
    </row>
    <row r="352" spans="2:9" ht="12">
      <c r="B352" s="104"/>
      <c r="D352" s="160"/>
      <c r="E352" s="202"/>
      <c r="F352" s="158"/>
      <c r="G352" s="156"/>
      <c r="H352" s="159"/>
      <c r="I352" s="153"/>
    </row>
    <row r="353" spans="1:9" ht="36">
      <c r="A353" s="115" t="s">
        <v>89</v>
      </c>
      <c r="B353" s="104">
        <v>77147</v>
      </c>
      <c r="C353" s="45" t="s">
        <v>354</v>
      </c>
      <c r="D353" s="160" t="s">
        <v>58</v>
      </c>
      <c r="E353" s="202">
        <v>146.47</v>
      </c>
      <c r="F353" s="158"/>
      <c r="G353" s="156">
        <f>E353*F353</f>
        <v>0</v>
      </c>
      <c r="H353" s="159"/>
      <c r="I353" s="153"/>
    </row>
    <row r="354" spans="2:9" ht="12">
      <c r="B354" s="104"/>
      <c r="C354" s="45"/>
      <c r="D354" s="160"/>
      <c r="E354" s="202"/>
      <c r="F354" s="158"/>
      <c r="G354" s="156"/>
      <c r="H354" s="159"/>
      <c r="I354" s="153"/>
    </row>
    <row r="355" spans="1:9" ht="36">
      <c r="A355" s="115" t="s">
        <v>90</v>
      </c>
      <c r="B355" s="104">
        <v>77159</v>
      </c>
      <c r="C355" s="45" t="s">
        <v>355</v>
      </c>
      <c r="D355" s="160" t="s">
        <v>71</v>
      </c>
      <c r="E355" s="202">
        <f>4*6*5+4*4*4</f>
        <v>184</v>
      </c>
      <c r="F355" s="158"/>
      <c r="G355" s="156">
        <f>E355*F355</f>
        <v>0</v>
      </c>
      <c r="H355" s="159"/>
      <c r="I355" s="153"/>
    </row>
    <row r="356" spans="2:9" ht="12">
      <c r="B356" s="150">
        <v>99877</v>
      </c>
      <c r="C356" s="104" t="s">
        <v>350</v>
      </c>
      <c r="D356" s="155" t="s">
        <v>51</v>
      </c>
      <c r="E356" s="206">
        <v>0.0756</v>
      </c>
      <c r="F356" s="170"/>
      <c r="G356" s="156">
        <f>E356*F356</f>
        <v>0</v>
      </c>
      <c r="H356" s="159"/>
      <c r="I356" s="153"/>
    </row>
    <row r="357" spans="2:9" ht="12">
      <c r="B357" s="150"/>
      <c r="C357" s="104"/>
      <c r="D357" s="155"/>
      <c r="E357" s="206"/>
      <c r="F357" s="158"/>
      <c r="G357" s="156"/>
      <c r="H357" s="159"/>
      <c r="I357" s="153"/>
    </row>
    <row r="358" spans="2:9" ht="12.75">
      <c r="B358" s="150"/>
      <c r="C358" s="94" t="s">
        <v>375</v>
      </c>
      <c r="D358" s="111" t="s">
        <v>51</v>
      </c>
      <c r="E358" s="226" t="s">
        <v>31</v>
      </c>
      <c r="F358" s="158"/>
      <c r="G358" s="163">
        <f>SUM(G359:G378)</f>
        <v>0</v>
      </c>
      <c r="H358" s="159"/>
      <c r="I358" s="153"/>
    </row>
    <row r="359" spans="2:12" ht="36">
      <c r="B359" s="150">
        <v>781</v>
      </c>
      <c r="C359" s="45" t="s">
        <v>392</v>
      </c>
      <c r="D359" s="155" t="s">
        <v>58</v>
      </c>
      <c r="E359" s="206">
        <f>SUM(E360:E371)</f>
        <v>570.9820000000002</v>
      </c>
      <c r="F359" s="158"/>
      <c r="G359" s="156">
        <f>E359*F359</f>
        <v>0</v>
      </c>
      <c r="H359" s="159"/>
      <c r="I359" s="153"/>
      <c r="L359" s="168"/>
    </row>
    <row r="360" spans="2:9" ht="24">
      <c r="B360" s="150"/>
      <c r="C360" s="104" t="s">
        <v>358</v>
      </c>
      <c r="D360" s="155" t="s">
        <v>58</v>
      </c>
      <c r="E360" s="206">
        <f>537.86*1.04</f>
        <v>559.3744</v>
      </c>
      <c r="F360" s="158"/>
      <c r="G360" s="156"/>
      <c r="H360" s="159"/>
      <c r="I360" s="153"/>
    </row>
    <row r="361" spans="2:9" ht="12">
      <c r="B361" s="150"/>
      <c r="C361" s="104"/>
      <c r="D361" s="155"/>
      <c r="E361" s="206"/>
      <c r="F361" s="158"/>
      <c r="G361" s="156"/>
      <c r="H361" s="159"/>
      <c r="I361" s="153"/>
    </row>
    <row r="362" spans="2:9" ht="12">
      <c r="B362" s="150"/>
      <c r="C362" s="104" t="s">
        <v>368</v>
      </c>
      <c r="D362" s="155"/>
      <c r="E362" s="208">
        <f>5.69*1.04</f>
        <v>5.9176</v>
      </c>
      <c r="F362" s="158"/>
      <c r="G362" s="156"/>
      <c r="H362" s="159"/>
      <c r="I362" s="153"/>
    </row>
    <row r="363" spans="2:9" ht="12">
      <c r="B363" s="150"/>
      <c r="C363" s="104" t="s">
        <v>359</v>
      </c>
      <c r="D363" s="155"/>
      <c r="E363" s="206">
        <f>0.35*1.24*2</f>
        <v>0.868</v>
      </c>
      <c r="F363" s="158"/>
      <c r="G363" s="156"/>
      <c r="H363" s="159"/>
      <c r="I363" s="153"/>
    </row>
    <row r="364" spans="2:9" ht="12">
      <c r="B364" s="150"/>
      <c r="C364" s="102" t="s">
        <v>360</v>
      </c>
      <c r="D364" s="155"/>
      <c r="E364" s="202">
        <f>E363</f>
        <v>0.868</v>
      </c>
      <c r="F364" s="158"/>
      <c r="G364" s="156"/>
      <c r="H364" s="159"/>
      <c r="I364" s="153"/>
    </row>
    <row r="365" spans="2:9" ht="12">
      <c r="B365" s="150"/>
      <c r="C365" s="102" t="s">
        <v>361</v>
      </c>
      <c r="D365" s="155"/>
      <c r="E365" s="202">
        <f>E363</f>
        <v>0.868</v>
      </c>
      <c r="F365" s="158"/>
      <c r="G365" s="156"/>
      <c r="H365" s="159"/>
      <c r="I365" s="153"/>
    </row>
    <row r="366" spans="2:9" ht="12">
      <c r="B366" s="150"/>
      <c r="C366" s="102" t="s">
        <v>362</v>
      </c>
      <c r="D366" s="155"/>
      <c r="E366" s="202">
        <f>E363</f>
        <v>0.868</v>
      </c>
      <c r="F366" s="158"/>
      <c r="G366" s="156"/>
      <c r="H366" s="159"/>
      <c r="I366" s="153"/>
    </row>
    <row r="367" spans="2:9" ht="12">
      <c r="B367" s="150"/>
      <c r="C367" s="102" t="s">
        <v>363</v>
      </c>
      <c r="D367" s="155"/>
      <c r="E367" s="202">
        <f>E363</f>
        <v>0.868</v>
      </c>
      <c r="F367" s="158"/>
      <c r="G367" s="156"/>
      <c r="H367" s="159"/>
      <c r="I367" s="153"/>
    </row>
    <row r="368" spans="2:9" ht="12">
      <c r="B368" s="150"/>
      <c r="C368" s="102" t="s">
        <v>364</v>
      </c>
      <c r="D368" s="155"/>
      <c r="E368" s="202">
        <f>1.35*0.25</f>
        <v>0.3375</v>
      </c>
      <c r="F368" s="156"/>
      <c r="G368" s="156"/>
      <c r="I368" s="153"/>
    </row>
    <row r="369" spans="2:9" ht="12">
      <c r="B369" s="150"/>
      <c r="C369" s="102" t="s">
        <v>365</v>
      </c>
      <c r="D369" s="155"/>
      <c r="E369" s="202">
        <f>E368</f>
        <v>0.3375</v>
      </c>
      <c r="F369" s="156"/>
      <c r="G369" s="156"/>
      <c r="I369" s="153"/>
    </row>
    <row r="370" spans="2:9" ht="12">
      <c r="B370" s="150"/>
      <c r="C370" s="102" t="s">
        <v>366</v>
      </c>
      <c r="D370" s="155"/>
      <c r="E370" s="202">
        <f>E368</f>
        <v>0.3375</v>
      </c>
      <c r="F370" s="156"/>
      <c r="G370" s="156"/>
      <c r="I370" s="153"/>
    </row>
    <row r="371" spans="2:9" ht="12">
      <c r="B371" s="150"/>
      <c r="C371" s="102" t="s">
        <v>367</v>
      </c>
      <c r="D371" s="155"/>
      <c r="E371" s="202">
        <f>E368</f>
        <v>0.3375</v>
      </c>
      <c r="F371" s="156"/>
      <c r="G371" s="156"/>
      <c r="I371" s="153"/>
    </row>
    <row r="372" spans="2:9" ht="12">
      <c r="B372" s="150"/>
      <c r="C372" s="104"/>
      <c r="D372" s="155"/>
      <c r="E372" s="206"/>
      <c r="F372" s="158"/>
      <c r="G372" s="156"/>
      <c r="H372" s="159"/>
      <c r="I372" s="153"/>
    </row>
    <row r="373" spans="2:9" ht="36">
      <c r="B373" s="150" t="s">
        <v>352</v>
      </c>
      <c r="C373" s="45" t="s">
        <v>353</v>
      </c>
      <c r="D373" s="155" t="s">
        <v>58</v>
      </c>
      <c r="E373" s="206">
        <v>537.86</v>
      </c>
      <c r="F373" s="158"/>
      <c r="G373" s="156">
        <f>E373*F373</f>
        <v>0</v>
      </c>
      <c r="H373" s="159"/>
      <c r="I373" s="153"/>
    </row>
    <row r="374" spans="2:9" ht="12">
      <c r="B374" s="150"/>
      <c r="C374" s="104"/>
      <c r="D374" s="155"/>
      <c r="E374" s="206"/>
      <c r="F374" s="158"/>
      <c r="G374" s="156"/>
      <c r="H374" s="159"/>
      <c r="I374" s="153"/>
    </row>
    <row r="375" spans="2:9" ht="48">
      <c r="B375" s="150">
        <v>78164</v>
      </c>
      <c r="C375" s="45" t="s">
        <v>369</v>
      </c>
      <c r="D375" s="155" t="s">
        <v>58</v>
      </c>
      <c r="E375" s="206">
        <v>5.69</v>
      </c>
      <c r="F375" s="158"/>
      <c r="G375" s="156">
        <f>E375*F375</f>
        <v>0</v>
      </c>
      <c r="H375" s="159"/>
      <c r="I375" s="153"/>
    </row>
    <row r="376" spans="2:9" ht="12">
      <c r="B376" s="150"/>
      <c r="C376" s="104"/>
      <c r="D376" s="155"/>
      <c r="E376" s="206"/>
      <c r="F376" s="158"/>
      <c r="G376" s="156"/>
      <c r="H376" s="159"/>
      <c r="I376" s="153"/>
    </row>
    <row r="377" spans="2:9" ht="36">
      <c r="B377" s="150">
        <v>78149</v>
      </c>
      <c r="C377" s="45" t="s">
        <v>356</v>
      </c>
      <c r="D377" s="160" t="s">
        <v>71</v>
      </c>
      <c r="E377" s="202">
        <f>6*6*5+6*4*4</f>
        <v>276</v>
      </c>
      <c r="F377" s="158"/>
      <c r="G377" s="156">
        <f>E377*F377</f>
        <v>0</v>
      </c>
      <c r="H377" s="159"/>
      <c r="I377" s="153"/>
    </row>
    <row r="378" spans="2:9" ht="12">
      <c r="B378" s="150">
        <v>99878</v>
      </c>
      <c r="C378" s="104" t="s">
        <v>357</v>
      </c>
      <c r="D378" s="155" t="s">
        <v>51</v>
      </c>
      <c r="E378" s="206">
        <v>0.0357</v>
      </c>
      <c r="F378" s="170"/>
      <c r="G378" s="156">
        <f>E378*F378</f>
        <v>0</v>
      </c>
      <c r="H378" s="159"/>
      <c r="I378" s="153"/>
    </row>
    <row r="379" spans="2:9" ht="12">
      <c r="B379" s="150"/>
      <c r="C379" s="104"/>
      <c r="D379" s="155"/>
      <c r="E379" s="206"/>
      <c r="F379" s="158"/>
      <c r="G379" s="156"/>
      <c r="H379" s="159"/>
      <c r="I379" s="153"/>
    </row>
    <row r="380" spans="2:9" ht="12">
      <c r="B380" s="150"/>
      <c r="C380" s="83" t="s">
        <v>377</v>
      </c>
      <c r="D380" s="155" t="s">
        <v>51</v>
      </c>
      <c r="E380" s="206" t="s">
        <v>31</v>
      </c>
      <c r="F380" s="158"/>
      <c r="G380" s="163">
        <f>SUM(G381:G387)</f>
        <v>0</v>
      </c>
      <c r="H380" s="159"/>
      <c r="I380" s="153"/>
    </row>
    <row r="381" spans="2:9" ht="36">
      <c r="B381" s="240" t="s">
        <v>513</v>
      </c>
      <c r="C381" s="104" t="s">
        <v>514</v>
      </c>
      <c r="D381" s="155" t="s">
        <v>58</v>
      </c>
      <c r="E381" s="224">
        <f>SUM(E383:E386)</f>
        <v>8.98</v>
      </c>
      <c r="F381" s="158"/>
      <c r="G381" s="156">
        <f>E381*F381</f>
        <v>0</v>
      </c>
      <c r="H381" s="159"/>
      <c r="I381" s="153"/>
    </row>
    <row r="382" spans="2:9" ht="12">
      <c r="B382" s="150"/>
      <c r="C382" s="102" t="s">
        <v>519</v>
      </c>
      <c r="D382" s="155"/>
      <c r="E382" s="206"/>
      <c r="F382" s="158"/>
      <c r="G382" s="156"/>
      <c r="H382" s="159"/>
      <c r="I382" s="153"/>
    </row>
    <row r="383" spans="2:9" ht="12">
      <c r="B383" s="150"/>
      <c r="C383" s="104" t="s">
        <v>515</v>
      </c>
      <c r="D383" s="155" t="s">
        <v>58</v>
      </c>
      <c r="E383" s="224">
        <v>4.88</v>
      </c>
      <c r="F383" s="158"/>
      <c r="G383" s="156"/>
      <c r="H383" s="159"/>
      <c r="I383" s="153"/>
    </row>
    <row r="384" spans="2:9" ht="12">
      <c r="B384" s="150"/>
      <c r="C384" s="104" t="s">
        <v>516</v>
      </c>
      <c r="D384" s="155" t="s">
        <v>58</v>
      </c>
      <c r="E384" s="224">
        <v>1.36</v>
      </c>
      <c r="F384" s="158"/>
      <c r="G384" s="156"/>
      <c r="H384" s="159"/>
      <c r="I384" s="153"/>
    </row>
    <row r="385" spans="2:9" ht="12">
      <c r="B385" s="150"/>
      <c r="C385" s="104" t="s">
        <v>517</v>
      </c>
      <c r="D385" s="155" t="s">
        <v>58</v>
      </c>
      <c r="E385" s="224">
        <v>1.37</v>
      </c>
      <c r="F385" s="158"/>
      <c r="G385" s="156"/>
      <c r="H385" s="159"/>
      <c r="I385" s="153"/>
    </row>
    <row r="386" spans="2:9" ht="12">
      <c r="B386" s="150"/>
      <c r="C386" s="104" t="s">
        <v>518</v>
      </c>
      <c r="D386" s="155" t="s">
        <v>58</v>
      </c>
      <c r="E386" s="224">
        <v>1.37</v>
      </c>
      <c r="F386" s="158"/>
      <c r="G386" s="156"/>
      <c r="H386" s="159"/>
      <c r="I386" s="153"/>
    </row>
    <row r="387" spans="2:9" ht="12">
      <c r="B387" s="150">
        <v>9987634</v>
      </c>
      <c r="C387" s="104" t="s">
        <v>520</v>
      </c>
      <c r="D387" s="155" t="s">
        <v>51</v>
      </c>
      <c r="E387" s="184">
        <v>0.0202</v>
      </c>
      <c r="F387" s="158"/>
      <c r="G387" s="156">
        <f>E387*F387</f>
        <v>0</v>
      </c>
      <c r="H387" s="159"/>
      <c r="I387" s="153"/>
    </row>
    <row r="388" spans="2:9" ht="12">
      <c r="B388" s="150"/>
      <c r="C388" s="104"/>
      <c r="D388" s="155"/>
      <c r="E388" s="184"/>
      <c r="F388" s="158"/>
      <c r="G388" s="156"/>
      <c r="H388" s="159"/>
      <c r="I388" s="153"/>
    </row>
    <row r="389" spans="1:19" s="93" customFormat="1" ht="12">
      <c r="A389" s="81"/>
      <c r="B389" s="104"/>
      <c r="C389" s="111" t="s">
        <v>541</v>
      </c>
      <c r="D389" s="84" t="s">
        <v>51</v>
      </c>
      <c r="E389" s="109" t="s">
        <v>31</v>
      </c>
      <c r="F389" s="253"/>
      <c r="G389" s="87">
        <f>SUM(G393:G405)</f>
        <v>0</v>
      </c>
      <c r="H389" s="88"/>
      <c r="I389" s="89"/>
      <c r="J389" s="90"/>
      <c r="K389" s="89"/>
      <c r="L389" s="91"/>
      <c r="M389" s="89"/>
      <c r="N389" s="89"/>
      <c r="O389" s="92"/>
      <c r="P389" s="89"/>
      <c r="Q389" s="91"/>
      <c r="R389" s="89"/>
      <c r="S389" s="89"/>
    </row>
    <row r="390" spans="1:19" s="93" customFormat="1" ht="12">
      <c r="A390" s="95"/>
      <c r="B390" s="101"/>
      <c r="C390" s="96" t="s">
        <v>333</v>
      </c>
      <c r="D390" s="89"/>
      <c r="E390" s="97"/>
      <c r="F390" s="98"/>
      <c r="G390" s="99"/>
      <c r="H390" s="88"/>
      <c r="I390" s="89"/>
      <c r="J390" s="90"/>
      <c r="K390" s="89"/>
      <c r="L390" s="91"/>
      <c r="M390" s="89"/>
      <c r="N390" s="89"/>
      <c r="O390" s="100"/>
      <c r="P390" s="89"/>
      <c r="Q390" s="91"/>
      <c r="R390" s="89"/>
      <c r="S390" s="89"/>
    </row>
    <row r="391" spans="1:19" s="93" customFormat="1" ht="60">
      <c r="A391" s="95"/>
      <c r="B391" s="101"/>
      <c r="C391" s="101" t="s">
        <v>345</v>
      </c>
      <c r="D391" s="89"/>
      <c r="E391" s="97"/>
      <c r="F391" s="98"/>
      <c r="G391" s="99"/>
      <c r="H391" s="88"/>
      <c r="I391" s="89"/>
      <c r="J391" s="90"/>
      <c r="K391" s="89"/>
      <c r="L391" s="91"/>
      <c r="M391" s="89"/>
      <c r="N391" s="89"/>
      <c r="O391" s="100"/>
      <c r="P391" s="89"/>
      <c r="Q391" s="91"/>
      <c r="R391" s="89"/>
      <c r="S391" s="89"/>
    </row>
    <row r="392" spans="1:19" s="93" customFormat="1" ht="12">
      <c r="A392" s="81"/>
      <c r="B392" s="104"/>
      <c r="C392" s="102"/>
      <c r="E392" s="85"/>
      <c r="F392" s="85"/>
      <c r="G392" s="103"/>
      <c r="H392" s="88"/>
      <c r="I392" s="89"/>
      <c r="J392" s="90"/>
      <c r="K392" s="89"/>
      <c r="L392" s="91"/>
      <c r="M392" s="89"/>
      <c r="N392" s="89"/>
      <c r="O392" s="100"/>
      <c r="P392" s="90"/>
      <c r="Q392" s="91"/>
      <c r="R392" s="89"/>
      <c r="S392" s="89"/>
    </row>
    <row r="393" spans="1:19" s="93" customFormat="1" ht="96">
      <c r="A393" s="81">
        <v>1</v>
      </c>
      <c r="B393" s="104" t="s">
        <v>248</v>
      </c>
      <c r="C393" s="82" t="s">
        <v>325</v>
      </c>
      <c r="D393" s="93" t="s">
        <v>71</v>
      </c>
      <c r="E393" s="85">
        <v>2</v>
      </c>
      <c r="F393" s="110"/>
      <c r="G393" s="103">
        <f>E393*F393</f>
        <v>0</v>
      </c>
      <c r="H393" s="88"/>
      <c r="I393" s="89"/>
      <c r="J393" s="90"/>
      <c r="K393" s="89"/>
      <c r="L393" s="91"/>
      <c r="M393" s="89"/>
      <c r="N393" s="89"/>
      <c r="O393" s="100"/>
      <c r="P393" s="90"/>
      <c r="Q393" s="91"/>
      <c r="R393" s="89"/>
      <c r="S393" s="89"/>
    </row>
    <row r="394" spans="1:19" s="93" customFormat="1" ht="60">
      <c r="A394" s="81" t="s">
        <v>49</v>
      </c>
      <c r="B394" s="104" t="s">
        <v>249</v>
      </c>
      <c r="C394" s="82" t="s">
        <v>527</v>
      </c>
      <c r="D394" s="93" t="s">
        <v>71</v>
      </c>
      <c r="E394" s="85">
        <v>5</v>
      </c>
      <c r="F394" s="110"/>
      <c r="G394" s="103">
        <f>E394*F394</f>
        <v>0</v>
      </c>
      <c r="H394" s="88"/>
      <c r="I394" s="89"/>
      <c r="J394" s="90"/>
      <c r="K394" s="89"/>
      <c r="L394" s="91"/>
      <c r="M394" s="89"/>
      <c r="N394" s="89"/>
      <c r="O394" s="100"/>
      <c r="P394" s="90"/>
      <c r="Q394" s="91"/>
      <c r="R394" s="89"/>
      <c r="S394" s="89"/>
    </row>
    <row r="395" spans="1:19" s="93" customFormat="1" ht="60">
      <c r="A395" s="81" t="s">
        <v>50</v>
      </c>
      <c r="B395" s="104" t="s">
        <v>250</v>
      </c>
      <c r="C395" s="104" t="s">
        <v>525</v>
      </c>
      <c r="D395" s="93" t="s">
        <v>71</v>
      </c>
      <c r="E395" s="85">
        <v>23</v>
      </c>
      <c r="F395" s="110"/>
      <c r="G395" s="103">
        <f>E395*F395</f>
        <v>0</v>
      </c>
      <c r="H395" s="88"/>
      <c r="I395" s="89"/>
      <c r="J395" s="90"/>
      <c r="K395" s="89"/>
      <c r="L395" s="91"/>
      <c r="M395" s="89"/>
      <c r="N395" s="89"/>
      <c r="O395" s="100"/>
      <c r="P395" s="90"/>
      <c r="Q395" s="91"/>
      <c r="R395" s="89"/>
      <c r="S395" s="89"/>
    </row>
    <row r="396" spans="1:19" s="93" customFormat="1" ht="60">
      <c r="A396" s="81" t="s">
        <v>18</v>
      </c>
      <c r="B396" s="104" t="s">
        <v>251</v>
      </c>
      <c r="C396" s="82" t="s">
        <v>526</v>
      </c>
      <c r="D396" s="93" t="s">
        <v>71</v>
      </c>
      <c r="E396" s="85">
        <v>5</v>
      </c>
      <c r="F396" s="110"/>
      <c r="G396" s="103">
        <f>E396*F396</f>
        <v>0</v>
      </c>
      <c r="H396" s="88"/>
      <c r="I396" s="89"/>
      <c r="J396" s="90"/>
      <c r="K396" s="89"/>
      <c r="L396" s="91"/>
      <c r="M396" s="89"/>
      <c r="N396" s="89"/>
      <c r="O396" s="100"/>
      <c r="P396" s="90"/>
      <c r="Q396" s="91"/>
      <c r="R396" s="89"/>
      <c r="S396" s="89"/>
    </row>
    <row r="397" spans="1:19" s="93" customFormat="1" ht="72">
      <c r="A397" s="81" t="s">
        <v>19</v>
      </c>
      <c r="B397" s="104" t="s">
        <v>252</v>
      </c>
      <c r="C397" s="104" t="s">
        <v>326</v>
      </c>
      <c r="D397" s="93" t="s">
        <v>71</v>
      </c>
      <c r="E397" s="85">
        <v>1</v>
      </c>
      <c r="F397" s="110"/>
      <c r="G397" s="103">
        <f>E397*F397</f>
        <v>0</v>
      </c>
      <c r="H397" s="88"/>
      <c r="I397" s="89"/>
      <c r="J397" s="90"/>
      <c r="K397" s="89"/>
      <c r="L397" s="91"/>
      <c r="M397" s="89"/>
      <c r="N397" s="89"/>
      <c r="O397" s="100"/>
      <c r="P397" s="90"/>
      <c r="Q397" s="91"/>
      <c r="R397" s="89"/>
      <c r="S397" s="89"/>
    </row>
    <row r="398" spans="1:19" s="93" customFormat="1" ht="48">
      <c r="A398" s="81" t="s">
        <v>20</v>
      </c>
      <c r="B398" s="104" t="s">
        <v>253</v>
      </c>
      <c r="C398" s="104" t="s">
        <v>327</v>
      </c>
      <c r="D398" s="93" t="s">
        <v>71</v>
      </c>
      <c r="E398" s="85">
        <v>4</v>
      </c>
      <c r="F398" s="110"/>
      <c r="G398" s="103">
        <f aca="true" t="shared" si="4" ref="G398:G405">E398*F398</f>
        <v>0</v>
      </c>
      <c r="H398" s="88"/>
      <c r="I398" s="89"/>
      <c r="J398" s="90"/>
      <c r="K398" s="89"/>
      <c r="L398" s="91"/>
      <c r="M398" s="89"/>
      <c r="N398" s="89"/>
      <c r="O398" s="100"/>
      <c r="P398" s="90"/>
      <c r="Q398" s="91"/>
      <c r="R398" s="89"/>
      <c r="S398" s="89"/>
    </row>
    <row r="399" spans="1:19" s="93" customFormat="1" ht="72">
      <c r="A399" s="81" t="s">
        <v>21</v>
      </c>
      <c r="B399" s="104" t="s">
        <v>254</v>
      </c>
      <c r="C399" s="86" t="s">
        <v>255</v>
      </c>
      <c r="D399" s="93" t="s">
        <v>71</v>
      </c>
      <c r="E399" s="85">
        <v>1</v>
      </c>
      <c r="F399" s="110"/>
      <c r="G399" s="103">
        <f t="shared" si="4"/>
        <v>0</v>
      </c>
      <c r="H399" s="88"/>
      <c r="I399" s="89"/>
      <c r="J399" s="90"/>
      <c r="K399" s="89"/>
      <c r="L399" s="91"/>
      <c r="M399" s="89"/>
      <c r="N399" s="89"/>
      <c r="O399" s="100"/>
      <c r="P399" s="90"/>
      <c r="Q399" s="91"/>
      <c r="R399" s="89"/>
      <c r="S399" s="89"/>
    </row>
    <row r="400" spans="1:19" s="93" customFormat="1" ht="72">
      <c r="A400" s="81" t="s">
        <v>22</v>
      </c>
      <c r="B400" s="104" t="s">
        <v>256</v>
      </c>
      <c r="C400" s="86" t="s">
        <v>257</v>
      </c>
      <c r="D400" s="93" t="s">
        <v>71</v>
      </c>
      <c r="E400" s="85">
        <v>1</v>
      </c>
      <c r="F400" s="110"/>
      <c r="G400" s="103">
        <f t="shared" si="4"/>
        <v>0</v>
      </c>
      <c r="H400" s="88"/>
      <c r="I400" s="89"/>
      <c r="J400" s="90"/>
      <c r="K400" s="89"/>
      <c r="L400" s="91"/>
      <c r="M400" s="89"/>
      <c r="N400" s="89"/>
      <c r="O400" s="100"/>
      <c r="P400" s="90"/>
      <c r="Q400" s="91"/>
      <c r="R400" s="89"/>
      <c r="S400" s="89"/>
    </row>
    <row r="401" spans="1:19" s="93" customFormat="1" ht="72">
      <c r="A401" s="81" t="s">
        <v>23</v>
      </c>
      <c r="B401" s="104" t="s">
        <v>258</v>
      </c>
      <c r="C401" s="104" t="s">
        <v>328</v>
      </c>
      <c r="D401" s="93" t="s">
        <v>71</v>
      </c>
      <c r="E401" s="85">
        <v>1</v>
      </c>
      <c r="F401" s="110"/>
      <c r="G401" s="103">
        <f t="shared" si="4"/>
        <v>0</v>
      </c>
      <c r="H401" s="88"/>
      <c r="I401" s="89"/>
      <c r="J401" s="90"/>
      <c r="K401" s="89"/>
      <c r="L401" s="91"/>
      <c r="M401" s="89"/>
      <c r="N401" s="89"/>
      <c r="O401" s="100"/>
      <c r="P401" s="90"/>
      <c r="Q401" s="91"/>
      <c r="R401" s="89"/>
      <c r="S401" s="89"/>
    </row>
    <row r="402" spans="1:19" s="93" customFormat="1" ht="72">
      <c r="A402" s="81" t="s">
        <v>24</v>
      </c>
      <c r="B402" s="104" t="s">
        <v>259</v>
      </c>
      <c r="C402" s="104" t="s">
        <v>329</v>
      </c>
      <c r="D402" s="93" t="s">
        <v>71</v>
      </c>
      <c r="E402" s="85">
        <v>1</v>
      </c>
      <c r="F402" s="110"/>
      <c r="G402" s="103">
        <f t="shared" si="4"/>
        <v>0</v>
      </c>
      <c r="H402" s="88"/>
      <c r="I402" s="89"/>
      <c r="J402" s="90"/>
      <c r="K402" s="89"/>
      <c r="L402" s="91"/>
      <c r="M402" s="89"/>
      <c r="N402" s="89"/>
      <c r="O402" s="100"/>
      <c r="P402" s="90"/>
      <c r="Q402" s="91"/>
      <c r="R402" s="89"/>
      <c r="S402" s="89"/>
    </row>
    <row r="403" spans="1:19" s="93" customFormat="1" ht="72">
      <c r="A403" s="81" t="s">
        <v>25</v>
      </c>
      <c r="B403" s="104" t="s">
        <v>260</v>
      </c>
      <c r="C403" s="104" t="s">
        <v>330</v>
      </c>
      <c r="D403" s="93" t="s">
        <v>71</v>
      </c>
      <c r="E403" s="85">
        <v>1</v>
      </c>
      <c r="F403" s="110"/>
      <c r="G403" s="103">
        <f t="shared" si="4"/>
        <v>0</v>
      </c>
      <c r="H403" s="88"/>
      <c r="I403" s="89"/>
      <c r="J403" s="90"/>
      <c r="K403" s="89"/>
      <c r="L403" s="91"/>
      <c r="M403" s="89"/>
      <c r="N403" s="89"/>
      <c r="O403" s="100"/>
      <c r="P403" s="90"/>
      <c r="Q403" s="91"/>
      <c r="R403" s="89"/>
      <c r="S403" s="89"/>
    </row>
    <row r="404" spans="1:19" s="93" customFormat="1" ht="72">
      <c r="A404" s="81" t="s">
        <v>26</v>
      </c>
      <c r="B404" s="104" t="s">
        <v>261</v>
      </c>
      <c r="C404" s="104" t="s">
        <v>331</v>
      </c>
      <c r="D404" s="93" t="s">
        <v>71</v>
      </c>
      <c r="E404" s="85">
        <v>1</v>
      </c>
      <c r="F404" s="110"/>
      <c r="G404" s="103">
        <f t="shared" si="4"/>
        <v>0</v>
      </c>
      <c r="H404" s="88"/>
      <c r="I404" s="89"/>
      <c r="J404" s="90"/>
      <c r="K404" s="89"/>
      <c r="L404" s="91"/>
      <c r="M404" s="89"/>
      <c r="N404" s="89"/>
      <c r="O404" s="100"/>
      <c r="P404" s="90"/>
      <c r="Q404" s="91"/>
      <c r="R404" s="89"/>
      <c r="S404" s="89"/>
    </row>
    <row r="405" spans="1:19" s="93" customFormat="1" ht="24">
      <c r="A405" s="81" t="s">
        <v>27</v>
      </c>
      <c r="B405" s="150">
        <v>998766100</v>
      </c>
      <c r="C405" s="105" t="s">
        <v>332</v>
      </c>
      <c r="D405" s="93" t="s">
        <v>51</v>
      </c>
      <c r="E405" s="85">
        <v>0.05</v>
      </c>
      <c r="F405" s="103"/>
      <c r="G405" s="103">
        <f t="shared" si="4"/>
        <v>0</v>
      </c>
      <c r="H405" s="88"/>
      <c r="I405" s="89"/>
      <c r="J405" s="90"/>
      <c r="K405" s="89"/>
      <c r="L405" s="91"/>
      <c r="M405" s="89"/>
      <c r="N405" s="89"/>
      <c r="O405" s="100"/>
      <c r="P405" s="90"/>
      <c r="Q405" s="91"/>
      <c r="R405" s="89"/>
      <c r="S405" s="89"/>
    </row>
    <row r="406" spans="1:19" s="93" customFormat="1" ht="12">
      <c r="A406" s="81" t="s">
        <v>28</v>
      </c>
      <c r="B406" s="104"/>
      <c r="C406" s="106"/>
      <c r="E406" s="85"/>
      <c r="F406" s="110"/>
      <c r="G406" s="103"/>
      <c r="H406" s="88"/>
      <c r="I406" s="89"/>
      <c r="J406" s="90"/>
      <c r="K406" s="89"/>
      <c r="L406" s="91"/>
      <c r="M406" s="89"/>
      <c r="N406" s="89"/>
      <c r="O406" s="100"/>
      <c r="P406" s="90"/>
      <c r="Q406" s="91"/>
      <c r="R406" s="89"/>
      <c r="S406" s="89"/>
    </row>
    <row r="407" spans="1:19" s="93" customFormat="1" ht="12.75">
      <c r="A407" s="81"/>
      <c r="B407" s="51"/>
      <c r="C407" s="213" t="s">
        <v>501</v>
      </c>
      <c r="D407" s="255" t="s">
        <v>51</v>
      </c>
      <c r="E407" s="47">
        <f>SUM(E409:E500)</f>
        <v>651.9870500000001</v>
      </c>
      <c r="F407" s="55"/>
      <c r="G407" s="62">
        <f>E407*F407</f>
        <v>0</v>
      </c>
      <c r="H407" s="88"/>
      <c r="I407" s="89"/>
      <c r="J407" s="90"/>
      <c r="K407" s="89"/>
      <c r="L407" s="91"/>
      <c r="M407" s="89"/>
      <c r="N407" s="89"/>
      <c r="O407" s="100"/>
      <c r="P407" s="90"/>
      <c r="Q407" s="91"/>
      <c r="R407" s="89"/>
      <c r="S407" s="89"/>
    </row>
    <row r="408" spans="1:19" s="93" customFormat="1" ht="12">
      <c r="A408" s="81"/>
      <c r="B408" s="51"/>
      <c r="C408" s="52" t="s">
        <v>411</v>
      </c>
      <c r="D408" s="53"/>
      <c r="E408" s="54"/>
      <c r="F408" s="55"/>
      <c r="G408" s="55"/>
      <c r="H408" s="88"/>
      <c r="I408" s="89"/>
      <c r="J408" s="90"/>
      <c r="K408" s="89"/>
      <c r="L408" s="91"/>
      <c r="M408" s="89"/>
      <c r="N408" s="89"/>
      <c r="O408" s="100"/>
      <c r="P408" s="90"/>
      <c r="Q408" s="91"/>
      <c r="R408" s="89"/>
      <c r="S408" s="89"/>
    </row>
    <row r="409" spans="1:19" s="93" customFormat="1" ht="60">
      <c r="A409" s="81"/>
      <c r="B409" s="60" t="s">
        <v>124</v>
      </c>
      <c r="C409" s="242" t="s">
        <v>412</v>
      </c>
      <c r="D409" s="243" t="s">
        <v>58</v>
      </c>
      <c r="E409" s="244">
        <f>(1.47*2+(0.92+1.24+0.91))*(3.65-2.1)+1.24*(2.1-1.32)+(0.325*1.97*2*2+0.25*1.24*2+0.15*1.97*2+0.15*1.24)+(0.92+1.24+0.91)*0.05+(0.92+1.24+0.91)*0.1</f>
        <v>14.701199999999998</v>
      </c>
      <c r="F409" s="55"/>
      <c r="G409" s="55"/>
      <c r="H409" s="88"/>
      <c r="I409" s="89"/>
      <c r="J409" s="90"/>
      <c r="K409" s="89"/>
      <c r="L409" s="91"/>
      <c r="M409" s="89"/>
      <c r="N409" s="89"/>
      <c r="O409" s="100"/>
      <c r="P409" s="90"/>
      <c r="Q409" s="91"/>
      <c r="R409" s="89"/>
      <c r="S409" s="89"/>
    </row>
    <row r="410" spans="1:19" s="93" customFormat="1" ht="24">
      <c r="A410" s="81"/>
      <c r="B410" s="60" t="s">
        <v>125</v>
      </c>
      <c r="C410" s="242" t="s">
        <v>413</v>
      </c>
      <c r="D410" s="243" t="s">
        <v>58</v>
      </c>
      <c r="E410" s="245">
        <f>(1.5+1.075)*(4-2.1)+(1.4+0.975)*0.05+1.4*0.1</f>
        <v>5.15125</v>
      </c>
      <c r="F410" s="55"/>
      <c r="G410" s="55"/>
      <c r="H410" s="88"/>
      <c r="I410" s="89"/>
      <c r="J410" s="90"/>
      <c r="K410" s="89"/>
      <c r="L410" s="91"/>
      <c r="M410" s="89"/>
      <c r="N410" s="89"/>
      <c r="O410" s="100"/>
      <c r="P410" s="90"/>
      <c r="Q410" s="91"/>
      <c r="R410" s="89"/>
      <c r="S410" s="89"/>
    </row>
    <row r="411" spans="1:19" s="93" customFormat="1" ht="24">
      <c r="A411" s="81"/>
      <c r="B411" s="60" t="s">
        <v>126</v>
      </c>
      <c r="C411" s="242" t="s">
        <v>414</v>
      </c>
      <c r="D411" s="243" t="s">
        <v>58</v>
      </c>
      <c r="E411" s="242">
        <f>(0.94)*(4-2.1)+(1.4*2+0.94)*0.05+1.4*0.1</f>
        <v>2.113</v>
      </c>
      <c r="F411" s="55"/>
      <c r="G411" s="55"/>
      <c r="H411" s="88"/>
      <c r="I411" s="89"/>
      <c r="J411" s="90"/>
      <c r="K411" s="89"/>
      <c r="L411" s="91"/>
      <c r="M411" s="89"/>
      <c r="N411" s="89"/>
      <c r="O411" s="100"/>
      <c r="P411" s="90"/>
      <c r="Q411" s="91"/>
      <c r="R411" s="89"/>
      <c r="S411" s="89"/>
    </row>
    <row r="412" spans="1:19" s="93" customFormat="1" ht="12">
      <c r="A412" s="81"/>
      <c r="B412" s="60" t="s">
        <v>127</v>
      </c>
      <c r="C412" s="242" t="s">
        <v>415</v>
      </c>
      <c r="D412" s="243" t="s">
        <v>58</v>
      </c>
      <c r="E412" s="242">
        <f>(1.5+1.055)*(4-2.1)+(1.4+0.955)*0.05</f>
        <v>4.972249999999999</v>
      </c>
      <c r="F412" s="55"/>
      <c r="G412" s="55"/>
      <c r="H412" s="88"/>
      <c r="I412" s="89"/>
      <c r="J412" s="90"/>
      <c r="K412" s="89"/>
      <c r="L412" s="91"/>
      <c r="M412" s="89"/>
      <c r="N412" s="89"/>
      <c r="O412" s="100"/>
      <c r="P412" s="90"/>
      <c r="Q412" s="91"/>
      <c r="R412" s="89"/>
      <c r="S412" s="89"/>
    </row>
    <row r="413" spans="1:19" s="93" customFormat="1" ht="12">
      <c r="A413" s="81"/>
      <c r="B413" s="60" t="s">
        <v>535</v>
      </c>
      <c r="C413" s="242" t="s">
        <v>416</v>
      </c>
      <c r="D413" s="243" t="s">
        <v>58</v>
      </c>
      <c r="E413" s="242">
        <f>0.631*2</f>
        <v>1.262</v>
      </c>
      <c r="F413" s="55"/>
      <c r="G413" s="55"/>
      <c r="H413" s="88"/>
      <c r="I413" s="89"/>
      <c r="J413" s="90"/>
      <c r="K413" s="89"/>
      <c r="L413" s="91"/>
      <c r="M413" s="89"/>
      <c r="N413" s="89"/>
      <c r="O413" s="100"/>
      <c r="P413" s="90"/>
      <c r="Q413" s="91"/>
      <c r="R413" s="89"/>
      <c r="S413" s="89"/>
    </row>
    <row r="414" spans="1:19" s="93" customFormat="1" ht="22.5">
      <c r="A414" s="81"/>
      <c r="B414" s="60" t="s">
        <v>417</v>
      </c>
      <c r="C414" s="242" t="s">
        <v>418</v>
      </c>
      <c r="D414" s="243" t="s">
        <v>58</v>
      </c>
      <c r="E414" s="242">
        <f>(0.92+1.24+0.91)*3.06</f>
        <v>9.394200000000001</v>
      </c>
      <c r="F414" s="55"/>
      <c r="G414" s="55"/>
      <c r="H414" s="88"/>
      <c r="I414" s="89"/>
      <c r="J414" s="90"/>
      <c r="K414" s="89"/>
      <c r="L414" s="91"/>
      <c r="M414" s="89"/>
      <c r="N414" s="89"/>
      <c r="O414" s="100"/>
      <c r="P414" s="90"/>
      <c r="Q414" s="91"/>
      <c r="R414" s="89"/>
      <c r="S414" s="89"/>
    </row>
    <row r="415" spans="1:19" s="93" customFormat="1" ht="12">
      <c r="A415" s="81"/>
      <c r="B415" s="60"/>
      <c r="C415" s="242"/>
      <c r="D415" s="243"/>
      <c r="E415" s="242"/>
      <c r="F415" s="55"/>
      <c r="G415" s="55"/>
      <c r="H415" s="88"/>
      <c r="I415" s="89"/>
      <c r="J415" s="90"/>
      <c r="K415" s="89"/>
      <c r="L415" s="91"/>
      <c r="M415" s="89"/>
      <c r="N415" s="89"/>
      <c r="O415" s="100"/>
      <c r="P415" s="90"/>
      <c r="Q415" s="91"/>
      <c r="R415" s="89"/>
      <c r="S415" s="89"/>
    </row>
    <row r="416" spans="1:19" s="93" customFormat="1" ht="60">
      <c r="A416" s="81"/>
      <c r="B416" s="60" t="s">
        <v>128</v>
      </c>
      <c r="C416" s="242" t="s">
        <v>419</v>
      </c>
      <c r="D416" s="243" t="s">
        <v>58</v>
      </c>
      <c r="E416" s="245">
        <f>(2*2+(0.48+1.24+0.645))*(3.65-2)+(0.48+1.24+0.645)*0.43+(0.6*2*0.2)+1.24*(2-1.32)+(0.325*1.97*2*2+0.25*1.24*2+0.15*1.97*2+0.15*1.24)+(0.48+1.24+0.645)*0.1</f>
        <v>16.7969</v>
      </c>
      <c r="F416" s="55"/>
      <c r="G416" s="55"/>
      <c r="H416" s="88"/>
      <c r="I416" s="89"/>
      <c r="J416" s="90"/>
      <c r="K416" s="89"/>
      <c r="L416" s="91"/>
      <c r="M416" s="89"/>
      <c r="N416" s="89"/>
      <c r="O416" s="100"/>
      <c r="P416" s="90"/>
      <c r="Q416" s="91"/>
      <c r="R416" s="89"/>
      <c r="S416" s="89"/>
    </row>
    <row r="417" spans="1:19" s="93" customFormat="1" ht="12">
      <c r="A417" s="81"/>
      <c r="B417" s="60" t="s">
        <v>129</v>
      </c>
      <c r="C417" s="242" t="s">
        <v>420</v>
      </c>
      <c r="D417" s="243" t="s">
        <v>58</v>
      </c>
      <c r="E417" s="242">
        <f>(0.97*2+2.365)*(3.65-2)+2.365*0.43</f>
        <v>8.120199999999999</v>
      </c>
      <c r="F417" s="55"/>
      <c r="G417" s="55"/>
      <c r="H417" s="88"/>
      <c r="I417" s="89"/>
      <c r="J417" s="90"/>
      <c r="K417" s="89"/>
      <c r="L417" s="91"/>
      <c r="M417" s="89"/>
      <c r="N417" s="89"/>
      <c r="O417" s="100"/>
      <c r="P417" s="90"/>
      <c r="Q417" s="91"/>
      <c r="R417" s="89"/>
      <c r="S417" s="89"/>
    </row>
    <row r="418" spans="1:19" s="93" customFormat="1" ht="12">
      <c r="A418" s="81"/>
      <c r="B418" s="60" t="s">
        <v>529</v>
      </c>
      <c r="C418" s="242" t="s">
        <v>416</v>
      </c>
      <c r="D418" s="243" t="s">
        <v>58</v>
      </c>
      <c r="E418" s="242">
        <f>0.631*2</f>
        <v>1.262</v>
      </c>
      <c r="F418" s="55"/>
      <c r="G418" s="55"/>
      <c r="H418" s="88"/>
      <c r="I418" s="89"/>
      <c r="J418" s="90"/>
      <c r="K418" s="89"/>
      <c r="L418" s="91"/>
      <c r="M418" s="89"/>
      <c r="N418" s="89"/>
      <c r="O418" s="100"/>
      <c r="P418" s="90"/>
      <c r="Q418" s="91"/>
      <c r="R418" s="89"/>
      <c r="S418" s="89"/>
    </row>
    <row r="419" spans="1:19" s="93" customFormat="1" ht="12">
      <c r="A419" s="81"/>
      <c r="B419" s="60" t="s">
        <v>529</v>
      </c>
      <c r="C419" s="242" t="s">
        <v>530</v>
      </c>
      <c r="D419" s="243" t="s">
        <v>58</v>
      </c>
      <c r="E419" s="242">
        <f>(0.48+1.24+0.645)*3.06+0.6*1.03</f>
        <v>7.8549000000000015</v>
      </c>
      <c r="F419" s="55"/>
      <c r="G419" s="55"/>
      <c r="H419" s="88"/>
      <c r="I419" s="89"/>
      <c r="J419" s="90"/>
      <c r="K419" s="89"/>
      <c r="L419" s="91"/>
      <c r="M419" s="89"/>
      <c r="N419" s="89"/>
      <c r="O419" s="100"/>
      <c r="P419" s="90"/>
      <c r="Q419" s="91"/>
      <c r="R419" s="89"/>
      <c r="S419" s="89"/>
    </row>
    <row r="420" spans="1:19" s="93" customFormat="1" ht="12">
      <c r="A420" s="81"/>
      <c r="B420" s="51"/>
      <c r="C420" s="242"/>
      <c r="D420" s="243"/>
      <c r="E420" s="242"/>
      <c r="F420" s="55"/>
      <c r="G420" s="55"/>
      <c r="H420" s="88"/>
      <c r="I420" s="89"/>
      <c r="J420" s="90"/>
      <c r="K420" s="89"/>
      <c r="L420" s="91"/>
      <c r="M420" s="89"/>
      <c r="N420" s="89"/>
      <c r="O420" s="100"/>
      <c r="P420" s="90"/>
      <c r="Q420" s="91"/>
      <c r="R420" s="89"/>
      <c r="S420" s="89"/>
    </row>
    <row r="421" spans="1:19" s="93" customFormat="1" ht="12">
      <c r="A421" s="81"/>
      <c r="B421" s="51"/>
      <c r="C421" s="242" t="s">
        <v>421</v>
      </c>
      <c r="D421" s="243"/>
      <c r="E421" s="59"/>
      <c r="F421" s="55"/>
      <c r="G421" s="55"/>
      <c r="H421" s="88"/>
      <c r="I421" s="89"/>
      <c r="J421" s="90"/>
      <c r="K421" s="89"/>
      <c r="L421" s="91"/>
      <c r="M421" s="89"/>
      <c r="N421" s="89"/>
      <c r="O421" s="100"/>
      <c r="P421" s="90"/>
      <c r="Q421" s="91"/>
      <c r="R421" s="89"/>
      <c r="S421" s="89"/>
    </row>
    <row r="422" spans="1:19" s="93" customFormat="1" ht="60">
      <c r="A422" s="81"/>
      <c r="B422" s="60" t="s">
        <v>136</v>
      </c>
      <c r="C422" s="242" t="s">
        <v>422</v>
      </c>
      <c r="D422" s="243" t="s">
        <v>58</v>
      </c>
      <c r="E422" s="244">
        <f>(1.47*2+(0.92+1.24+0.91))*(3.65-2)+1.24*(2-1.32)+(0.325*1.97*2*2+0.25*1.24*2+0.15*1.97*2+0.15*1.24)+(0.92+1.24+0.91)*0.35+(0.92+1.24+0.91)*0.1</f>
        <v>16.0992</v>
      </c>
      <c r="F422" s="55"/>
      <c r="G422" s="55"/>
      <c r="H422" s="88"/>
      <c r="I422" s="89"/>
      <c r="J422" s="90"/>
      <c r="K422" s="89"/>
      <c r="L422" s="91"/>
      <c r="M422" s="89"/>
      <c r="N422" s="89"/>
      <c r="O422" s="100"/>
      <c r="P422" s="90"/>
      <c r="Q422" s="91"/>
      <c r="R422" s="89"/>
      <c r="S422" s="89"/>
    </row>
    <row r="423" spans="1:19" s="93" customFormat="1" ht="24">
      <c r="A423" s="81"/>
      <c r="B423" s="60" t="s">
        <v>137</v>
      </c>
      <c r="C423" s="242" t="s">
        <v>423</v>
      </c>
      <c r="D423" s="243" t="s">
        <v>58</v>
      </c>
      <c r="E423" s="245">
        <f>(1.5+1.075)*(3.65-2)+(1.4+0.975)*0.35+1.4*0.1</f>
        <v>5.22</v>
      </c>
      <c r="F423" s="55"/>
      <c r="G423" s="55"/>
      <c r="H423" s="88"/>
      <c r="I423" s="89"/>
      <c r="J423" s="90"/>
      <c r="K423" s="89"/>
      <c r="L423" s="91"/>
      <c r="M423" s="89"/>
      <c r="N423" s="89"/>
      <c r="O423" s="100"/>
      <c r="P423" s="90"/>
      <c r="Q423" s="91"/>
      <c r="R423" s="89"/>
      <c r="S423" s="89"/>
    </row>
    <row r="424" spans="1:19" s="93" customFormat="1" ht="24">
      <c r="A424" s="81"/>
      <c r="B424" s="60" t="s">
        <v>138</v>
      </c>
      <c r="C424" s="242" t="s">
        <v>424</v>
      </c>
      <c r="D424" s="243" t="s">
        <v>58</v>
      </c>
      <c r="E424" s="76">
        <f>(0.94)*(3.65-2)+(1.4*2+0.94)*0.35+1.4*0.1</f>
        <v>3</v>
      </c>
      <c r="F424" s="55"/>
      <c r="G424" s="55"/>
      <c r="H424" s="88"/>
      <c r="I424" s="89"/>
      <c r="J424" s="90"/>
      <c r="K424" s="89"/>
      <c r="L424" s="91"/>
      <c r="M424" s="89"/>
      <c r="N424" s="89"/>
      <c r="O424" s="100"/>
      <c r="P424" s="90"/>
      <c r="Q424" s="91"/>
      <c r="R424" s="89"/>
      <c r="S424" s="89"/>
    </row>
    <row r="425" spans="1:19" s="93" customFormat="1" ht="12">
      <c r="A425" s="81"/>
      <c r="B425" s="60" t="s">
        <v>139</v>
      </c>
      <c r="C425" s="242" t="s">
        <v>425</v>
      </c>
      <c r="D425" s="243" t="s">
        <v>58</v>
      </c>
      <c r="E425" s="242">
        <f>(1.5+1.055)*(3.65-2)+(1.4+0.955)*0.35</f>
        <v>5.039999999999999</v>
      </c>
      <c r="F425" s="55"/>
      <c r="G425" s="55"/>
      <c r="H425" s="88"/>
      <c r="I425" s="89"/>
      <c r="J425" s="90"/>
      <c r="K425" s="89"/>
      <c r="L425" s="91"/>
      <c r="M425" s="89"/>
      <c r="N425" s="89"/>
      <c r="O425" s="100"/>
      <c r="P425" s="90"/>
      <c r="Q425" s="91"/>
      <c r="R425" s="89"/>
      <c r="S425" s="89"/>
    </row>
    <row r="426" spans="1:19" s="93" customFormat="1" ht="12">
      <c r="A426" s="81"/>
      <c r="B426" s="60" t="s">
        <v>531</v>
      </c>
      <c r="C426" s="242" t="s">
        <v>416</v>
      </c>
      <c r="D426" s="243" t="s">
        <v>58</v>
      </c>
      <c r="E426" s="242">
        <f>0.631*2</f>
        <v>1.262</v>
      </c>
      <c r="F426" s="55"/>
      <c r="G426" s="55"/>
      <c r="H426" s="88"/>
      <c r="I426" s="89"/>
      <c r="J426" s="90"/>
      <c r="K426" s="89"/>
      <c r="L426" s="91"/>
      <c r="M426" s="89"/>
      <c r="N426" s="89"/>
      <c r="O426" s="100"/>
      <c r="P426" s="90"/>
      <c r="Q426" s="91"/>
      <c r="R426" s="89"/>
      <c r="S426" s="89"/>
    </row>
    <row r="427" spans="1:19" s="93" customFormat="1" ht="12">
      <c r="A427" s="81"/>
      <c r="B427" s="60" t="s">
        <v>531</v>
      </c>
      <c r="C427" s="242" t="s">
        <v>532</v>
      </c>
      <c r="D427" s="243" t="s">
        <v>58</v>
      </c>
      <c r="E427" s="242">
        <f>(0.92+1.24+0.91)*3.06</f>
        <v>9.394200000000001</v>
      </c>
      <c r="F427" s="55"/>
      <c r="G427" s="55"/>
      <c r="H427" s="88"/>
      <c r="I427" s="89"/>
      <c r="J427" s="90"/>
      <c r="K427" s="89"/>
      <c r="L427" s="91"/>
      <c r="M427" s="89"/>
      <c r="N427" s="89"/>
      <c r="O427" s="100"/>
      <c r="P427" s="90"/>
      <c r="Q427" s="91"/>
      <c r="R427" s="89"/>
      <c r="S427" s="89"/>
    </row>
    <row r="428" spans="1:19" s="93" customFormat="1" ht="12">
      <c r="A428" s="81"/>
      <c r="B428" s="60"/>
      <c r="C428" s="242"/>
      <c r="D428" s="243"/>
      <c r="E428" s="242"/>
      <c r="F428" s="55"/>
      <c r="G428" s="55"/>
      <c r="H428" s="88"/>
      <c r="I428" s="89"/>
      <c r="J428" s="90"/>
      <c r="K428" s="89"/>
      <c r="L428" s="91"/>
      <c r="M428" s="89"/>
      <c r="N428" s="89"/>
      <c r="O428" s="100"/>
      <c r="P428" s="90"/>
      <c r="Q428" s="91"/>
      <c r="R428" s="89"/>
      <c r="S428" s="89"/>
    </row>
    <row r="429" spans="1:19" s="93" customFormat="1" ht="60">
      <c r="A429" s="81"/>
      <c r="B429" s="60" t="s">
        <v>140</v>
      </c>
      <c r="C429" s="242" t="s">
        <v>426</v>
      </c>
      <c r="D429" s="243" t="s">
        <v>58</v>
      </c>
      <c r="E429" s="244">
        <f>(2.07*2+2.365)*(3.65-2)+(0.6*2*0.2)+2.365*(3.65-2)+1.24*(2-1.32)+(0.325*1.97*2*2+0.25*1.24*2+0.15*1.97*2+0.15*1.24)</f>
        <v>19.6767</v>
      </c>
      <c r="F429" s="55"/>
      <c r="G429" s="55"/>
      <c r="H429" s="88"/>
      <c r="I429" s="89"/>
      <c r="J429" s="90"/>
      <c r="K429" s="89"/>
      <c r="L429" s="91"/>
      <c r="M429" s="89"/>
      <c r="N429" s="89"/>
      <c r="O429" s="100"/>
      <c r="P429" s="90"/>
      <c r="Q429" s="91"/>
      <c r="R429" s="89"/>
      <c r="S429" s="89"/>
    </row>
    <row r="430" spans="1:19" s="93" customFormat="1" ht="12">
      <c r="A430" s="81"/>
      <c r="B430" s="51" t="s">
        <v>141</v>
      </c>
      <c r="C430" s="63" t="s">
        <v>427</v>
      </c>
      <c r="D430" s="243" t="s">
        <v>58</v>
      </c>
      <c r="E430" s="246">
        <f>(0.9*2+2.365)*(3.65-2)+2.365*(3.65-2)</f>
        <v>10.7745</v>
      </c>
      <c r="F430" s="55"/>
      <c r="G430" s="55"/>
      <c r="H430" s="88"/>
      <c r="I430" s="89"/>
      <c r="J430" s="90"/>
      <c r="K430" s="89"/>
      <c r="L430" s="91"/>
      <c r="M430" s="89"/>
      <c r="N430" s="89"/>
      <c r="O430" s="100"/>
      <c r="P430" s="90"/>
      <c r="Q430" s="91"/>
      <c r="R430" s="89"/>
      <c r="S430" s="89"/>
    </row>
    <row r="431" spans="1:19" s="93" customFormat="1" ht="22.5">
      <c r="A431" s="81"/>
      <c r="B431" s="51" t="s">
        <v>533</v>
      </c>
      <c r="C431" s="242" t="s">
        <v>416</v>
      </c>
      <c r="D431" s="243" t="s">
        <v>58</v>
      </c>
      <c r="E431" s="242">
        <f>0.631*2</f>
        <v>1.262</v>
      </c>
      <c r="F431" s="55"/>
      <c r="G431" s="55"/>
      <c r="H431" s="88"/>
      <c r="I431" s="89"/>
      <c r="J431" s="90"/>
      <c r="K431" s="89"/>
      <c r="L431" s="91"/>
      <c r="M431" s="89"/>
      <c r="N431" s="89"/>
      <c r="O431" s="100"/>
      <c r="P431" s="90"/>
      <c r="Q431" s="91"/>
      <c r="R431" s="89"/>
      <c r="S431" s="89"/>
    </row>
    <row r="432" spans="1:19" s="93" customFormat="1" ht="22.5">
      <c r="A432" s="81"/>
      <c r="B432" s="51" t="s">
        <v>533</v>
      </c>
      <c r="C432" s="242" t="s">
        <v>534</v>
      </c>
      <c r="D432" s="243" t="s">
        <v>58</v>
      </c>
      <c r="E432" s="242">
        <f>2.365*3.06+0.6*1.03</f>
        <v>7.8549000000000015</v>
      </c>
      <c r="F432" s="55"/>
      <c r="G432" s="55"/>
      <c r="H432" s="88"/>
      <c r="I432" s="89"/>
      <c r="J432" s="90"/>
      <c r="K432" s="89"/>
      <c r="L432" s="91"/>
      <c r="M432" s="89"/>
      <c r="N432" s="89"/>
      <c r="O432" s="100"/>
      <c r="P432" s="90"/>
      <c r="Q432" s="91"/>
      <c r="R432" s="89"/>
      <c r="S432" s="89"/>
    </row>
    <row r="433" spans="1:19" s="93" customFormat="1" ht="12">
      <c r="A433" s="81"/>
      <c r="B433" s="51"/>
      <c r="C433" s="60"/>
      <c r="D433" s="243"/>
      <c r="E433" s="61"/>
      <c r="F433" s="55"/>
      <c r="G433" s="55"/>
      <c r="H433" s="88"/>
      <c r="I433" s="89"/>
      <c r="J433" s="90"/>
      <c r="K433" s="89"/>
      <c r="L433" s="91"/>
      <c r="M433" s="89"/>
      <c r="N433" s="89"/>
      <c r="O433" s="100"/>
      <c r="P433" s="90"/>
      <c r="Q433" s="91"/>
      <c r="R433" s="89"/>
      <c r="S433" s="89"/>
    </row>
    <row r="434" spans="1:19" s="93" customFormat="1" ht="12">
      <c r="A434" s="81"/>
      <c r="B434" s="51"/>
      <c r="C434" s="242" t="s">
        <v>428</v>
      </c>
      <c r="D434" s="243"/>
      <c r="E434" s="61"/>
      <c r="F434" s="55"/>
      <c r="G434" s="55"/>
      <c r="H434" s="88"/>
      <c r="I434" s="89"/>
      <c r="J434" s="90"/>
      <c r="K434" s="89"/>
      <c r="L434" s="91"/>
      <c r="M434" s="89"/>
      <c r="N434" s="89"/>
      <c r="O434" s="100"/>
      <c r="P434" s="90"/>
      <c r="Q434" s="91"/>
      <c r="R434" s="89"/>
      <c r="S434" s="89"/>
    </row>
    <row r="435" spans="1:19" s="93" customFormat="1" ht="60">
      <c r="A435" s="81"/>
      <c r="B435" s="60" t="s">
        <v>429</v>
      </c>
      <c r="C435" s="242" t="s">
        <v>430</v>
      </c>
      <c r="D435" s="243" t="s">
        <v>58</v>
      </c>
      <c r="E435" s="244">
        <f>(1.47*2+(0.92+1.24+0.91))*(4-2)+1.24*(2-1.32)+(0.325*1.97*2*2+0.25*1.24*2+0.15*1.97*2+0.15*1.24)+(0.92+1.24+0.91)*0.35+(0.92+1.24+0.91)*0.1</f>
        <v>18.202699999999997</v>
      </c>
      <c r="F435" s="55"/>
      <c r="G435" s="55"/>
      <c r="H435" s="88"/>
      <c r="I435" s="89"/>
      <c r="J435" s="90"/>
      <c r="K435" s="89"/>
      <c r="L435" s="91"/>
      <c r="M435" s="89"/>
      <c r="N435" s="89"/>
      <c r="O435" s="100"/>
      <c r="P435" s="90"/>
      <c r="Q435" s="91"/>
      <c r="R435" s="89"/>
      <c r="S435" s="89"/>
    </row>
    <row r="436" spans="1:19" s="93" customFormat="1" ht="24">
      <c r="A436" s="81"/>
      <c r="B436" s="60" t="s">
        <v>431</v>
      </c>
      <c r="C436" s="242" t="s">
        <v>432</v>
      </c>
      <c r="D436" s="243" t="s">
        <v>58</v>
      </c>
      <c r="E436" s="244">
        <f>(1.5+1.075)*(4-2)+(1.4+0.975)*0.35+1.4*0.1</f>
        <v>6.12125</v>
      </c>
      <c r="F436" s="55"/>
      <c r="G436" s="55"/>
      <c r="H436" s="88"/>
      <c r="I436" s="89"/>
      <c r="J436" s="90"/>
      <c r="K436" s="89"/>
      <c r="L436" s="91"/>
      <c r="M436" s="89"/>
      <c r="N436" s="89"/>
      <c r="O436" s="100"/>
      <c r="P436" s="90"/>
      <c r="Q436" s="91"/>
      <c r="R436" s="89"/>
      <c r="S436" s="89"/>
    </row>
    <row r="437" spans="1:19" s="93" customFormat="1" ht="24">
      <c r="A437" s="81"/>
      <c r="B437" s="60" t="s">
        <v>433</v>
      </c>
      <c r="C437" s="242" t="s">
        <v>434</v>
      </c>
      <c r="D437" s="243" t="s">
        <v>58</v>
      </c>
      <c r="E437" s="244">
        <f>(0.94)*(4-2)+(1.4*2+0.94)*0.35+1.4*0.1</f>
        <v>3.329</v>
      </c>
      <c r="F437" s="55"/>
      <c r="G437" s="55"/>
      <c r="H437" s="88"/>
      <c r="I437" s="89"/>
      <c r="J437" s="90"/>
      <c r="K437" s="89"/>
      <c r="L437" s="91"/>
      <c r="M437" s="89"/>
      <c r="N437" s="89"/>
      <c r="O437" s="100"/>
      <c r="P437" s="90"/>
      <c r="Q437" s="91"/>
      <c r="R437" s="89"/>
      <c r="S437" s="89"/>
    </row>
    <row r="438" spans="1:19" s="93" customFormat="1" ht="12">
      <c r="A438" s="81"/>
      <c r="B438" s="60" t="s">
        <v>435</v>
      </c>
      <c r="C438" s="242" t="s">
        <v>436</v>
      </c>
      <c r="D438" s="243" t="s">
        <v>58</v>
      </c>
      <c r="E438" s="244">
        <f>(1.5+1.055)*(4-2)+(1.4+0.955)*0.35</f>
        <v>5.93425</v>
      </c>
      <c r="F438" s="55"/>
      <c r="G438" s="55"/>
      <c r="H438" s="88"/>
      <c r="I438" s="89"/>
      <c r="J438" s="90"/>
      <c r="K438" s="89"/>
      <c r="L438" s="91"/>
      <c r="M438" s="89"/>
      <c r="N438" s="89"/>
      <c r="O438" s="100"/>
      <c r="P438" s="90"/>
      <c r="Q438" s="91"/>
      <c r="R438" s="89"/>
      <c r="S438" s="89"/>
    </row>
    <row r="439" spans="1:19" s="93" customFormat="1" ht="22.5">
      <c r="A439" s="81"/>
      <c r="B439" s="60" t="s">
        <v>437</v>
      </c>
      <c r="C439" s="242" t="s">
        <v>438</v>
      </c>
      <c r="D439" s="243" t="s">
        <v>58</v>
      </c>
      <c r="E439" s="244">
        <f>2.97*(0.92+1.24+0.91)</f>
        <v>9.1179</v>
      </c>
      <c r="F439" s="55"/>
      <c r="G439" s="55"/>
      <c r="H439" s="88"/>
      <c r="I439" s="89"/>
      <c r="J439" s="90"/>
      <c r="K439" s="89"/>
      <c r="L439" s="91"/>
      <c r="M439" s="89"/>
      <c r="N439" s="89"/>
      <c r="O439" s="100"/>
      <c r="P439" s="90"/>
      <c r="Q439" s="91"/>
      <c r="R439" s="89"/>
      <c r="S439" s="89"/>
    </row>
    <row r="440" spans="1:19" s="93" customFormat="1" ht="12">
      <c r="A440" s="81"/>
      <c r="B440" s="60"/>
      <c r="C440" s="242"/>
      <c r="D440" s="243"/>
      <c r="E440" s="244"/>
      <c r="F440" s="55"/>
      <c r="G440" s="55"/>
      <c r="H440" s="88"/>
      <c r="I440" s="89"/>
      <c r="J440" s="90"/>
      <c r="K440" s="89"/>
      <c r="L440" s="91"/>
      <c r="M440" s="89"/>
      <c r="N440" s="89"/>
      <c r="O440" s="100"/>
      <c r="P440" s="90"/>
      <c r="Q440" s="91"/>
      <c r="R440" s="89"/>
      <c r="S440" s="89"/>
    </row>
    <row r="441" spans="1:19" s="93" customFormat="1" ht="60">
      <c r="A441" s="81"/>
      <c r="B441" s="60" t="s">
        <v>439</v>
      </c>
      <c r="C441" s="242" t="s">
        <v>440</v>
      </c>
      <c r="D441" s="243" t="s">
        <v>58</v>
      </c>
      <c r="E441" s="244">
        <f>(2.07*2+2.365)*(4-2)+(0.5*2*0.2)+2.365*0.4+1.24*(2-1.32)+(0.325*1.97*2*2+0.25*1.24*2+0.15*1.97*2+0.15*1.24)+2.365*0.1</f>
        <v>19.1937</v>
      </c>
      <c r="F441" s="55"/>
      <c r="G441" s="55"/>
      <c r="H441" s="88"/>
      <c r="I441" s="89"/>
      <c r="J441" s="90"/>
      <c r="K441" s="89"/>
      <c r="L441" s="91"/>
      <c r="M441" s="89"/>
      <c r="N441" s="89"/>
      <c r="O441" s="100"/>
      <c r="P441" s="90"/>
      <c r="Q441" s="91"/>
      <c r="R441" s="89"/>
      <c r="S441" s="89"/>
    </row>
    <row r="442" spans="1:19" s="93" customFormat="1" ht="12">
      <c r="A442" s="81"/>
      <c r="B442" s="60" t="s">
        <v>441</v>
      </c>
      <c r="C442" s="242" t="s">
        <v>442</v>
      </c>
      <c r="D442" s="243" t="s">
        <v>58</v>
      </c>
      <c r="E442" s="246">
        <f>(0.8*2+2.365)*(4-2)+2.365*0.4</f>
        <v>8.876000000000001</v>
      </c>
      <c r="F442" s="55"/>
      <c r="G442" s="55"/>
      <c r="H442" s="88"/>
      <c r="I442" s="89"/>
      <c r="J442" s="90"/>
      <c r="K442" s="89"/>
      <c r="L442" s="91"/>
      <c r="M442" s="89"/>
      <c r="N442" s="89"/>
      <c r="O442" s="100"/>
      <c r="P442" s="90"/>
      <c r="Q442" s="91"/>
      <c r="R442" s="89"/>
      <c r="S442" s="89"/>
    </row>
    <row r="443" spans="1:19" s="93" customFormat="1" ht="22.5">
      <c r="A443" s="81"/>
      <c r="B443" s="60" t="s">
        <v>443</v>
      </c>
      <c r="C443" s="63" t="s">
        <v>444</v>
      </c>
      <c r="D443" s="243" t="s">
        <v>58</v>
      </c>
      <c r="E443" s="246">
        <f>2.97*2.365+0.5*1.03</f>
        <v>7.5390500000000005</v>
      </c>
      <c r="F443" s="55"/>
      <c r="G443" s="55"/>
      <c r="H443" s="88"/>
      <c r="I443" s="89"/>
      <c r="J443" s="90"/>
      <c r="K443" s="89"/>
      <c r="L443" s="91"/>
      <c r="M443" s="89"/>
      <c r="N443" s="89"/>
      <c r="O443" s="100"/>
      <c r="P443" s="90"/>
      <c r="Q443" s="91"/>
      <c r="R443" s="89"/>
      <c r="S443" s="89"/>
    </row>
    <row r="444" spans="1:19" s="93" customFormat="1" ht="12">
      <c r="A444" s="81"/>
      <c r="B444" s="51"/>
      <c r="C444" s="242"/>
      <c r="D444" s="243"/>
      <c r="E444" s="59"/>
      <c r="F444" s="55"/>
      <c r="G444" s="55"/>
      <c r="H444" s="88"/>
      <c r="I444" s="89"/>
      <c r="J444" s="90"/>
      <c r="K444" s="89"/>
      <c r="L444" s="91"/>
      <c r="M444" s="89"/>
      <c r="N444" s="89"/>
      <c r="O444" s="100"/>
      <c r="P444" s="90"/>
      <c r="Q444" s="91"/>
      <c r="R444" s="89"/>
      <c r="S444" s="89"/>
    </row>
    <row r="445" spans="1:19" s="93" customFormat="1" ht="12">
      <c r="A445" s="81"/>
      <c r="B445" s="51"/>
      <c r="C445" s="242" t="s">
        <v>445</v>
      </c>
      <c r="D445" s="243"/>
      <c r="E445" s="59"/>
      <c r="F445" s="55"/>
      <c r="G445" s="55"/>
      <c r="H445" s="88"/>
      <c r="I445" s="89"/>
      <c r="J445" s="90"/>
      <c r="K445" s="89"/>
      <c r="L445" s="91"/>
      <c r="M445" s="89"/>
      <c r="N445" s="89"/>
      <c r="O445" s="100"/>
      <c r="P445" s="90"/>
      <c r="Q445" s="91"/>
      <c r="R445" s="89"/>
      <c r="S445" s="89"/>
    </row>
    <row r="446" spans="1:19" s="93" customFormat="1" ht="60">
      <c r="A446" s="81"/>
      <c r="B446" s="60" t="s">
        <v>158</v>
      </c>
      <c r="C446" s="242" t="s">
        <v>446</v>
      </c>
      <c r="D446" s="243" t="s">
        <v>58</v>
      </c>
      <c r="E446" s="244">
        <f>(1.56*2+(0.97+1.24+0.92))*(3.69-2)+1.24*(2-1.32)+(0.325*1.97*2*2+0.25*1.24*2+0.15*1.97*2+0.15*1.24)+(0.97+1.24+0.92)*0.35+(0.97+1.24+0.92)*0.1</f>
        <v>16.772199999999998</v>
      </c>
      <c r="F446" s="55"/>
      <c r="G446" s="55"/>
      <c r="H446" s="88"/>
      <c r="I446" s="89"/>
      <c r="J446" s="90"/>
      <c r="K446" s="89"/>
      <c r="L446" s="91"/>
      <c r="M446" s="89"/>
      <c r="N446" s="89"/>
      <c r="O446" s="100"/>
      <c r="P446" s="90"/>
      <c r="Q446" s="91"/>
      <c r="R446" s="89"/>
      <c r="S446" s="89"/>
    </row>
    <row r="447" spans="1:19" s="93" customFormat="1" ht="24">
      <c r="A447" s="81"/>
      <c r="B447" s="60" t="s">
        <v>159</v>
      </c>
      <c r="C447" s="242" t="s">
        <v>447</v>
      </c>
      <c r="D447" s="243" t="s">
        <v>58</v>
      </c>
      <c r="E447" s="244">
        <f>(1.5+1.075)*(3.69-2)+(1.4+0.975)*0.35+1.4*0.1</f>
        <v>5.3229999999999995</v>
      </c>
      <c r="F447" s="55"/>
      <c r="G447" s="55"/>
      <c r="H447" s="88"/>
      <c r="I447" s="89"/>
      <c r="J447" s="90"/>
      <c r="K447" s="89"/>
      <c r="L447" s="91"/>
      <c r="M447" s="89"/>
      <c r="N447" s="89"/>
      <c r="O447" s="100"/>
      <c r="P447" s="90"/>
      <c r="Q447" s="91"/>
      <c r="R447" s="89"/>
      <c r="S447" s="89"/>
    </row>
    <row r="448" spans="1:19" s="93" customFormat="1" ht="24">
      <c r="A448" s="81"/>
      <c r="B448" s="60" t="s">
        <v>160</v>
      </c>
      <c r="C448" s="242" t="s">
        <v>448</v>
      </c>
      <c r="D448" s="243" t="s">
        <v>58</v>
      </c>
      <c r="E448" s="244">
        <f>(0.975)*(3.69-2)+(1.4*2+0.975)*0.35+1.4*0.1</f>
        <v>3.1089999999999995</v>
      </c>
      <c r="F448" s="55"/>
      <c r="G448" s="55"/>
      <c r="H448" s="88"/>
      <c r="I448" s="89"/>
      <c r="J448" s="90"/>
      <c r="K448" s="89"/>
      <c r="L448" s="91"/>
      <c r="M448" s="89"/>
      <c r="N448" s="89"/>
      <c r="O448" s="100"/>
      <c r="P448" s="90"/>
      <c r="Q448" s="91"/>
      <c r="R448" s="89"/>
      <c r="S448" s="89"/>
    </row>
    <row r="449" spans="1:19" s="93" customFormat="1" ht="12">
      <c r="A449" s="81"/>
      <c r="B449" s="60" t="s">
        <v>161</v>
      </c>
      <c r="C449" s="242" t="s">
        <v>449</v>
      </c>
      <c r="D449" s="243" t="s">
        <v>58</v>
      </c>
      <c r="E449" s="244">
        <f>(1.5+1.08)*(3.69-2)+(1.4+0.98)*0.35</f>
        <v>5.1932</v>
      </c>
      <c r="F449" s="55"/>
      <c r="G449" s="55"/>
      <c r="H449" s="88"/>
      <c r="I449" s="89"/>
      <c r="J449" s="90"/>
      <c r="K449" s="89"/>
      <c r="L449" s="91"/>
      <c r="M449" s="89"/>
      <c r="N449" s="89"/>
      <c r="O449" s="100"/>
      <c r="P449" s="90"/>
      <c r="Q449" s="91"/>
      <c r="R449" s="89"/>
      <c r="S449" s="89"/>
    </row>
    <row r="450" spans="1:19" s="93" customFormat="1" ht="22.5">
      <c r="A450" s="81"/>
      <c r="B450" s="60" t="s">
        <v>450</v>
      </c>
      <c r="C450" s="242" t="s">
        <v>451</v>
      </c>
      <c r="D450" s="243" t="s">
        <v>58</v>
      </c>
      <c r="E450" s="244">
        <f>3.06*3.13</f>
        <v>9.5778</v>
      </c>
      <c r="F450" s="55"/>
      <c r="G450" s="55"/>
      <c r="H450" s="88"/>
      <c r="I450" s="89"/>
      <c r="J450" s="90"/>
      <c r="K450" s="89"/>
      <c r="L450" s="91"/>
      <c r="M450" s="89"/>
      <c r="N450" s="89"/>
      <c r="O450" s="100"/>
      <c r="P450" s="90"/>
      <c r="Q450" s="91"/>
      <c r="R450" s="89"/>
      <c r="S450" s="89"/>
    </row>
    <row r="451" spans="1:19" s="93" customFormat="1" ht="12">
      <c r="A451" s="81"/>
      <c r="B451" s="60"/>
      <c r="C451" s="242"/>
      <c r="D451" s="243"/>
      <c r="E451" s="244"/>
      <c r="F451" s="55"/>
      <c r="G451" s="55"/>
      <c r="H451" s="88"/>
      <c r="I451" s="89"/>
      <c r="J451" s="90"/>
      <c r="K451" s="89"/>
      <c r="L451" s="91"/>
      <c r="M451" s="89"/>
      <c r="N451" s="89"/>
      <c r="O451" s="100"/>
      <c r="P451" s="90"/>
      <c r="Q451" s="91"/>
      <c r="R451" s="89"/>
      <c r="S451" s="89"/>
    </row>
    <row r="452" spans="1:19" s="93" customFormat="1" ht="60">
      <c r="A452" s="81"/>
      <c r="B452" s="60" t="s">
        <v>162</v>
      </c>
      <c r="C452" s="242" t="s">
        <v>452</v>
      </c>
      <c r="D452" s="243" t="s">
        <v>58</v>
      </c>
      <c r="E452" s="244">
        <f>(2.17*2+2.365)*(3.69-2)+(0.42*2*0.2)+2.365*(3.69-2)+1.24*(2-1.32)+(0.325*1.97*2*2+0.25*1.24*2+0.15*1.97*2+0.15*1.24)</f>
        <v>20.2975</v>
      </c>
      <c r="F452" s="55"/>
      <c r="G452" s="55"/>
      <c r="H452" s="88"/>
      <c r="I452" s="89"/>
      <c r="J452" s="90"/>
      <c r="K452" s="89"/>
      <c r="L452" s="91"/>
      <c r="M452" s="89"/>
      <c r="N452" s="89"/>
      <c r="O452" s="100"/>
      <c r="P452" s="90"/>
      <c r="Q452" s="91"/>
      <c r="R452" s="89"/>
      <c r="S452" s="89"/>
    </row>
    <row r="453" spans="1:19" s="93" customFormat="1" ht="12">
      <c r="A453" s="81"/>
      <c r="B453" s="60" t="s">
        <v>163</v>
      </c>
      <c r="C453" s="242" t="s">
        <v>453</v>
      </c>
      <c r="D453" s="243" t="s">
        <v>58</v>
      </c>
      <c r="E453" s="246">
        <f>(0.79+2.365)*2*(3.69-2)</f>
        <v>10.6639</v>
      </c>
      <c r="F453" s="55"/>
      <c r="G453" s="55"/>
      <c r="H453" s="88"/>
      <c r="I453" s="89"/>
      <c r="J453" s="90"/>
      <c r="K453" s="89"/>
      <c r="L453" s="91"/>
      <c r="M453" s="89"/>
      <c r="N453" s="89"/>
      <c r="O453" s="100"/>
      <c r="P453" s="90"/>
      <c r="Q453" s="91"/>
      <c r="R453" s="89"/>
      <c r="S453" s="89"/>
    </row>
    <row r="454" spans="1:19" s="93" customFormat="1" ht="22.5">
      <c r="A454" s="81"/>
      <c r="B454" s="60" t="s">
        <v>454</v>
      </c>
      <c r="C454" s="242" t="s">
        <v>455</v>
      </c>
      <c r="D454" s="243" t="s">
        <v>58</v>
      </c>
      <c r="E454" s="244">
        <f>3.06*2.365+0.42*1.03</f>
        <v>7.669500000000001</v>
      </c>
      <c r="F454" s="55"/>
      <c r="G454" s="55"/>
      <c r="H454" s="88"/>
      <c r="I454" s="89"/>
      <c r="J454" s="90"/>
      <c r="K454" s="89"/>
      <c r="L454" s="91"/>
      <c r="M454" s="89"/>
      <c r="N454" s="89"/>
      <c r="O454" s="100"/>
      <c r="P454" s="90"/>
      <c r="Q454" s="91"/>
      <c r="R454" s="89"/>
      <c r="S454" s="89"/>
    </row>
    <row r="455" spans="1:19" s="93" customFormat="1" ht="12">
      <c r="A455" s="81"/>
      <c r="B455" s="51"/>
      <c r="C455" s="242"/>
      <c r="D455" s="243"/>
      <c r="E455" s="59"/>
      <c r="F455" s="55"/>
      <c r="G455" s="55"/>
      <c r="H455" s="88"/>
      <c r="I455" s="89"/>
      <c r="J455" s="90"/>
      <c r="K455" s="89"/>
      <c r="L455" s="91"/>
      <c r="M455" s="89"/>
      <c r="N455" s="89"/>
      <c r="O455" s="100"/>
      <c r="P455" s="90"/>
      <c r="Q455" s="91"/>
      <c r="R455" s="89"/>
      <c r="S455" s="89"/>
    </row>
    <row r="456" spans="1:19" s="93" customFormat="1" ht="12">
      <c r="A456" s="81"/>
      <c r="B456" s="51"/>
      <c r="C456" s="242" t="s">
        <v>456</v>
      </c>
      <c r="D456" s="243"/>
      <c r="E456" s="59"/>
      <c r="F456" s="55"/>
      <c r="G456" s="55"/>
      <c r="H456" s="88"/>
      <c r="I456" s="89"/>
      <c r="J456" s="90"/>
      <c r="K456" s="89"/>
      <c r="L456" s="91"/>
      <c r="M456" s="89"/>
      <c r="N456" s="89"/>
      <c r="O456" s="100"/>
      <c r="P456" s="90"/>
      <c r="Q456" s="91"/>
      <c r="R456" s="89"/>
      <c r="S456" s="89"/>
    </row>
    <row r="457" spans="1:19" s="93" customFormat="1" ht="60">
      <c r="A457" s="81"/>
      <c r="B457" s="60" t="s">
        <v>169</v>
      </c>
      <c r="C457" s="242" t="s">
        <v>457</v>
      </c>
      <c r="D457" s="243" t="s">
        <v>58</v>
      </c>
      <c r="E457" s="244">
        <f>(1.65*2+(0.96+1.24+1.105))*(3.9-2)+1.24*(2-1.32)+(0.325*1.97*2*2+0.25*1.24*2+0.15*1.97*2+0.15*1.24)+(0.96+1.24+1.105)*0.25+(0.96+1.24+1.105)*0.1</f>
        <v>18.507450000000002</v>
      </c>
      <c r="F457" s="55"/>
      <c r="G457" s="55"/>
      <c r="H457" s="88"/>
      <c r="I457" s="89"/>
      <c r="J457" s="90"/>
      <c r="K457" s="89"/>
      <c r="L457" s="91"/>
      <c r="M457" s="89"/>
      <c r="N457" s="89"/>
      <c r="O457" s="100"/>
      <c r="P457" s="90"/>
      <c r="Q457" s="91"/>
      <c r="R457" s="89"/>
      <c r="S457" s="89"/>
    </row>
    <row r="458" spans="1:19" s="93" customFormat="1" ht="24">
      <c r="A458" s="81"/>
      <c r="B458" s="60" t="s">
        <v>170</v>
      </c>
      <c r="C458" s="242" t="s">
        <v>458</v>
      </c>
      <c r="D458" s="243" t="s">
        <v>58</v>
      </c>
      <c r="E458" s="244">
        <f>(1.54+1.13)*(3.9-2)+(1.44+1.03)*0.25+1.44*0.1</f>
        <v>5.834499999999999</v>
      </c>
      <c r="F458" s="55"/>
      <c r="G458" s="55"/>
      <c r="H458" s="88"/>
      <c r="I458" s="89"/>
      <c r="J458" s="90"/>
      <c r="K458" s="89"/>
      <c r="L458" s="91"/>
      <c r="M458" s="89"/>
      <c r="N458" s="89"/>
      <c r="O458" s="100"/>
      <c r="P458" s="90"/>
      <c r="Q458" s="91"/>
      <c r="R458" s="89"/>
      <c r="S458" s="89"/>
    </row>
    <row r="459" spans="1:19" s="93" customFormat="1" ht="24">
      <c r="A459" s="81"/>
      <c r="B459" s="60" t="s">
        <v>171</v>
      </c>
      <c r="C459" s="242" t="s">
        <v>459</v>
      </c>
      <c r="D459" s="243" t="s">
        <v>58</v>
      </c>
      <c r="E459" s="244">
        <f>(1.035)*(3.9-2)+(1.44*2+1.035)*0.25+1.44*0.1</f>
        <v>3.08925</v>
      </c>
      <c r="F459" s="55"/>
      <c r="G459" s="55"/>
      <c r="H459" s="88"/>
      <c r="I459" s="89"/>
      <c r="J459" s="90"/>
      <c r="K459" s="89"/>
      <c r="L459" s="91"/>
      <c r="M459" s="89"/>
      <c r="N459" s="89"/>
      <c r="O459" s="100"/>
      <c r="P459" s="90"/>
      <c r="Q459" s="91"/>
      <c r="R459" s="89"/>
      <c r="S459" s="89"/>
    </row>
    <row r="460" spans="1:19" s="93" customFormat="1" ht="12">
      <c r="A460" s="81"/>
      <c r="B460" s="60" t="s">
        <v>172</v>
      </c>
      <c r="C460" s="242" t="s">
        <v>460</v>
      </c>
      <c r="D460" s="243" t="s">
        <v>58</v>
      </c>
      <c r="E460" s="244">
        <f>(1.54+1.14)*(3.9-2)+(1.44+1.04)*0.25</f>
        <v>5.712</v>
      </c>
      <c r="F460" s="55"/>
      <c r="G460" s="55"/>
      <c r="H460" s="88"/>
      <c r="I460" s="89"/>
      <c r="J460" s="90"/>
      <c r="K460" s="89"/>
      <c r="L460" s="91"/>
      <c r="M460" s="89"/>
      <c r="N460" s="89"/>
      <c r="O460" s="100"/>
      <c r="P460" s="90"/>
      <c r="Q460" s="91"/>
      <c r="R460" s="89"/>
      <c r="S460" s="89"/>
    </row>
    <row r="461" spans="1:19" s="93" customFormat="1" ht="22.5">
      <c r="A461" s="81"/>
      <c r="B461" s="60" t="s">
        <v>461</v>
      </c>
      <c r="C461" s="242" t="s">
        <v>462</v>
      </c>
      <c r="D461" s="243" t="s">
        <v>58</v>
      </c>
      <c r="E461" s="244">
        <f>3.19*(0.96+1.24+1.105)</f>
        <v>10.542950000000001</v>
      </c>
      <c r="F461" s="55"/>
      <c r="G461" s="55"/>
      <c r="H461" s="88"/>
      <c r="I461" s="89"/>
      <c r="J461" s="90"/>
      <c r="K461" s="89"/>
      <c r="L461" s="91"/>
      <c r="M461" s="89"/>
      <c r="N461" s="89"/>
      <c r="O461" s="100"/>
      <c r="P461" s="90"/>
      <c r="Q461" s="91"/>
      <c r="R461" s="89"/>
      <c r="S461" s="89"/>
    </row>
    <row r="462" spans="1:19" s="93" customFormat="1" ht="12">
      <c r="A462" s="81"/>
      <c r="B462" s="60"/>
      <c r="C462" s="242"/>
      <c r="D462" s="243"/>
      <c r="E462" s="244"/>
      <c r="F462" s="55"/>
      <c r="G462" s="55"/>
      <c r="H462" s="88"/>
      <c r="I462" s="89"/>
      <c r="J462" s="90"/>
      <c r="K462" s="89"/>
      <c r="L462" s="91"/>
      <c r="M462" s="89"/>
      <c r="N462" s="89"/>
      <c r="O462" s="100"/>
      <c r="P462" s="90"/>
      <c r="Q462" s="91"/>
      <c r="R462" s="89"/>
      <c r="S462" s="89"/>
    </row>
    <row r="463" spans="1:19" s="93" customFormat="1" ht="48">
      <c r="A463" s="81"/>
      <c r="B463" s="60" t="s">
        <v>173</v>
      </c>
      <c r="C463" s="242" t="s">
        <v>463</v>
      </c>
      <c r="D463" s="243" t="s">
        <v>58</v>
      </c>
      <c r="E463" s="244">
        <f>(1.54+2.41)*2*(3.9-2)+(0.35*2*0.25)+1.22*(2-1.32)+(0.325*1.97*2*2+0.25*1.22*2+0.15*1.97*2+0.15*1.24)</f>
        <v>19.962600000000002</v>
      </c>
      <c r="F463" s="55"/>
      <c r="G463" s="55"/>
      <c r="H463" s="88"/>
      <c r="I463" s="89"/>
      <c r="J463" s="90"/>
      <c r="K463" s="89"/>
      <c r="L463" s="91"/>
      <c r="M463" s="89"/>
      <c r="N463" s="89"/>
      <c r="O463" s="100"/>
      <c r="P463" s="90"/>
      <c r="Q463" s="91"/>
      <c r="R463" s="89"/>
      <c r="S463" s="89"/>
    </row>
    <row r="464" spans="1:19" s="93" customFormat="1" ht="12">
      <c r="A464" s="81"/>
      <c r="B464" s="60" t="s">
        <v>174</v>
      </c>
      <c r="C464" s="63" t="s">
        <v>464</v>
      </c>
      <c r="D464" s="243" t="s">
        <v>58</v>
      </c>
      <c r="E464" s="246">
        <f>(1.55+2.41)*2*(3.9-2)</f>
        <v>15.048</v>
      </c>
      <c r="F464" s="55"/>
      <c r="G464" s="55"/>
      <c r="H464" s="88"/>
      <c r="I464" s="89"/>
      <c r="J464" s="90"/>
      <c r="K464" s="89"/>
      <c r="L464" s="91"/>
      <c r="M464" s="89"/>
      <c r="N464" s="89"/>
      <c r="O464" s="100"/>
      <c r="P464" s="90"/>
      <c r="Q464" s="91"/>
      <c r="R464" s="89"/>
      <c r="S464" s="89"/>
    </row>
    <row r="465" spans="1:19" s="93" customFormat="1" ht="22.5">
      <c r="A465" s="81"/>
      <c r="B465" s="60" t="s">
        <v>465</v>
      </c>
      <c r="C465" s="242" t="s">
        <v>466</v>
      </c>
      <c r="D465" s="243" t="s">
        <v>58</v>
      </c>
      <c r="E465" s="244">
        <f>3.19*2.41+0.35*1.03</f>
        <v>8.048399999999999</v>
      </c>
      <c r="F465" s="55"/>
      <c r="G465" s="55"/>
      <c r="H465" s="88"/>
      <c r="I465" s="89"/>
      <c r="J465" s="90"/>
      <c r="K465" s="89"/>
      <c r="L465" s="91"/>
      <c r="M465" s="89"/>
      <c r="N465" s="89"/>
      <c r="O465" s="100"/>
      <c r="P465" s="90"/>
      <c r="Q465" s="91"/>
      <c r="R465" s="89"/>
      <c r="S465" s="89"/>
    </row>
    <row r="466" spans="1:19" s="93" customFormat="1" ht="12">
      <c r="A466" s="81"/>
      <c r="B466" s="51"/>
      <c r="C466" s="63"/>
      <c r="D466" s="243"/>
      <c r="E466" s="246"/>
      <c r="F466" s="55"/>
      <c r="G466" s="55"/>
      <c r="H466" s="88"/>
      <c r="I466" s="89"/>
      <c r="J466" s="90"/>
      <c r="K466" s="89"/>
      <c r="L466" s="91"/>
      <c r="M466" s="89"/>
      <c r="N466" s="89"/>
      <c r="O466" s="100"/>
      <c r="P466" s="90"/>
      <c r="Q466" s="91"/>
      <c r="R466" s="89"/>
      <c r="S466" s="89"/>
    </row>
    <row r="467" spans="1:19" s="93" customFormat="1" ht="12">
      <c r="A467" s="81"/>
      <c r="B467" s="60"/>
      <c r="C467" s="242" t="s">
        <v>467</v>
      </c>
      <c r="D467" s="243"/>
      <c r="E467" s="246"/>
      <c r="F467" s="55"/>
      <c r="G467" s="55"/>
      <c r="H467" s="88"/>
      <c r="I467" s="89"/>
      <c r="J467" s="90"/>
      <c r="K467" s="89"/>
      <c r="L467" s="91"/>
      <c r="M467" s="89"/>
      <c r="N467" s="89"/>
      <c r="O467" s="100"/>
      <c r="P467" s="90"/>
      <c r="Q467" s="91"/>
      <c r="R467" s="89"/>
      <c r="S467" s="89"/>
    </row>
    <row r="468" spans="1:19" s="93" customFormat="1" ht="48">
      <c r="A468" s="81"/>
      <c r="B468" s="60" t="s">
        <v>184</v>
      </c>
      <c r="C468" s="63" t="s">
        <v>468</v>
      </c>
      <c r="D468" s="243" t="s">
        <v>58</v>
      </c>
      <c r="E468" s="246">
        <f>(2.6+3.87)*2*(3.98-2)+1.35*(2-0.8)+(0.325*(0.44+2.44)*2+0.15*2.44*2+(0.25*2+0.15)*1.35)</f>
        <v>30.722700000000003</v>
      </c>
      <c r="F468" s="55"/>
      <c r="G468" s="55"/>
      <c r="H468" s="88"/>
      <c r="I468" s="89"/>
      <c r="J468" s="90"/>
      <c r="K468" s="89"/>
      <c r="L468" s="91"/>
      <c r="M468" s="89"/>
      <c r="N468" s="89"/>
      <c r="O468" s="100"/>
      <c r="P468" s="90"/>
      <c r="Q468" s="91"/>
      <c r="R468" s="89"/>
      <c r="S468" s="89"/>
    </row>
    <row r="469" spans="1:19" s="93" customFormat="1" ht="12">
      <c r="A469" s="81"/>
      <c r="B469" s="60" t="s">
        <v>185</v>
      </c>
      <c r="C469" s="63" t="s">
        <v>469</v>
      </c>
      <c r="D469" s="243" t="s">
        <v>58</v>
      </c>
      <c r="E469" s="246">
        <f>(1.4+0.9)*2*(3.98-2)</f>
        <v>9.107999999999999</v>
      </c>
      <c r="F469" s="55"/>
      <c r="G469" s="55"/>
      <c r="H469" s="88"/>
      <c r="I469" s="89"/>
      <c r="J469" s="90"/>
      <c r="K469" s="89"/>
      <c r="L469" s="91"/>
      <c r="M469" s="89"/>
      <c r="N469" s="89"/>
      <c r="O469" s="100"/>
      <c r="P469" s="90"/>
      <c r="Q469" s="91"/>
      <c r="R469" s="89"/>
      <c r="S469" s="89"/>
    </row>
    <row r="470" spans="1:19" s="93" customFormat="1" ht="12">
      <c r="A470" s="81"/>
      <c r="B470" s="60" t="s">
        <v>186</v>
      </c>
      <c r="C470" s="63" t="s">
        <v>469</v>
      </c>
      <c r="D470" s="243" t="s">
        <v>58</v>
      </c>
      <c r="E470" s="246">
        <f>(1.4+0.9)*2*(3.98-2)</f>
        <v>9.107999999999999</v>
      </c>
      <c r="F470" s="55"/>
      <c r="G470" s="55"/>
      <c r="H470" s="88"/>
      <c r="I470" s="89"/>
      <c r="J470" s="90"/>
      <c r="K470" s="89"/>
      <c r="L470" s="91"/>
      <c r="M470" s="89"/>
      <c r="N470" s="89"/>
      <c r="O470" s="100"/>
      <c r="P470" s="90"/>
      <c r="Q470" s="91"/>
      <c r="R470" s="89"/>
      <c r="S470" s="89"/>
    </row>
    <row r="471" spans="1:19" s="93" customFormat="1" ht="22.5">
      <c r="A471" s="81"/>
      <c r="B471" s="60" t="s">
        <v>470</v>
      </c>
      <c r="C471" s="63" t="s">
        <v>471</v>
      </c>
      <c r="D471" s="243" t="s">
        <v>58</v>
      </c>
      <c r="E471" s="246">
        <f>2.6*3.87</f>
        <v>10.062000000000001</v>
      </c>
      <c r="F471" s="55"/>
      <c r="G471" s="55"/>
      <c r="H471" s="88"/>
      <c r="I471" s="89"/>
      <c r="J471" s="90"/>
      <c r="K471" s="89"/>
      <c r="L471" s="91"/>
      <c r="M471" s="89"/>
      <c r="N471" s="89"/>
      <c r="O471" s="100"/>
      <c r="P471" s="90"/>
      <c r="Q471" s="91"/>
      <c r="R471" s="89"/>
      <c r="S471" s="89"/>
    </row>
    <row r="472" spans="1:19" s="93" customFormat="1" ht="12">
      <c r="A472" s="81"/>
      <c r="B472" s="60"/>
      <c r="C472" s="63"/>
      <c r="D472" s="243"/>
      <c r="E472" s="246"/>
      <c r="F472" s="55"/>
      <c r="G472" s="55"/>
      <c r="H472" s="88"/>
      <c r="I472" s="89"/>
      <c r="J472" s="90"/>
      <c r="K472" s="89"/>
      <c r="L472" s="91"/>
      <c r="M472" s="89"/>
      <c r="N472" s="89"/>
      <c r="O472" s="100"/>
      <c r="P472" s="90"/>
      <c r="Q472" s="91"/>
      <c r="R472" s="89"/>
      <c r="S472" s="89"/>
    </row>
    <row r="473" spans="1:19" s="93" customFormat="1" ht="12">
      <c r="A473" s="81"/>
      <c r="B473" s="60" t="s">
        <v>187</v>
      </c>
      <c r="C473" s="63" t="s">
        <v>472</v>
      </c>
      <c r="D473" s="243" t="s">
        <v>58</v>
      </c>
      <c r="E473" s="247">
        <f>(2.6+1.5)*2*(3.98-2)+(0.6*0.2*2)</f>
        <v>16.475999999999996</v>
      </c>
      <c r="F473" s="55"/>
      <c r="G473" s="55"/>
      <c r="H473" s="88"/>
      <c r="I473" s="89"/>
      <c r="J473" s="90"/>
      <c r="K473" s="89"/>
      <c r="L473" s="91"/>
      <c r="M473" s="89"/>
      <c r="N473" s="89"/>
      <c r="O473" s="100"/>
      <c r="P473" s="90"/>
      <c r="Q473" s="91"/>
      <c r="R473" s="89"/>
      <c r="S473" s="89"/>
    </row>
    <row r="474" spans="1:19" s="93" customFormat="1" ht="22.5">
      <c r="A474" s="81"/>
      <c r="B474" s="60" t="s">
        <v>473</v>
      </c>
      <c r="C474" s="63" t="s">
        <v>474</v>
      </c>
      <c r="D474" s="243" t="s">
        <v>58</v>
      </c>
      <c r="E474" s="246">
        <f>2.6*1.5+0.6*1.15</f>
        <v>4.59</v>
      </c>
      <c r="F474" s="55"/>
      <c r="G474" s="55"/>
      <c r="H474" s="88"/>
      <c r="I474" s="89"/>
      <c r="J474" s="90"/>
      <c r="K474" s="89"/>
      <c r="L474" s="91"/>
      <c r="M474" s="89"/>
      <c r="N474" s="89"/>
      <c r="O474" s="100"/>
      <c r="P474" s="90"/>
      <c r="Q474" s="91"/>
      <c r="R474" s="89"/>
      <c r="S474" s="89"/>
    </row>
    <row r="475" spans="1:19" s="93" customFormat="1" ht="12">
      <c r="A475" s="81"/>
      <c r="B475" s="60"/>
      <c r="C475" s="63"/>
      <c r="D475" s="243"/>
      <c r="E475" s="246"/>
      <c r="F475" s="55"/>
      <c r="G475" s="55"/>
      <c r="H475" s="88"/>
      <c r="I475" s="89"/>
      <c r="J475" s="90"/>
      <c r="K475" s="89"/>
      <c r="L475" s="91"/>
      <c r="M475" s="89"/>
      <c r="N475" s="89"/>
      <c r="O475" s="100"/>
      <c r="P475" s="90"/>
      <c r="Q475" s="91"/>
      <c r="R475" s="89"/>
      <c r="S475" s="89"/>
    </row>
    <row r="476" spans="1:19" s="93" customFormat="1" ht="12">
      <c r="A476" s="81"/>
      <c r="B476" s="60"/>
      <c r="C476" s="242" t="s">
        <v>475</v>
      </c>
      <c r="D476" s="243"/>
      <c r="E476" s="246"/>
      <c r="F476" s="55"/>
      <c r="G476" s="55"/>
      <c r="H476" s="88"/>
      <c r="I476" s="89"/>
      <c r="J476" s="90"/>
      <c r="K476" s="89"/>
      <c r="L476" s="91"/>
      <c r="M476" s="89"/>
      <c r="N476" s="89"/>
      <c r="O476" s="100"/>
      <c r="P476" s="90"/>
      <c r="Q476" s="91"/>
      <c r="R476" s="89"/>
      <c r="S476" s="89"/>
    </row>
    <row r="477" spans="1:19" s="93" customFormat="1" ht="48">
      <c r="A477" s="81"/>
      <c r="B477" s="60" t="s">
        <v>190</v>
      </c>
      <c r="C477" s="63" t="s">
        <v>476</v>
      </c>
      <c r="D477" s="243" t="s">
        <v>58</v>
      </c>
      <c r="E477" s="248">
        <f>(2.75+4.07+2.07)*(4-2)+(1.35*(2-0.8))+(0.325*(0.44+2.44)*2+0.15*2.44*2+(0.25*2+0.15)*1.35)+(1.5+2)*0.35</f>
        <v>24.106500000000004</v>
      </c>
      <c r="F477" s="55"/>
      <c r="G477" s="55"/>
      <c r="H477" s="88"/>
      <c r="I477" s="89"/>
      <c r="J477" s="90"/>
      <c r="K477" s="89"/>
      <c r="L477" s="91"/>
      <c r="M477" s="89"/>
      <c r="N477" s="89"/>
      <c r="O477" s="100"/>
      <c r="P477" s="90"/>
      <c r="Q477" s="91"/>
      <c r="R477" s="89"/>
      <c r="S477" s="89"/>
    </row>
    <row r="478" spans="1:19" s="93" customFormat="1" ht="12">
      <c r="A478" s="81"/>
      <c r="B478" s="60" t="s">
        <v>191</v>
      </c>
      <c r="C478" s="63" t="s">
        <v>477</v>
      </c>
      <c r="D478" s="243" t="s">
        <v>58</v>
      </c>
      <c r="E478" s="246">
        <f>(1)*(4-2)+(1.4*2+0.9)*0.35</f>
        <v>3.295</v>
      </c>
      <c r="F478" s="55"/>
      <c r="G478" s="55"/>
      <c r="H478" s="88"/>
      <c r="I478" s="89"/>
      <c r="J478" s="90"/>
      <c r="K478" s="89"/>
      <c r="L478" s="91"/>
      <c r="M478" s="89"/>
      <c r="N478" s="89"/>
      <c r="O478" s="100"/>
      <c r="P478" s="90"/>
      <c r="Q478" s="91"/>
      <c r="R478" s="89"/>
      <c r="S478" s="89"/>
    </row>
    <row r="479" spans="1:19" s="93" customFormat="1" ht="12">
      <c r="A479" s="81"/>
      <c r="B479" s="60" t="s">
        <v>192</v>
      </c>
      <c r="C479" s="63" t="s">
        <v>478</v>
      </c>
      <c r="D479" s="243" t="s">
        <v>58</v>
      </c>
      <c r="E479" s="246">
        <f>(1+1.5)*(4-2)+(1.4+0.9)*0.35</f>
        <v>5.805</v>
      </c>
      <c r="F479" s="55"/>
      <c r="G479" s="55"/>
      <c r="H479" s="88"/>
      <c r="I479" s="89"/>
      <c r="J479" s="90"/>
      <c r="K479" s="89"/>
      <c r="L479" s="91"/>
      <c r="M479" s="89"/>
      <c r="N479" s="89"/>
      <c r="O479" s="100"/>
      <c r="P479" s="90"/>
      <c r="Q479" s="91"/>
      <c r="R479" s="89"/>
      <c r="S479" s="89"/>
    </row>
    <row r="480" spans="1:19" s="93" customFormat="1" ht="22.5">
      <c r="A480" s="81"/>
      <c r="B480" s="60" t="s">
        <v>479</v>
      </c>
      <c r="C480" s="63" t="s">
        <v>480</v>
      </c>
      <c r="D480" s="243" t="s">
        <v>58</v>
      </c>
      <c r="E480" s="246">
        <f>2.75*4.07</f>
        <v>11.1925</v>
      </c>
      <c r="F480" s="55"/>
      <c r="G480" s="55"/>
      <c r="H480" s="88"/>
      <c r="I480" s="89"/>
      <c r="J480" s="90"/>
      <c r="K480" s="89"/>
      <c r="L480" s="91"/>
      <c r="M480" s="89"/>
      <c r="N480" s="89"/>
      <c r="O480" s="100"/>
      <c r="P480" s="90"/>
      <c r="Q480" s="91"/>
      <c r="R480" s="89"/>
      <c r="S480" s="89"/>
    </row>
    <row r="481" spans="1:19" s="93" customFormat="1" ht="12">
      <c r="A481" s="81"/>
      <c r="B481" s="60"/>
      <c r="C481" s="63"/>
      <c r="D481" s="243"/>
      <c r="E481" s="246"/>
      <c r="F481" s="55"/>
      <c r="G481" s="55"/>
      <c r="H481" s="88"/>
      <c r="I481" s="89"/>
      <c r="J481" s="90"/>
      <c r="K481" s="89"/>
      <c r="L481" s="91"/>
      <c r="M481" s="89"/>
      <c r="N481" s="89"/>
      <c r="O481" s="100"/>
      <c r="P481" s="90"/>
      <c r="Q481" s="91"/>
      <c r="R481" s="89"/>
      <c r="S481" s="89"/>
    </row>
    <row r="482" spans="1:19" s="93" customFormat="1" ht="12">
      <c r="A482" s="81"/>
      <c r="B482" s="60" t="s">
        <v>193</v>
      </c>
      <c r="C482" s="63" t="s">
        <v>481</v>
      </c>
      <c r="D482" s="243" t="s">
        <v>58</v>
      </c>
      <c r="E482" s="246">
        <f>(2.75+1.5)*2*(4-2)+(0.6*0.5*2)</f>
        <v>17.6</v>
      </c>
      <c r="F482" s="55"/>
      <c r="G482" s="55"/>
      <c r="H482" s="88"/>
      <c r="I482" s="89"/>
      <c r="J482" s="90"/>
      <c r="K482" s="89"/>
      <c r="L482" s="91"/>
      <c r="M482" s="89"/>
      <c r="N482" s="89"/>
      <c r="O482" s="100"/>
      <c r="P482" s="90"/>
      <c r="Q482" s="91"/>
      <c r="R482" s="89"/>
      <c r="S482" s="89"/>
    </row>
    <row r="483" spans="1:19" s="93" customFormat="1" ht="22.5">
      <c r="A483" s="81"/>
      <c r="B483" s="60" t="s">
        <v>482</v>
      </c>
      <c r="C483" s="63" t="s">
        <v>483</v>
      </c>
      <c r="D483" s="243" t="s">
        <v>58</v>
      </c>
      <c r="E483" s="246">
        <f>2.75*1.5+0.6*1.59</f>
        <v>5.079</v>
      </c>
      <c r="F483" s="55"/>
      <c r="G483" s="55"/>
      <c r="H483" s="88"/>
      <c r="I483" s="89"/>
      <c r="J483" s="90"/>
      <c r="K483" s="89"/>
      <c r="L483" s="91"/>
      <c r="M483" s="89"/>
      <c r="N483" s="89"/>
      <c r="O483" s="100"/>
      <c r="P483" s="90"/>
      <c r="Q483" s="91"/>
      <c r="R483" s="89"/>
      <c r="S483" s="89"/>
    </row>
    <row r="484" spans="1:19" s="93" customFormat="1" ht="12">
      <c r="A484" s="81"/>
      <c r="B484" s="60"/>
      <c r="C484" s="63"/>
      <c r="D484" s="243"/>
      <c r="E484" s="246"/>
      <c r="F484" s="55"/>
      <c r="G484" s="55"/>
      <c r="H484" s="88"/>
      <c r="I484" s="89"/>
      <c r="J484" s="90"/>
      <c r="K484" s="89"/>
      <c r="L484" s="91"/>
      <c r="M484" s="89"/>
      <c r="N484" s="89"/>
      <c r="O484" s="100"/>
      <c r="P484" s="90"/>
      <c r="Q484" s="91"/>
      <c r="R484" s="89"/>
      <c r="S484" s="89"/>
    </row>
    <row r="485" spans="1:19" s="93" customFormat="1" ht="12">
      <c r="A485" s="81"/>
      <c r="B485" s="60"/>
      <c r="C485" s="242" t="s">
        <v>484</v>
      </c>
      <c r="D485" s="243"/>
      <c r="E485" s="246"/>
      <c r="F485" s="55"/>
      <c r="G485" s="55"/>
      <c r="H485" s="88"/>
      <c r="I485" s="89"/>
      <c r="J485" s="90"/>
      <c r="K485" s="89"/>
      <c r="L485" s="91"/>
      <c r="M485" s="89"/>
      <c r="N485" s="89"/>
      <c r="O485" s="100"/>
      <c r="P485" s="90"/>
      <c r="Q485" s="91"/>
      <c r="R485" s="89"/>
      <c r="S485" s="89"/>
    </row>
    <row r="486" spans="1:19" s="93" customFormat="1" ht="48">
      <c r="A486" s="81"/>
      <c r="B486" s="60" t="s">
        <v>197</v>
      </c>
      <c r="C486" s="63" t="s">
        <v>485</v>
      </c>
      <c r="D486" s="243" t="s">
        <v>58</v>
      </c>
      <c r="E486" s="246">
        <f>(2.75+1.51*2)*(3.45-2)+(1.35*(2-0.8)+2.75*0.35+(0.175*0.44*2)+(0.29*2.44*2*2)+(0.1+0.25+0.23)*1.35)+2.75*0.1</f>
        <v>14.9914</v>
      </c>
      <c r="F486" s="55"/>
      <c r="G486" s="55"/>
      <c r="H486" s="88"/>
      <c r="I486" s="89"/>
      <c r="J486" s="90"/>
      <c r="K486" s="89"/>
      <c r="L486" s="91"/>
      <c r="M486" s="89"/>
      <c r="N486" s="89"/>
      <c r="O486" s="100"/>
      <c r="P486" s="90"/>
      <c r="Q486" s="91"/>
      <c r="R486" s="89"/>
      <c r="S486" s="89"/>
    </row>
    <row r="487" spans="1:19" s="93" customFormat="1" ht="24">
      <c r="A487" s="81"/>
      <c r="B487" s="60" t="s">
        <v>196</v>
      </c>
      <c r="C487" s="63" t="s">
        <v>486</v>
      </c>
      <c r="D487" s="243" t="s">
        <v>58</v>
      </c>
      <c r="E487" s="246">
        <f>(1.14+0.2)*(3.45-2)+(1.46*2+1.14)*0.35+(1.56+1.14)*0.1</f>
        <v>3.634</v>
      </c>
      <c r="F487" s="55"/>
      <c r="G487" s="55"/>
      <c r="H487" s="88"/>
      <c r="I487" s="89"/>
      <c r="J487" s="90"/>
      <c r="K487" s="89"/>
      <c r="L487" s="91"/>
      <c r="M487" s="89"/>
      <c r="N487" s="89"/>
      <c r="O487" s="100"/>
      <c r="P487" s="90"/>
      <c r="Q487" s="91"/>
      <c r="R487" s="89"/>
      <c r="S487" s="89"/>
    </row>
    <row r="488" spans="1:19" s="93" customFormat="1" ht="12">
      <c r="A488" s="81"/>
      <c r="B488" s="60" t="s">
        <v>195</v>
      </c>
      <c r="C488" s="63" t="s">
        <v>487</v>
      </c>
      <c r="D488" s="243" t="s">
        <v>58</v>
      </c>
      <c r="E488" s="248">
        <f>(2.75+2.91+1.67)*(3.45-2)+(1.56+1.14)*0.35</f>
        <v>11.573500000000001</v>
      </c>
      <c r="F488" s="55"/>
      <c r="G488" s="55"/>
      <c r="H488" s="88"/>
      <c r="I488" s="89"/>
      <c r="J488" s="90"/>
      <c r="K488" s="89"/>
      <c r="L488" s="91"/>
      <c r="M488" s="89"/>
      <c r="N488" s="89"/>
      <c r="O488" s="100"/>
      <c r="P488" s="90"/>
      <c r="Q488" s="91"/>
      <c r="R488" s="89"/>
      <c r="S488" s="89"/>
    </row>
    <row r="489" spans="1:19" s="93" customFormat="1" ht="22.5">
      <c r="A489" s="81"/>
      <c r="B489" s="60" t="s">
        <v>488</v>
      </c>
      <c r="C489" s="63" t="s">
        <v>489</v>
      </c>
      <c r="D489" s="243" t="s">
        <v>58</v>
      </c>
      <c r="E489" s="248">
        <f>2.75*(2.91+0.1+1.51)</f>
        <v>12.430000000000001</v>
      </c>
      <c r="F489" s="55"/>
      <c r="G489" s="55"/>
      <c r="H489" s="88"/>
      <c r="I489" s="89"/>
      <c r="J489" s="90"/>
      <c r="K489" s="89"/>
      <c r="L489" s="91"/>
      <c r="M489" s="89"/>
      <c r="N489" s="89"/>
      <c r="O489" s="100"/>
      <c r="P489" s="90"/>
      <c r="Q489" s="91"/>
      <c r="R489" s="89"/>
      <c r="S489" s="89"/>
    </row>
    <row r="490" spans="1:19" s="93" customFormat="1" ht="12">
      <c r="A490" s="81"/>
      <c r="B490" s="60"/>
      <c r="C490" s="63"/>
      <c r="D490" s="243"/>
      <c r="E490" s="248"/>
      <c r="F490" s="55"/>
      <c r="G490" s="55"/>
      <c r="H490" s="88"/>
      <c r="I490" s="89"/>
      <c r="J490" s="90"/>
      <c r="K490" s="89"/>
      <c r="L490" s="91"/>
      <c r="M490" s="89"/>
      <c r="N490" s="89"/>
      <c r="O490" s="100"/>
      <c r="P490" s="90"/>
      <c r="Q490" s="91"/>
      <c r="R490" s="89"/>
      <c r="S490" s="89"/>
    </row>
    <row r="491" spans="1:19" s="93" customFormat="1" ht="12">
      <c r="A491" s="81"/>
      <c r="B491" s="60" t="s">
        <v>198</v>
      </c>
      <c r="C491" s="63" t="s">
        <v>490</v>
      </c>
      <c r="D491" s="243" t="s">
        <v>58</v>
      </c>
      <c r="E491" s="246">
        <f>(2.75+1.195)*2*(3.45-2)+(0.42*2*0.3)</f>
        <v>11.692500000000003</v>
      </c>
      <c r="F491" s="55"/>
      <c r="G491" s="55"/>
      <c r="H491" s="88"/>
      <c r="I491" s="89"/>
      <c r="J491" s="90"/>
      <c r="K491" s="89"/>
      <c r="L491" s="91"/>
      <c r="M491" s="89"/>
      <c r="N491" s="89"/>
      <c r="O491" s="100"/>
      <c r="P491" s="90"/>
      <c r="Q491" s="91"/>
      <c r="R491" s="89"/>
      <c r="S491" s="89"/>
    </row>
    <row r="492" spans="1:19" s="93" customFormat="1" ht="22.5">
      <c r="A492" s="81"/>
      <c r="B492" s="60" t="s">
        <v>482</v>
      </c>
      <c r="C492" s="63" t="s">
        <v>491</v>
      </c>
      <c r="D492" s="243" t="s">
        <v>58</v>
      </c>
      <c r="E492" s="246">
        <f>2.75*1.195+0.42*1.14</f>
        <v>3.7650500000000005</v>
      </c>
      <c r="F492" s="55"/>
      <c r="G492" s="55"/>
      <c r="H492" s="88"/>
      <c r="I492" s="89"/>
      <c r="J492" s="90"/>
      <c r="K492" s="89"/>
      <c r="L492" s="91"/>
      <c r="M492" s="89"/>
      <c r="N492" s="89"/>
      <c r="O492" s="100"/>
      <c r="P492" s="90"/>
      <c r="Q492" s="91"/>
      <c r="R492" s="89"/>
      <c r="S492" s="89"/>
    </row>
    <row r="493" spans="1:19" s="93" customFormat="1" ht="12">
      <c r="A493" s="81"/>
      <c r="B493" s="60"/>
      <c r="C493" s="63"/>
      <c r="D493" s="243"/>
      <c r="E493" s="246"/>
      <c r="F493" s="55"/>
      <c r="G493" s="55"/>
      <c r="H493" s="88"/>
      <c r="I493" s="89"/>
      <c r="J493" s="90"/>
      <c r="K493" s="89"/>
      <c r="L493" s="91"/>
      <c r="M493" s="89"/>
      <c r="N493" s="89"/>
      <c r="O493" s="100"/>
      <c r="P493" s="90"/>
      <c r="Q493" s="91"/>
      <c r="R493" s="89"/>
      <c r="S493" s="89"/>
    </row>
    <row r="494" spans="1:19" s="93" customFormat="1" ht="12">
      <c r="A494" s="81"/>
      <c r="B494" s="60"/>
      <c r="C494" s="242" t="s">
        <v>492</v>
      </c>
      <c r="D494" s="243"/>
      <c r="E494" s="246"/>
      <c r="F494" s="55"/>
      <c r="G494" s="55"/>
      <c r="H494" s="88"/>
      <c r="I494" s="89"/>
      <c r="J494" s="90"/>
      <c r="K494" s="89"/>
      <c r="L494" s="91"/>
      <c r="M494" s="89"/>
      <c r="N494" s="89"/>
      <c r="O494" s="100"/>
      <c r="P494" s="90"/>
      <c r="Q494" s="91"/>
      <c r="R494" s="89"/>
      <c r="S494" s="89"/>
    </row>
    <row r="495" spans="1:19" s="93" customFormat="1" ht="48">
      <c r="A495" s="81"/>
      <c r="B495" s="60" t="s">
        <v>205</v>
      </c>
      <c r="C495" s="63" t="s">
        <v>493</v>
      </c>
      <c r="D495" s="243" t="s">
        <v>58</v>
      </c>
      <c r="E495" s="246">
        <f>(2.4+1.255*2)*(3.6-2)+(1.35*(2-0.8)+2.4*0.25+(0.175*0.44*2)+(0.29*2.44*2*2)+(0.1+0.25+0.23)*1.35)+2.4*0.1</f>
        <v>14.083400000000001</v>
      </c>
      <c r="F495" s="55"/>
      <c r="G495" s="55"/>
      <c r="H495" s="88"/>
      <c r="I495" s="89"/>
      <c r="J495" s="90"/>
      <c r="K495" s="89"/>
      <c r="L495" s="91"/>
      <c r="M495" s="89"/>
      <c r="N495" s="89"/>
      <c r="O495" s="100"/>
      <c r="P495" s="90"/>
      <c r="Q495" s="91"/>
      <c r="R495" s="89"/>
      <c r="S495" s="89"/>
    </row>
    <row r="496" spans="1:19" s="93" customFormat="1" ht="24">
      <c r="A496" s="81"/>
      <c r="B496" s="60" t="s">
        <v>206</v>
      </c>
      <c r="C496" s="63" t="s">
        <v>494</v>
      </c>
      <c r="D496" s="243" t="s">
        <v>58</v>
      </c>
      <c r="E496" s="246">
        <f>(1.02+0.2)*(3.6-2)+(1.5*2+1.02)*0.25+(1.6+1.02)*0.1</f>
        <v>3.219</v>
      </c>
      <c r="F496" s="55"/>
      <c r="G496" s="55"/>
      <c r="H496" s="88"/>
      <c r="I496" s="89"/>
      <c r="J496" s="90"/>
      <c r="K496" s="89"/>
      <c r="L496" s="91"/>
      <c r="M496" s="89"/>
      <c r="N496" s="89"/>
      <c r="O496" s="100"/>
      <c r="P496" s="90"/>
      <c r="Q496" s="91"/>
      <c r="R496" s="89"/>
      <c r="S496" s="89"/>
    </row>
    <row r="497" spans="1:19" s="93" customFormat="1" ht="12">
      <c r="A497" s="81"/>
      <c r="B497" s="60" t="s">
        <v>207</v>
      </c>
      <c r="C497" s="63" t="s">
        <v>495</v>
      </c>
      <c r="D497" s="243" t="s">
        <v>58</v>
      </c>
      <c r="E497" s="246">
        <f>(2.4+2.85+1.73)*(3.6-2)+(1.6+1.02)*0.25</f>
        <v>11.823</v>
      </c>
      <c r="F497" s="55"/>
      <c r="G497" s="55"/>
      <c r="H497" s="88"/>
      <c r="I497" s="89"/>
      <c r="J497" s="90"/>
      <c r="K497" s="89"/>
      <c r="L497" s="91"/>
      <c r="M497" s="89"/>
      <c r="N497" s="89"/>
      <c r="O497" s="100"/>
      <c r="P497" s="90"/>
      <c r="Q497" s="91"/>
      <c r="R497" s="89"/>
      <c r="S497" s="89"/>
    </row>
    <row r="498" spans="1:19" s="93" customFormat="1" ht="22.5">
      <c r="A498" s="81"/>
      <c r="B498" s="60" t="s">
        <v>496</v>
      </c>
      <c r="C498" s="63" t="s">
        <v>497</v>
      </c>
      <c r="D498" s="243" t="s">
        <v>58</v>
      </c>
      <c r="E498" s="246">
        <f>2.4*(2.85+1.255)</f>
        <v>9.852</v>
      </c>
      <c r="F498" s="55"/>
      <c r="G498" s="55"/>
      <c r="H498" s="88"/>
      <c r="I498" s="89"/>
      <c r="J498" s="90"/>
      <c r="K498" s="89"/>
      <c r="L498" s="91"/>
      <c r="M498" s="89"/>
      <c r="N498" s="89"/>
      <c r="O498" s="100"/>
      <c r="P498" s="90"/>
      <c r="Q498" s="91"/>
      <c r="R498" s="89"/>
      <c r="S498" s="89"/>
    </row>
    <row r="499" spans="1:19" s="93" customFormat="1" ht="12">
      <c r="A499" s="81"/>
      <c r="B499" s="60"/>
      <c r="C499" s="63"/>
      <c r="D499" s="243"/>
      <c r="E499" s="246"/>
      <c r="F499" s="55"/>
      <c r="G499" s="55"/>
      <c r="H499" s="88"/>
      <c r="I499" s="89"/>
      <c r="J499" s="90"/>
      <c r="K499" s="89"/>
      <c r="L499" s="91"/>
      <c r="M499" s="89"/>
      <c r="N499" s="89"/>
      <c r="O499" s="100"/>
      <c r="P499" s="90"/>
      <c r="Q499" s="91"/>
      <c r="R499" s="89"/>
      <c r="S499" s="89"/>
    </row>
    <row r="500" spans="1:19" s="93" customFormat="1" ht="12">
      <c r="A500" s="81"/>
      <c r="B500" s="60" t="s">
        <v>208</v>
      </c>
      <c r="C500" s="63" t="s">
        <v>498</v>
      </c>
      <c r="D500" s="243" t="s">
        <v>58</v>
      </c>
      <c r="E500" s="246">
        <f>(2.4+1.54)*2*(3.6-2)+(0.49*2*0.3)</f>
        <v>12.902000000000001</v>
      </c>
      <c r="F500" s="55"/>
      <c r="G500" s="55"/>
      <c r="H500" s="88"/>
      <c r="I500" s="89"/>
      <c r="J500" s="90"/>
      <c r="K500" s="89"/>
      <c r="L500" s="91"/>
      <c r="M500" s="89"/>
      <c r="N500" s="89"/>
      <c r="O500" s="100"/>
      <c r="P500" s="90"/>
      <c r="Q500" s="91"/>
      <c r="R500" s="89"/>
      <c r="S500" s="89"/>
    </row>
    <row r="501" spans="1:19" s="93" customFormat="1" ht="22.5">
      <c r="A501" s="81"/>
      <c r="B501" s="60" t="s">
        <v>499</v>
      </c>
      <c r="C501" s="63" t="s">
        <v>500</v>
      </c>
      <c r="D501" s="243" t="s">
        <v>58</v>
      </c>
      <c r="E501" s="246">
        <f>2.4*1.54+0.49*1.1</f>
        <v>4.234999999999999</v>
      </c>
      <c r="F501" s="55"/>
      <c r="G501" s="55"/>
      <c r="H501" s="88"/>
      <c r="I501" s="89"/>
      <c r="J501" s="90"/>
      <c r="K501" s="89"/>
      <c r="L501" s="91"/>
      <c r="M501" s="89"/>
      <c r="N501" s="89"/>
      <c r="O501" s="100"/>
      <c r="P501" s="90"/>
      <c r="Q501" s="91"/>
      <c r="R501" s="89"/>
      <c r="S501" s="89"/>
    </row>
    <row r="502" spans="2:9" ht="12">
      <c r="B502" s="150"/>
      <c r="C502" s="104"/>
      <c r="D502" s="155"/>
      <c r="E502" s="206"/>
      <c r="F502" s="158"/>
      <c r="G502" s="156"/>
      <c r="H502" s="159"/>
      <c r="I502" s="153"/>
    </row>
    <row r="503" spans="2:9" ht="12">
      <c r="B503" s="150"/>
      <c r="C503" s="83" t="s">
        <v>73</v>
      </c>
      <c r="D503" s="155" t="s">
        <v>51</v>
      </c>
      <c r="E503" s="206" t="s">
        <v>31</v>
      </c>
      <c r="F503" s="158"/>
      <c r="G503" s="163">
        <f>SUM(G506:G549)</f>
        <v>0</v>
      </c>
      <c r="H503" s="159"/>
      <c r="I503" s="153"/>
    </row>
    <row r="504" spans="2:9" ht="12">
      <c r="B504" s="150"/>
      <c r="C504" s="104"/>
      <c r="D504" s="155"/>
      <c r="E504" s="206"/>
      <c r="F504" s="158"/>
      <c r="G504" s="156"/>
      <c r="H504" s="159"/>
      <c r="I504" s="153"/>
    </row>
    <row r="505" spans="2:9" ht="12">
      <c r="B505" s="150"/>
      <c r="C505" s="83" t="s">
        <v>509</v>
      </c>
      <c r="D505" s="155"/>
      <c r="E505" s="206"/>
      <c r="F505" s="158"/>
      <c r="G505" s="156"/>
      <c r="H505" s="159"/>
      <c r="I505" s="153"/>
    </row>
    <row r="506" spans="2:9" ht="12">
      <c r="B506" s="241"/>
      <c r="C506" s="104" t="s">
        <v>410</v>
      </c>
      <c r="D506" s="155"/>
      <c r="E506" s="206"/>
      <c r="F506" s="158"/>
      <c r="G506" s="156"/>
      <c r="H506" s="159"/>
      <c r="I506" s="153"/>
    </row>
    <row r="507" spans="1:10" s="223" customFormat="1" ht="12">
      <c r="A507" s="214"/>
      <c r="B507" s="240" t="s">
        <v>513</v>
      </c>
      <c r="C507" s="108" t="s">
        <v>378</v>
      </c>
      <c r="D507" s="216" t="s">
        <v>59</v>
      </c>
      <c r="E507" s="217">
        <v>23</v>
      </c>
      <c r="F507" s="218"/>
      <c r="G507" s="219">
        <f>E507*F507</f>
        <v>0</v>
      </c>
      <c r="H507" s="220"/>
      <c r="I507" s="221"/>
      <c r="J507" s="222"/>
    </row>
    <row r="508" spans="1:10" s="223" customFormat="1" ht="12">
      <c r="A508" s="214"/>
      <c r="B508" s="240" t="s">
        <v>513</v>
      </c>
      <c r="C508" s="108" t="s">
        <v>379</v>
      </c>
      <c r="D508" s="216" t="s">
        <v>59</v>
      </c>
      <c r="E508" s="217">
        <v>8.5</v>
      </c>
      <c r="F508" s="218"/>
      <c r="G508" s="219">
        <f aca="true" t="shared" si="5" ref="G508:G513">E508*F508</f>
        <v>0</v>
      </c>
      <c r="H508" s="220"/>
      <c r="I508" s="221"/>
      <c r="J508" s="222"/>
    </row>
    <row r="509" spans="1:10" s="223" customFormat="1" ht="12">
      <c r="A509" s="214"/>
      <c r="B509" s="240" t="s">
        <v>513</v>
      </c>
      <c r="C509" s="108" t="s">
        <v>380</v>
      </c>
      <c r="D509" s="216" t="s">
        <v>59</v>
      </c>
      <c r="E509" s="217">
        <v>19</v>
      </c>
      <c r="F509" s="218"/>
      <c r="G509" s="219">
        <f t="shared" si="5"/>
        <v>0</v>
      </c>
      <c r="H509" s="220"/>
      <c r="I509" s="221"/>
      <c r="J509" s="222"/>
    </row>
    <row r="510" spans="1:10" s="223" customFormat="1" ht="12">
      <c r="A510" s="214"/>
      <c r="B510" s="240" t="s">
        <v>513</v>
      </c>
      <c r="C510" s="108" t="s">
        <v>569</v>
      </c>
      <c r="D510" s="216" t="s">
        <v>59</v>
      </c>
      <c r="E510" s="217">
        <v>52</v>
      </c>
      <c r="F510" s="218"/>
      <c r="G510" s="219">
        <f t="shared" si="5"/>
        <v>0</v>
      </c>
      <c r="H510" s="220"/>
      <c r="I510" s="221"/>
      <c r="J510" s="222"/>
    </row>
    <row r="511" spans="1:10" s="223" customFormat="1" ht="12">
      <c r="A511" s="214"/>
      <c r="B511" s="240" t="s">
        <v>513</v>
      </c>
      <c r="C511" s="108" t="s">
        <v>381</v>
      </c>
      <c r="D511" s="216" t="s">
        <v>71</v>
      </c>
      <c r="E511" s="217">
        <v>2</v>
      </c>
      <c r="F511" s="218"/>
      <c r="G511" s="219">
        <f t="shared" si="5"/>
        <v>0</v>
      </c>
      <c r="H511" s="220"/>
      <c r="I511" s="221"/>
      <c r="J511" s="222"/>
    </row>
    <row r="512" spans="1:10" s="223" customFormat="1" ht="12">
      <c r="A512" s="214"/>
      <c r="B512" s="240" t="s">
        <v>513</v>
      </c>
      <c r="C512" s="108" t="s">
        <v>382</v>
      </c>
      <c r="D512" s="216" t="s">
        <v>71</v>
      </c>
      <c r="E512" s="217">
        <v>1</v>
      </c>
      <c r="F512" s="218"/>
      <c r="G512" s="219">
        <f t="shared" si="5"/>
        <v>0</v>
      </c>
      <c r="H512" s="220"/>
      <c r="I512" s="221"/>
      <c r="J512" s="222"/>
    </row>
    <row r="513" spans="1:10" s="223" customFormat="1" ht="12">
      <c r="A513" s="214"/>
      <c r="B513" s="240" t="s">
        <v>513</v>
      </c>
      <c r="C513" s="108" t="s">
        <v>508</v>
      </c>
      <c r="D513" s="216" t="s">
        <v>59</v>
      </c>
      <c r="E513" s="217">
        <f>SUM(E507:E510)</f>
        <v>102.5</v>
      </c>
      <c r="F513" s="218"/>
      <c r="G513" s="219">
        <f t="shared" si="5"/>
        <v>0</v>
      </c>
      <c r="H513" s="220"/>
      <c r="I513" s="221"/>
      <c r="J513" s="222"/>
    </row>
    <row r="514" spans="2:9" ht="12">
      <c r="B514" s="150"/>
      <c r="C514" s="104" t="s">
        <v>507</v>
      </c>
      <c r="D514" s="155" t="s">
        <v>17</v>
      </c>
      <c r="E514" s="224">
        <v>1.3</v>
      </c>
      <c r="F514" s="170"/>
      <c r="G514" s="156">
        <f>E514*F514</f>
        <v>0</v>
      </c>
      <c r="H514" s="159"/>
      <c r="I514" s="153"/>
    </row>
    <row r="515" spans="2:9" ht="12">
      <c r="B515" s="150"/>
      <c r="C515" s="104"/>
      <c r="D515" s="155"/>
      <c r="E515" s="206"/>
      <c r="F515" s="158"/>
      <c r="G515" s="156"/>
      <c r="H515" s="159"/>
      <c r="I515" s="153"/>
    </row>
    <row r="516" spans="2:9" ht="12">
      <c r="B516" s="150"/>
      <c r="C516" s="83" t="s">
        <v>383</v>
      </c>
      <c r="D516" s="155"/>
      <c r="E516" s="206"/>
      <c r="F516" s="158"/>
      <c r="G516" s="156"/>
      <c r="H516" s="159"/>
      <c r="I516" s="153"/>
    </row>
    <row r="517" spans="2:9" ht="12">
      <c r="B517" s="240" t="s">
        <v>513</v>
      </c>
      <c r="C517" s="104" t="s">
        <v>393</v>
      </c>
      <c r="D517" s="155"/>
      <c r="E517" s="206"/>
      <c r="F517" s="158"/>
      <c r="G517" s="156"/>
      <c r="H517" s="159"/>
      <c r="I517" s="153"/>
    </row>
    <row r="518" spans="2:9" ht="12">
      <c r="B518" s="240" t="s">
        <v>513</v>
      </c>
      <c r="C518" s="104" t="s">
        <v>394</v>
      </c>
      <c r="D518" s="155" t="s">
        <v>59</v>
      </c>
      <c r="E518" s="206">
        <v>130</v>
      </c>
      <c r="F518" s="158"/>
      <c r="G518" s="156">
        <f aca="true" t="shared" si="6" ref="G518:G527">E518*F518</f>
        <v>0</v>
      </c>
      <c r="H518" s="159"/>
      <c r="I518" s="153"/>
    </row>
    <row r="519" spans="2:9" ht="12">
      <c r="B519" s="240" t="s">
        <v>513</v>
      </c>
      <c r="C519" s="104" t="s">
        <v>395</v>
      </c>
      <c r="D519" s="155" t="s">
        <v>59</v>
      </c>
      <c r="E519" s="206">
        <v>36</v>
      </c>
      <c r="F519" s="158"/>
      <c r="G519" s="156">
        <f t="shared" si="6"/>
        <v>0</v>
      </c>
      <c r="H519" s="159"/>
      <c r="I519" s="153"/>
    </row>
    <row r="520" spans="2:9" ht="12">
      <c r="B520" s="240" t="s">
        <v>513</v>
      </c>
      <c r="C520" s="104" t="s">
        <v>396</v>
      </c>
      <c r="D520" s="155" t="s">
        <v>59</v>
      </c>
      <c r="E520" s="206">
        <v>21</v>
      </c>
      <c r="F520" s="158"/>
      <c r="G520" s="156">
        <f t="shared" si="6"/>
        <v>0</v>
      </c>
      <c r="H520" s="159"/>
      <c r="I520" s="153"/>
    </row>
    <row r="521" spans="2:9" ht="12">
      <c r="B521" s="240" t="s">
        <v>513</v>
      </c>
      <c r="C521" s="104" t="s">
        <v>397</v>
      </c>
      <c r="D521" s="155" t="s">
        <v>59</v>
      </c>
      <c r="E521" s="206">
        <v>11</v>
      </c>
      <c r="F521" s="158"/>
      <c r="G521" s="156">
        <f t="shared" si="6"/>
        <v>0</v>
      </c>
      <c r="H521" s="159"/>
      <c r="I521" s="153"/>
    </row>
    <row r="522" spans="2:9" ht="12">
      <c r="B522" s="240" t="s">
        <v>513</v>
      </c>
      <c r="C522" s="104" t="s">
        <v>398</v>
      </c>
      <c r="D522" s="155" t="s">
        <v>59</v>
      </c>
      <c r="E522" s="206">
        <v>120</v>
      </c>
      <c r="F522" s="158"/>
      <c r="G522" s="156">
        <f t="shared" si="6"/>
        <v>0</v>
      </c>
      <c r="H522" s="159"/>
      <c r="I522" s="153"/>
    </row>
    <row r="523" spans="2:9" ht="12">
      <c r="B523" s="240" t="s">
        <v>513</v>
      </c>
      <c r="C523" s="104" t="s">
        <v>399</v>
      </c>
      <c r="D523" s="155" t="s">
        <v>59</v>
      </c>
      <c r="E523" s="206">
        <v>78</v>
      </c>
      <c r="F523" s="158"/>
      <c r="G523" s="156">
        <f t="shared" si="6"/>
        <v>0</v>
      </c>
      <c r="H523" s="159"/>
      <c r="I523" s="153"/>
    </row>
    <row r="524" spans="2:9" ht="12">
      <c r="B524" s="240" t="s">
        <v>513</v>
      </c>
      <c r="C524" s="104" t="s">
        <v>570</v>
      </c>
      <c r="D524" s="155" t="s">
        <v>71</v>
      </c>
      <c r="E524" s="206">
        <v>19</v>
      </c>
      <c r="F524" s="158"/>
      <c r="G524" s="156">
        <f t="shared" si="6"/>
        <v>0</v>
      </c>
      <c r="H524" s="159"/>
      <c r="I524" s="153"/>
    </row>
    <row r="525" spans="2:9" ht="12">
      <c r="B525" s="240" t="s">
        <v>513</v>
      </c>
      <c r="C525" s="104" t="s">
        <v>400</v>
      </c>
      <c r="D525" s="155" t="s">
        <v>71</v>
      </c>
      <c r="E525" s="206">
        <v>23</v>
      </c>
      <c r="F525" s="158"/>
      <c r="G525" s="156">
        <f t="shared" si="6"/>
        <v>0</v>
      </c>
      <c r="H525" s="159"/>
      <c r="I525" s="153"/>
    </row>
    <row r="526" spans="2:9" ht="12">
      <c r="B526" s="240" t="s">
        <v>513</v>
      </c>
      <c r="C526" s="108" t="s">
        <v>511</v>
      </c>
      <c r="D526" s="216" t="s">
        <v>59</v>
      </c>
      <c r="E526" s="206">
        <f>SUM(E518:E521)</f>
        <v>198</v>
      </c>
      <c r="F526" s="158"/>
      <c r="G526" s="156">
        <f t="shared" si="6"/>
        <v>0</v>
      </c>
      <c r="H526" s="159"/>
      <c r="I526" s="153"/>
    </row>
    <row r="527" spans="2:9" ht="24">
      <c r="B527" s="240" t="s">
        <v>513</v>
      </c>
      <c r="C527" s="104" t="s">
        <v>510</v>
      </c>
      <c r="D527" s="216" t="s">
        <v>59</v>
      </c>
      <c r="E527" s="206">
        <v>198</v>
      </c>
      <c r="F527" s="158"/>
      <c r="G527" s="156">
        <f t="shared" si="6"/>
        <v>0</v>
      </c>
      <c r="H527" s="159"/>
      <c r="I527" s="153"/>
    </row>
    <row r="528" spans="1:10" s="223" customFormat="1" ht="12">
      <c r="A528" s="214"/>
      <c r="B528" s="215"/>
      <c r="C528" s="108" t="s">
        <v>507</v>
      </c>
      <c r="D528" s="216" t="s">
        <v>17</v>
      </c>
      <c r="E528" s="217">
        <v>1.1</v>
      </c>
      <c r="F528" s="218"/>
      <c r="G528" s="219">
        <f>E528*F528</f>
        <v>0</v>
      </c>
      <c r="H528" s="220"/>
      <c r="I528" s="221"/>
      <c r="J528" s="222"/>
    </row>
    <row r="529" spans="2:9" ht="12">
      <c r="B529" s="150"/>
      <c r="C529" s="104"/>
      <c r="D529" s="155"/>
      <c r="E529" s="206"/>
      <c r="F529" s="158"/>
      <c r="G529" s="156"/>
      <c r="H529" s="159"/>
      <c r="I529" s="153"/>
    </row>
    <row r="530" spans="2:9" ht="12">
      <c r="B530" s="150"/>
      <c r="C530" s="83" t="s">
        <v>401</v>
      </c>
      <c r="D530" s="155"/>
      <c r="E530" s="206"/>
      <c r="F530" s="158"/>
      <c r="G530" s="156"/>
      <c r="H530" s="159"/>
      <c r="I530" s="153"/>
    </row>
    <row r="531" spans="1:9" ht="203.25">
      <c r="A531" s="191" t="s">
        <v>48</v>
      </c>
      <c r="B531" s="227" t="s">
        <v>513</v>
      </c>
      <c r="C531" s="83" t="s">
        <v>528</v>
      </c>
      <c r="D531" s="189" t="s">
        <v>71</v>
      </c>
      <c r="E531" s="197">
        <v>11</v>
      </c>
      <c r="G531" s="119">
        <f aca="true" t="shared" si="7" ref="G531:G549">E531*F531</f>
        <v>0</v>
      </c>
      <c r="H531" s="159"/>
      <c r="I531" s="153"/>
    </row>
    <row r="532" spans="1:10" s="105" customFormat="1" ht="12">
      <c r="A532" s="191" t="s">
        <v>49</v>
      </c>
      <c r="B532" s="240" t="s">
        <v>513</v>
      </c>
      <c r="C532" s="82" t="s">
        <v>571</v>
      </c>
      <c r="D532" s="189" t="s">
        <v>502</v>
      </c>
      <c r="E532" s="197">
        <v>23</v>
      </c>
      <c r="F532" s="118"/>
      <c r="G532" s="119">
        <f t="shared" si="7"/>
        <v>0</v>
      </c>
      <c r="H532" s="120"/>
      <c r="I532" s="193"/>
      <c r="J532" s="130"/>
    </row>
    <row r="533" spans="1:9" ht="90">
      <c r="A533" s="191" t="s">
        <v>50</v>
      </c>
      <c r="B533" s="150"/>
      <c r="C533" s="150" t="s">
        <v>407</v>
      </c>
      <c r="D533" s="155"/>
      <c r="E533" s="206"/>
      <c r="F533" s="158"/>
      <c r="G533" s="156"/>
      <c r="H533" s="159"/>
      <c r="I533" s="153"/>
    </row>
    <row r="534" spans="1:10" s="105" customFormat="1" ht="12">
      <c r="A534" s="191" t="s">
        <v>18</v>
      </c>
      <c r="B534" s="240" t="s">
        <v>513</v>
      </c>
      <c r="C534" s="112" t="s">
        <v>402</v>
      </c>
      <c r="D534" s="189" t="s">
        <v>71</v>
      </c>
      <c r="E534" s="197">
        <v>23</v>
      </c>
      <c r="F534" s="212"/>
      <c r="G534" s="119">
        <f t="shared" si="7"/>
        <v>0</v>
      </c>
      <c r="H534" s="120"/>
      <c r="I534" s="193"/>
      <c r="J534" s="130"/>
    </row>
    <row r="535" spans="1:9" ht="225">
      <c r="A535" s="191" t="s">
        <v>19</v>
      </c>
      <c r="B535" s="150"/>
      <c r="C535" s="150" t="s">
        <v>408</v>
      </c>
      <c r="D535" s="155"/>
      <c r="E535" s="206"/>
      <c r="F535" s="158"/>
      <c r="G535" s="156"/>
      <c r="H535" s="159"/>
      <c r="I535" s="153"/>
    </row>
    <row r="536" spans="1:10" s="105" customFormat="1" ht="12">
      <c r="A536" s="191" t="s">
        <v>20</v>
      </c>
      <c r="B536" s="240" t="s">
        <v>513</v>
      </c>
      <c r="C536" s="82" t="s">
        <v>572</v>
      </c>
      <c r="D536" s="189" t="s">
        <v>71</v>
      </c>
      <c r="E536" s="197">
        <v>10</v>
      </c>
      <c r="F536" s="118"/>
      <c r="G536" s="119">
        <f t="shared" si="7"/>
        <v>0</v>
      </c>
      <c r="H536" s="120"/>
      <c r="I536" s="193"/>
      <c r="J536" s="130"/>
    </row>
    <row r="537" spans="1:9" ht="236.25">
      <c r="A537" s="191" t="s">
        <v>21</v>
      </c>
      <c r="B537" s="227" t="s">
        <v>513</v>
      </c>
      <c r="C537" s="190" t="s">
        <v>409</v>
      </c>
      <c r="D537" s="155"/>
      <c r="E537" s="206"/>
      <c r="F537" s="158"/>
      <c r="G537" s="156"/>
      <c r="H537" s="159"/>
      <c r="I537" s="153"/>
    </row>
    <row r="538" spans="1:10" s="105" customFormat="1" ht="36">
      <c r="A538" s="191" t="s">
        <v>22</v>
      </c>
      <c r="B538" s="227" t="s">
        <v>513</v>
      </c>
      <c r="C538" s="106" t="s">
        <v>334</v>
      </c>
      <c r="D538" s="194" t="s">
        <v>71</v>
      </c>
      <c r="E538" s="207">
        <v>10</v>
      </c>
      <c r="F538" s="192"/>
      <c r="G538" s="119">
        <f t="shared" si="7"/>
        <v>0</v>
      </c>
      <c r="H538" s="120"/>
      <c r="I538" s="193"/>
      <c r="J538" s="130"/>
    </row>
    <row r="539" spans="1:10" s="105" customFormat="1" ht="12">
      <c r="A539" s="191" t="s">
        <v>23</v>
      </c>
      <c r="B539" s="240" t="s">
        <v>513</v>
      </c>
      <c r="C539" s="112" t="s">
        <v>536</v>
      </c>
      <c r="D539" s="194" t="s">
        <v>71</v>
      </c>
      <c r="E539" s="197">
        <v>10</v>
      </c>
      <c r="F539" s="118"/>
      <c r="G539" s="119">
        <f t="shared" si="7"/>
        <v>0</v>
      </c>
      <c r="H539" s="120"/>
      <c r="I539" s="193"/>
      <c r="J539" s="130"/>
    </row>
    <row r="540" spans="1:10" s="105" customFormat="1" ht="12">
      <c r="A540" s="191" t="s">
        <v>24</v>
      </c>
      <c r="B540" s="240" t="s">
        <v>513</v>
      </c>
      <c r="C540" s="82" t="s">
        <v>537</v>
      </c>
      <c r="D540" s="194" t="s">
        <v>71</v>
      </c>
      <c r="E540" s="197">
        <v>1</v>
      </c>
      <c r="F540" s="118"/>
      <c r="G540" s="119">
        <f t="shared" si="7"/>
        <v>0</v>
      </c>
      <c r="H540" s="120"/>
      <c r="I540" s="193"/>
      <c r="J540" s="130"/>
    </row>
    <row r="541" spans="1:10" s="105" customFormat="1" ht="12">
      <c r="A541" s="191" t="s">
        <v>25</v>
      </c>
      <c r="B541" s="240" t="s">
        <v>513</v>
      </c>
      <c r="C541" s="82" t="s">
        <v>573</v>
      </c>
      <c r="D541" s="194" t="s">
        <v>71</v>
      </c>
      <c r="E541" s="197">
        <v>1</v>
      </c>
      <c r="F541" s="118"/>
      <c r="G541" s="119">
        <f t="shared" si="7"/>
        <v>0</v>
      </c>
      <c r="H541" s="120"/>
      <c r="I541" s="193"/>
      <c r="J541" s="130"/>
    </row>
    <row r="542" spans="1:10" s="105" customFormat="1" ht="12">
      <c r="A542" s="191" t="s">
        <v>26</v>
      </c>
      <c r="B542" s="240" t="s">
        <v>513</v>
      </c>
      <c r="C542" s="82" t="s">
        <v>538</v>
      </c>
      <c r="D542" s="194" t="s">
        <v>71</v>
      </c>
      <c r="E542" s="197">
        <v>4</v>
      </c>
      <c r="F542" s="118"/>
      <c r="G542" s="119">
        <f t="shared" si="7"/>
        <v>0</v>
      </c>
      <c r="H542" s="120"/>
      <c r="I542" s="193"/>
      <c r="J542" s="130"/>
    </row>
    <row r="543" spans="1:10" s="105" customFormat="1" ht="112.5">
      <c r="A543" s="191" t="s">
        <v>27</v>
      </c>
      <c r="B543" s="227" t="s">
        <v>513</v>
      </c>
      <c r="C543" s="195" t="s">
        <v>406</v>
      </c>
      <c r="D543" s="117"/>
      <c r="E543" s="197">
        <v>11</v>
      </c>
      <c r="F543" s="118"/>
      <c r="G543" s="119">
        <f t="shared" si="7"/>
        <v>0</v>
      </c>
      <c r="H543" s="120"/>
      <c r="I543" s="196"/>
      <c r="J543" s="130"/>
    </row>
    <row r="544" spans="1:10" s="105" customFormat="1" ht="36">
      <c r="A544" s="191" t="s">
        <v>28</v>
      </c>
      <c r="B544" s="227" t="s">
        <v>513</v>
      </c>
      <c r="C544" s="105" t="s">
        <v>405</v>
      </c>
      <c r="D544" s="194" t="s">
        <v>71</v>
      </c>
      <c r="E544" s="197">
        <v>1</v>
      </c>
      <c r="F544" s="118"/>
      <c r="G544" s="119">
        <f t="shared" si="7"/>
        <v>0</v>
      </c>
      <c r="H544" s="120"/>
      <c r="I544" s="196"/>
      <c r="J544" s="130"/>
    </row>
    <row r="545" spans="1:10" s="105" customFormat="1" ht="12">
      <c r="A545" s="191" t="s">
        <v>29</v>
      </c>
      <c r="B545" s="227" t="s">
        <v>513</v>
      </c>
      <c r="C545" s="105" t="s">
        <v>403</v>
      </c>
      <c r="D545" s="194" t="s">
        <v>71</v>
      </c>
      <c r="E545" s="197">
        <v>1</v>
      </c>
      <c r="F545" s="118"/>
      <c r="G545" s="119">
        <f t="shared" si="7"/>
        <v>0</v>
      </c>
      <c r="H545" s="120"/>
      <c r="I545" s="196"/>
      <c r="J545" s="130"/>
    </row>
    <row r="546" spans="1:10" s="105" customFormat="1" ht="12">
      <c r="A546" s="191" t="s">
        <v>60</v>
      </c>
      <c r="B546" s="227" t="s">
        <v>513</v>
      </c>
      <c r="C546" s="105" t="s">
        <v>404</v>
      </c>
      <c r="D546" s="194" t="s">
        <v>71</v>
      </c>
      <c r="E546" s="197">
        <v>4</v>
      </c>
      <c r="F546" s="118"/>
      <c r="G546" s="119">
        <f t="shared" si="7"/>
        <v>0</v>
      </c>
      <c r="H546" s="120"/>
      <c r="I546" s="196"/>
      <c r="J546" s="130"/>
    </row>
    <row r="547" spans="1:7" ht="24">
      <c r="A547" s="191" t="s">
        <v>61</v>
      </c>
      <c r="B547" s="227" t="s">
        <v>513</v>
      </c>
      <c r="C547" s="105" t="s">
        <v>506</v>
      </c>
      <c r="D547" s="194" t="s">
        <v>71</v>
      </c>
      <c r="E547" s="197">
        <v>4</v>
      </c>
      <c r="G547" s="119">
        <f t="shared" si="7"/>
        <v>0</v>
      </c>
    </row>
    <row r="548" ht="90">
      <c r="C548" s="161" t="s">
        <v>503</v>
      </c>
    </row>
    <row r="549" spans="3:7" ht="12">
      <c r="C549" s="108" t="s">
        <v>512</v>
      </c>
      <c r="D549" s="117" t="s">
        <v>51</v>
      </c>
      <c r="E549" s="225">
        <v>0.08</v>
      </c>
      <c r="F549" s="175"/>
      <c r="G549" s="119">
        <f t="shared" si="7"/>
        <v>0</v>
      </c>
    </row>
    <row r="550" spans="3:6" ht="12">
      <c r="C550" s="108"/>
      <c r="E550" s="225"/>
      <c r="F550" s="175"/>
    </row>
    <row r="551" spans="3:7" ht="12">
      <c r="C551" s="256" t="s">
        <v>542</v>
      </c>
      <c r="D551" s="117" t="s">
        <v>523</v>
      </c>
      <c r="E551" s="197" t="s">
        <v>31</v>
      </c>
      <c r="F551" s="175"/>
      <c r="G551" s="127">
        <f>SUM(G554:G562)</f>
        <v>0</v>
      </c>
    </row>
    <row r="552" spans="3:6" ht="12">
      <c r="C552" s="108" t="s">
        <v>545</v>
      </c>
      <c r="E552" s="225"/>
      <c r="F552" s="175"/>
    </row>
    <row r="553" spans="3:6" ht="12">
      <c r="C553" s="108"/>
      <c r="E553" s="225"/>
      <c r="F553" s="175"/>
    </row>
    <row r="554" spans="2:7" ht="12">
      <c r="B554" s="227" t="s">
        <v>513</v>
      </c>
      <c r="C554" s="108" t="s">
        <v>544</v>
      </c>
      <c r="D554" s="117" t="s">
        <v>59</v>
      </c>
      <c r="E554" s="225">
        <f>6*14</f>
        <v>84</v>
      </c>
      <c r="F554" s="175"/>
      <c r="G554" s="119">
        <f aca="true" t="shared" si="8" ref="G554:G562">E554*F554</f>
        <v>0</v>
      </c>
    </row>
    <row r="555" spans="2:6" ht="48">
      <c r="B555" s="227" t="s">
        <v>513</v>
      </c>
      <c r="C555" s="104" t="s">
        <v>574</v>
      </c>
      <c r="D555" s="117" t="s">
        <v>68</v>
      </c>
      <c r="E555" s="225">
        <v>4</v>
      </c>
      <c r="F555" s="175"/>
    </row>
    <row r="556" spans="2:7" ht="12">
      <c r="B556" s="227" t="s">
        <v>513</v>
      </c>
      <c r="C556" s="104" t="s">
        <v>546</v>
      </c>
      <c r="D556" s="117" t="s">
        <v>68</v>
      </c>
      <c r="E556" s="225">
        <v>4</v>
      </c>
      <c r="F556" s="175"/>
      <c r="G556" s="119">
        <f t="shared" si="8"/>
        <v>0</v>
      </c>
    </row>
    <row r="557" spans="2:7" ht="12">
      <c r="B557" s="227" t="s">
        <v>513</v>
      </c>
      <c r="C557" s="104" t="s">
        <v>547</v>
      </c>
      <c r="D557" s="117" t="s">
        <v>68</v>
      </c>
      <c r="E557" s="225">
        <v>3</v>
      </c>
      <c r="F557" s="175"/>
      <c r="G557" s="119">
        <f t="shared" si="8"/>
        <v>0</v>
      </c>
    </row>
    <row r="558" spans="2:7" ht="12">
      <c r="B558" s="227" t="s">
        <v>513</v>
      </c>
      <c r="C558" s="104" t="s">
        <v>548</v>
      </c>
      <c r="D558" s="117" t="s">
        <v>68</v>
      </c>
      <c r="E558" s="225">
        <v>1</v>
      </c>
      <c r="F558" s="175"/>
      <c r="G558" s="119">
        <f t="shared" si="8"/>
        <v>0</v>
      </c>
    </row>
    <row r="559" spans="2:7" ht="12">
      <c r="B559" s="227" t="s">
        <v>513</v>
      </c>
      <c r="C559" s="104" t="s">
        <v>549</v>
      </c>
      <c r="D559" s="117" t="s">
        <v>68</v>
      </c>
      <c r="E559" s="225">
        <v>1</v>
      </c>
      <c r="F559" s="175"/>
      <c r="G559" s="119">
        <f t="shared" si="8"/>
        <v>0</v>
      </c>
    </row>
    <row r="560" spans="2:7" ht="12">
      <c r="B560" s="227" t="s">
        <v>513</v>
      </c>
      <c r="C560" s="104" t="s">
        <v>550</v>
      </c>
      <c r="D560" s="117" t="s">
        <v>68</v>
      </c>
      <c r="E560" s="225">
        <v>1</v>
      </c>
      <c r="F560" s="175"/>
      <c r="G560" s="119">
        <f t="shared" si="8"/>
        <v>0</v>
      </c>
    </row>
    <row r="561" spans="2:7" ht="12">
      <c r="B561" s="227" t="s">
        <v>513</v>
      </c>
      <c r="C561" s="108" t="s">
        <v>551</v>
      </c>
      <c r="D561" s="117" t="s">
        <v>68</v>
      </c>
      <c r="E561" s="225">
        <v>14</v>
      </c>
      <c r="F561" s="175"/>
      <c r="G561" s="119">
        <f t="shared" si="8"/>
        <v>0</v>
      </c>
    </row>
    <row r="562" spans="2:7" ht="12">
      <c r="B562" s="227" t="s">
        <v>513</v>
      </c>
      <c r="C562" s="108" t="s">
        <v>552</v>
      </c>
      <c r="D562" s="117" t="s">
        <v>17</v>
      </c>
      <c r="E562" s="225">
        <f>14*0.02+0.7745</f>
        <v>1.0545</v>
      </c>
      <c r="F562" s="175"/>
      <c r="G562" s="119">
        <f t="shared" si="8"/>
        <v>0</v>
      </c>
    </row>
    <row r="563" ht="12">
      <c r="F563" s="175"/>
    </row>
    <row r="564" spans="3:7" ht="12.75">
      <c r="C564" s="94" t="s">
        <v>558</v>
      </c>
      <c r="D564" s="117" t="s">
        <v>523</v>
      </c>
      <c r="E564" s="197" t="s">
        <v>31</v>
      </c>
      <c r="G564" s="127">
        <f>SUM(G566:G611)</f>
        <v>0</v>
      </c>
    </row>
    <row r="565" spans="3:7" ht="12.75">
      <c r="C565" s="94"/>
      <c r="G565" s="127"/>
    </row>
    <row r="566" spans="2:7" ht="96">
      <c r="B566" s="227" t="s">
        <v>513</v>
      </c>
      <c r="C566" s="102" t="s">
        <v>522</v>
      </c>
      <c r="D566" s="258" t="s">
        <v>71</v>
      </c>
      <c r="E566" s="192">
        <f>SUM(E567:E575)</f>
        <v>31</v>
      </c>
      <c r="F566" s="192"/>
      <c r="G566" s="212">
        <f>E566*F566</f>
        <v>0</v>
      </c>
    </row>
    <row r="567" spans="3:6" ht="12">
      <c r="C567" s="52" t="s">
        <v>411</v>
      </c>
      <c r="D567" s="53" t="s">
        <v>71</v>
      </c>
      <c r="E567" s="54">
        <v>3</v>
      </c>
      <c r="F567" s="85"/>
    </row>
    <row r="568" spans="3:6" ht="12">
      <c r="C568" s="52" t="s">
        <v>421</v>
      </c>
      <c r="D568" s="53" t="s">
        <v>71</v>
      </c>
      <c r="E568" s="229">
        <v>3</v>
      </c>
      <c r="F568" s="85"/>
    </row>
    <row r="569" spans="3:6" ht="12">
      <c r="C569" s="52" t="s">
        <v>428</v>
      </c>
      <c r="D569" s="53" t="s">
        <v>71</v>
      </c>
      <c r="E569" s="58">
        <v>3</v>
      </c>
      <c r="F569" s="85"/>
    </row>
    <row r="570" spans="3:6" ht="12">
      <c r="C570" s="52" t="s">
        <v>445</v>
      </c>
      <c r="D570" s="53" t="s">
        <v>71</v>
      </c>
      <c r="E570" s="229">
        <v>3</v>
      </c>
      <c r="F570" s="85"/>
    </row>
    <row r="571" spans="3:6" ht="12">
      <c r="C571" s="52" t="s">
        <v>456</v>
      </c>
      <c r="D571" s="53" t="s">
        <v>71</v>
      </c>
      <c r="E571" s="58">
        <v>3</v>
      </c>
      <c r="F571" s="85"/>
    </row>
    <row r="572" spans="3:6" ht="12">
      <c r="C572" s="52" t="s">
        <v>467</v>
      </c>
      <c r="D572" s="53" t="s">
        <v>71</v>
      </c>
      <c r="E572" s="229">
        <v>5</v>
      </c>
      <c r="F572" s="85"/>
    </row>
    <row r="573" spans="3:6" ht="12">
      <c r="C573" s="52" t="s">
        <v>475</v>
      </c>
      <c r="D573" s="53" t="s">
        <v>71</v>
      </c>
      <c r="E573" s="58">
        <v>5</v>
      </c>
      <c r="F573" s="85"/>
    </row>
    <row r="574" spans="3:6" ht="12">
      <c r="C574" s="52" t="s">
        <v>484</v>
      </c>
      <c r="D574" s="53" t="s">
        <v>71</v>
      </c>
      <c r="E574" s="229">
        <v>3</v>
      </c>
      <c r="F574" s="85"/>
    </row>
    <row r="575" spans="3:6" ht="12">
      <c r="C575" s="52" t="s">
        <v>492</v>
      </c>
      <c r="D575" s="53" t="s">
        <v>71</v>
      </c>
      <c r="E575" s="58">
        <v>3</v>
      </c>
      <c r="F575" s="85"/>
    </row>
    <row r="576" spans="4:6" ht="12">
      <c r="D576" s="108"/>
      <c r="E576" s="85"/>
      <c r="F576" s="85"/>
    </row>
    <row r="577" spans="2:7" ht="84">
      <c r="B577" s="227" t="s">
        <v>513</v>
      </c>
      <c r="C577" s="107" t="s">
        <v>338</v>
      </c>
      <c r="D577" s="194" t="s">
        <v>71</v>
      </c>
      <c r="E577" s="192">
        <f>SUM(E578:E586)</f>
        <v>5</v>
      </c>
      <c r="F577" s="192"/>
      <c r="G577" s="212">
        <f>E577*F577</f>
        <v>0</v>
      </c>
    </row>
    <row r="578" spans="1:10" s="52" customFormat="1" ht="12">
      <c r="A578" s="49"/>
      <c r="B578" s="51"/>
      <c r="C578" s="52" t="s">
        <v>411</v>
      </c>
      <c r="D578" s="53" t="s">
        <v>71</v>
      </c>
      <c r="E578" s="54">
        <v>0</v>
      </c>
      <c r="F578" s="55"/>
      <c r="G578" s="55"/>
      <c r="H578" s="56"/>
      <c r="I578" s="57"/>
      <c r="J578" s="58"/>
    </row>
    <row r="579" spans="1:10" s="52" customFormat="1" ht="12">
      <c r="A579" s="49"/>
      <c r="B579" s="51"/>
      <c r="C579" s="52" t="s">
        <v>421</v>
      </c>
      <c r="D579" s="53" t="s">
        <v>71</v>
      </c>
      <c r="E579" s="229">
        <v>1</v>
      </c>
      <c r="F579" s="55"/>
      <c r="G579" s="55"/>
      <c r="H579" s="56"/>
      <c r="I579" s="57"/>
      <c r="J579" s="58"/>
    </row>
    <row r="580" spans="1:10" s="52" customFormat="1" ht="12">
      <c r="A580" s="49"/>
      <c r="B580" s="51"/>
      <c r="C580" s="52" t="s">
        <v>428</v>
      </c>
      <c r="D580" s="53" t="s">
        <v>71</v>
      </c>
      <c r="E580" s="58">
        <v>1</v>
      </c>
      <c r="F580" s="55"/>
      <c r="G580" s="55"/>
      <c r="H580" s="56"/>
      <c r="I580" s="57"/>
      <c r="J580" s="58"/>
    </row>
    <row r="581" spans="1:10" s="52" customFormat="1" ht="12">
      <c r="A581" s="49"/>
      <c r="B581" s="51"/>
      <c r="C581" s="52" t="s">
        <v>445</v>
      </c>
      <c r="D581" s="53" t="s">
        <v>71</v>
      </c>
      <c r="E581" s="229">
        <v>1</v>
      </c>
      <c r="F581" s="55"/>
      <c r="G581" s="55"/>
      <c r="H581" s="56"/>
      <c r="I581" s="57"/>
      <c r="J581" s="58"/>
    </row>
    <row r="582" spans="1:10" s="52" customFormat="1" ht="12">
      <c r="A582" s="49"/>
      <c r="B582" s="51"/>
      <c r="C582" s="52" t="s">
        <v>456</v>
      </c>
      <c r="D582" s="53" t="s">
        <v>71</v>
      </c>
      <c r="E582" s="58">
        <v>0</v>
      </c>
      <c r="F582" s="55"/>
      <c r="G582" s="55"/>
      <c r="H582" s="56"/>
      <c r="I582" s="57"/>
      <c r="J582" s="58"/>
    </row>
    <row r="583" spans="1:10" s="52" customFormat="1" ht="12">
      <c r="A583" s="49"/>
      <c r="B583" s="51"/>
      <c r="C583" s="52" t="s">
        <v>467</v>
      </c>
      <c r="D583" s="53" t="s">
        <v>71</v>
      </c>
      <c r="E583" s="229">
        <v>0</v>
      </c>
      <c r="F583" s="55"/>
      <c r="G583" s="55"/>
      <c r="H583" s="56"/>
      <c r="I583" s="57"/>
      <c r="J583" s="58"/>
    </row>
    <row r="584" spans="1:10" s="52" customFormat="1" ht="12">
      <c r="A584" s="49"/>
      <c r="B584" s="51"/>
      <c r="C584" s="52" t="s">
        <v>475</v>
      </c>
      <c r="D584" s="53" t="s">
        <v>71</v>
      </c>
      <c r="E584" s="58">
        <v>0</v>
      </c>
      <c r="F584" s="55"/>
      <c r="G584" s="55"/>
      <c r="H584" s="56"/>
      <c r="I584" s="57"/>
      <c r="J584" s="58"/>
    </row>
    <row r="585" spans="1:10" s="52" customFormat="1" ht="12">
      <c r="A585" s="49"/>
      <c r="B585" s="51"/>
      <c r="C585" s="52" t="s">
        <v>484</v>
      </c>
      <c r="D585" s="53" t="s">
        <v>71</v>
      </c>
      <c r="E585" s="229">
        <v>1</v>
      </c>
      <c r="F585" s="55"/>
      <c r="G585" s="55"/>
      <c r="H585" s="56"/>
      <c r="I585" s="57"/>
      <c r="J585" s="58"/>
    </row>
    <row r="586" spans="1:10" s="52" customFormat="1" ht="12">
      <c r="A586" s="49"/>
      <c r="B586" s="51"/>
      <c r="C586" s="52" t="s">
        <v>492</v>
      </c>
      <c r="D586" s="53" t="s">
        <v>71</v>
      </c>
      <c r="E586" s="58">
        <v>1</v>
      </c>
      <c r="F586" s="55"/>
      <c r="G586" s="55"/>
      <c r="H586" s="56"/>
      <c r="I586" s="57"/>
      <c r="J586" s="58"/>
    </row>
    <row r="588" spans="2:9" ht="96">
      <c r="B588" s="227" t="s">
        <v>513</v>
      </c>
      <c r="C588" s="83" t="s">
        <v>521</v>
      </c>
      <c r="D588" s="194" t="s">
        <v>71</v>
      </c>
      <c r="E588" s="192">
        <f>SUM(E589:E597)</f>
        <v>13</v>
      </c>
      <c r="F588" s="192"/>
      <c r="G588" s="212">
        <f>E588*F588</f>
        <v>0</v>
      </c>
      <c r="I588" s="153"/>
    </row>
    <row r="589" spans="2:9" ht="12">
      <c r="B589" s="150"/>
      <c r="C589" s="52" t="s">
        <v>411</v>
      </c>
      <c r="D589" s="53" t="s">
        <v>71</v>
      </c>
      <c r="E589" s="54">
        <v>1</v>
      </c>
      <c r="F589" s="85"/>
      <c r="G589" s="156"/>
      <c r="I589" s="153"/>
    </row>
    <row r="590" spans="2:9" ht="12">
      <c r="B590" s="150"/>
      <c r="C590" s="52" t="s">
        <v>421</v>
      </c>
      <c r="D590" s="53" t="s">
        <v>71</v>
      </c>
      <c r="E590" s="229">
        <v>1</v>
      </c>
      <c r="F590" s="85"/>
      <c r="G590" s="156"/>
      <c r="I590" s="153"/>
    </row>
    <row r="591" spans="2:9" ht="12">
      <c r="B591" s="150"/>
      <c r="C591" s="52" t="s">
        <v>428</v>
      </c>
      <c r="D591" s="53" t="s">
        <v>71</v>
      </c>
      <c r="E591" s="54">
        <v>1</v>
      </c>
      <c r="F591" s="85"/>
      <c r="G591" s="156"/>
      <c r="I591" s="153"/>
    </row>
    <row r="592" spans="2:9" ht="12">
      <c r="B592" s="150"/>
      <c r="C592" s="52" t="s">
        <v>445</v>
      </c>
      <c r="D592" s="53" t="s">
        <v>71</v>
      </c>
      <c r="E592" s="229">
        <v>1</v>
      </c>
      <c r="F592" s="85"/>
      <c r="G592" s="156"/>
      <c r="I592" s="153"/>
    </row>
    <row r="593" spans="2:9" ht="12">
      <c r="B593" s="150"/>
      <c r="C593" s="52" t="s">
        <v>456</v>
      </c>
      <c r="D593" s="53" t="s">
        <v>71</v>
      </c>
      <c r="E593" s="54">
        <v>1</v>
      </c>
      <c r="F593" s="85"/>
      <c r="G593" s="156"/>
      <c r="I593" s="153"/>
    </row>
    <row r="594" spans="2:9" ht="12">
      <c r="B594" s="150"/>
      <c r="C594" s="52" t="s">
        <v>467</v>
      </c>
      <c r="D594" s="53" t="s">
        <v>71</v>
      </c>
      <c r="E594" s="229">
        <v>3</v>
      </c>
      <c r="F594" s="85"/>
      <c r="G594" s="156"/>
      <c r="I594" s="153"/>
    </row>
    <row r="595" spans="2:9" ht="12">
      <c r="B595" s="150"/>
      <c r="C595" s="52" t="s">
        <v>475</v>
      </c>
      <c r="D595" s="53" t="s">
        <v>71</v>
      </c>
      <c r="E595" s="54">
        <v>3</v>
      </c>
      <c r="F595" s="85"/>
      <c r="G595" s="156"/>
      <c r="I595" s="153"/>
    </row>
    <row r="596" spans="2:9" ht="12">
      <c r="B596" s="150"/>
      <c r="C596" s="52" t="s">
        <v>484</v>
      </c>
      <c r="D596" s="53" t="s">
        <v>71</v>
      </c>
      <c r="E596" s="229">
        <v>1</v>
      </c>
      <c r="F596" s="85"/>
      <c r="G596" s="156"/>
      <c r="I596" s="153"/>
    </row>
    <row r="597" spans="2:9" ht="12">
      <c r="B597" s="150"/>
      <c r="C597" s="52" t="s">
        <v>492</v>
      </c>
      <c r="D597" s="53" t="s">
        <v>71</v>
      </c>
      <c r="E597" s="54">
        <v>1</v>
      </c>
      <c r="F597" s="156"/>
      <c r="G597" s="156"/>
      <c r="I597" s="153"/>
    </row>
    <row r="598" spans="2:9" ht="12">
      <c r="B598" s="150"/>
      <c r="C598" s="52"/>
      <c r="D598" s="53"/>
      <c r="E598" s="54"/>
      <c r="F598" s="156"/>
      <c r="G598" s="156"/>
      <c r="I598" s="153"/>
    </row>
    <row r="599" spans="2:9" ht="84">
      <c r="B599" s="227" t="s">
        <v>513</v>
      </c>
      <c r="C599" s="102" t="s">
        <v>339</v>
      </c>
      <c r="D599" s="194" t="s">
        <v>71</v>
      </c>
      <c r="E599" s="192">
        <f>SUM(E600:E608)</f>
        <v>27</v>
      </c>
      <c r="F599" s="192"/>
      <c r="G599" s="119">
        <f>E599*F599</f>
        <v>0</v>
      </c>
      <c r="I599" s="153"/>
    </row>
    <row r="600" spans="2:9" ht="12">
      <c r="B600" s="150"/>
      <c r="C600" s="52" t="s">
        <v>411</v>
      </c>
      <c r="D600" s="53" t="s">
        <v>71</v>
      </c>
      <c r="E600" s="54">
        <v>3</v>
      </c>
      <c r="F600" s="156"/>
      <c r="G600" s="156"/>
      <c r="I600" s="153"/>
    </row>
    <row r="601" spans="2:9" ht="12">
      <c r="B601" s="150"/>
      <c r="C601" s="52" t="s">
        <v>421</v>
      </c>
      <c r="D601" s="53" t="s">
        <v>71</v>
      </c>
      <c r="E601" s="229">
        <v>3</v>
      </c>
      <c r="F601" s="156"/>
      <c r="G601" s="156"/>
      <c r="I601" s="153"/>
    </row>
    <row r="602" spans="2:9" ht="12">
      <c r="B602" s="150"/>
      <c r="C602" s="52" t="s">
        <v>428</v>
      </c>
      <c r="D602" s="53" t="s">
        <v>71</v>
      </c>
      <c r="E602" s="58">
        <v>3</v>
      </c>
      <c r="F602" s="156"/>
      <c r="G602" s="156"/>
      <c r="I602" s="153"/>
    </row>
    <row r="603" spans="2:9" ht="12">
      <c r="B603" s="150"/>
      <c r="C603" s="52" t="s">
        <v>445</v>
      </c>
      <c r="D603" s="53" t="s">
        <v>71</v>
      </c>
      <c r="E603" s="229">
        <v>3</v>
      </c>
      <c r="F603" s="156"/>
      <c r="G603" s="156"/>
      <c r="I603" s="153"/>
    </row>
    <row r="604" spans="2:9" ht="12">
      <c r="B604" s="150"/>
      <c r="C604" s="52" t="s">
        <v>456</v>
      </c>
      <c r="D604" s="53" t="s">
        <v>71</v>
      </c>
      <c r="E604" s="58">
        <v>3</v>
      </c>
      <c r="F604" s="156"/>
      <c r="G604" s="156"/>
      <c r="I604" s="153"/>
    </row>
    <row r="605" spans="2:9" ht="12">
      <c r="B605" s="150"/>
      <c r="C605" s="52" t="s">
        <v>467</v>
      </c>
      <c r="D605" s="53" t="s">
        <v>71</v>
      </c>
      <c r="E605" s="229">
        <v>3</v>
      </c>
      <c r="F605" s="156"/>
      <c r="G605" s="156"/>
      <c r="I605" s="153"/>
    </row>
    <row r="606" spans="2:9" ht="12">
      <c r="B606" s="150"/>
      <c r="C606" s="52" t="s">
        <v>475</v>
      </c>
      <c r="D606" s="53" t="s">
        <v>71</v>
      </c>
      <c r="E606" s="58">
        <v>3</v>
      </c>
      <c r="F606" s="156"/>
      <c r="G606" s="156"/>
      <c r="I606" s="153"/>
    </row>
    <row r="607" spans="2:9" ht="12">
      <c r="B607" s="150"/>
      <c r="C607" s="52" t="s">
        <v>484</v>
      </c>
      <c r="D607" s="53" t="s">
        <v>71</v>
      </c>
      <c r="E607" s="229">
        <v>3</v>
      </c>
      <c r="F607" s="156"/>
      <c r="G607" s="156"/>
      <c r="H607" s="159"/>
      <c r="I607" s="153"/>
    </row>
    <row r="608" spans="2:9" ht="12">
      <c r="B608" s="150"/>
      <c r="C608" s="52" t="s">
        <v>492</v>
      </c>
      <c r="D608" s="53" t="s">
        <v>71</v>
      </c>
      <c r="E608" s="58">
        <v>3</v>
      </c>
      <c r="F608" s="156"/>
      <c r="G608" s="156"/>
      <c r="I608" s="153"/>
    </row>
    <row r="609" spans="2:9" ht="12">
      <c r="B609" s="150"/>
      <c r="D609" s="155"/>
      <c r="E609" s="202"/>
      <c r="F609" s="156"/>
      <c r="G609" s="156"/>
      <c r="H609" s="159"/>
      <c r="I609" s="153"/>
    </row>
    <row r="610" spans="2:9" ht="12">
      <c r="B610" s="227" t="s">
        <v>513</v>
      </c>
      <c r="C610" s="102" t="s">
        <v>524</v>
      </c>
      <c r="D610" s="116" t="s">
        <v>68</v>
      </c>
      <c r="E610" s="203">
        <v>1</v>
      </c>
      <c r="F610" s="119"/>
      <c r="G610" s="119">
        <f>E610*F610</f>
        <v>0</v>
      </c>
      <c r="I610" s="153"/>
    </row>
    <row r="611" spans="2:9" ht="12">
      <c r="B611" s="150"/>
      <c r="C611" s="161"/>
      <c r="D611" s="116"/>
      <c r="E611" s="203"/>
      <c r="F611" s="119"/>
      <c r="I611" s="153"/>
    </row>
    <row r="612" spans="2:9" ht="12.75">
      <c r="B612" s="150"/>
      <c r="C612" s="94" t="s">
        <v>559</v>
      </c>
      <c r="D612" s="117" t="s">
        <v>523</v>
      </c>
      <c r="E612" s="197" t="s">
        <v>31</v>
      </c>
      <c r="F612" s="119"/>
      <c r="G612" s="127">
        <f>SUM(G613:G710)</f>
        <v>0</v>
      </c>
      <c r="I612" s="153"/>
    </row>
    <row r="613" spans="1:19" s="261" customFormat="1" ht="108.75">
      <c r="A613" s="259" t="s">
        <v>76</v>
      </c>
      <c r="B613" s="227" t="s">
        <v>513</v>
      </c>
      <c r="C613" s="102" t="s">
        <v>335</v>
      </c>
      <c r="D613" s="261" t="s">
        <v>71</v>
      </c>
      <c r="E613" s="85">
        <f>SUM(E614:E622)</f>
        <v>9</v>
      </c>
      <c r="F613" s="85"/>
      <c r="G613" s="103">
        <f>E613*F613</f>
        <v>0</v>
      </c>
      <c r="H613" s="264"/>
      <c r="I613" s="265"/>
      <c r="J613" s="266"/>
      <c r="K613" s="265"/>
      <c r="L613" s="267"/>
      <c r="M613" s="265"/>
      <c r="N613" s="265"/>
      <c r="O613" s="268"/>
      <c r="P613" s="266"/>
      <c r="Q613" s="267"/>
      <c r="R613" s="265"/>
      <c r="S613" s="265"/>
    </row>
    <row r="614" spans="1:19" s="261" customFormat="1" ht="15">
      <c r="A614" s="259"/>
      <c r="B614" s="269"/>
      <c r="C614" s="102" t="s">
        <v>411</v>
      </c>
      <c r="D614" s="155" t="s">
        <v>71</v>
      </c>
      <c r="E614" s="282">
        <v>1</v>
      </c>
      <c r="F614" s="85"/>
      <c r="G614" s="103"/>
      <c r="H614" s="264"/>
      <c r="I614" s="265"/>
      <c r="J614" s="266"/>
      <c r="K614" s="265"/>
      <c r="L614" s="267"/>
      <c r="M614" s="265"/>
      <c r="N614" s="265"/>
      <c r="O614" s="268"/>
      <c r="P614" s="266"/>
      <c r="Q614" s="267"/>
      <c r="R614" s="265"/>
      <c r="S614" s="265"/>
    </row>
    <row r="615" spans="1:19" s="261" customFormat="1" ht="15">
      <c r="A615" s="259"/>
      <c r="B615" s="269"/>
      <c r="C615" s="102" t="s">
        <v>421</v>
      </c>
      <c r="D615" s="155" t="s">
        <v>71</v>
      </c>
      <c r="E615" s="223">
        <v>1</v>
      </c>
      <c r="F615" s="85"/>
      <c r="G615" s="103"/>
      <c r="H615" s="264"/>
      <c r="I615" s="265"/>
      <c r="J615" s="266"/>
      <c r="K615" s="265"/>
      <c r="L615" s="267"/>
      <c r="M615" s="265"/>
      <c r="N615" s="265"/>
      <c r="O615" s="268"/>
      <c r="P615" s="266"/>
      <c r="Q615" s="267"/>
      <c r="R615" s="265"/>
      <c r="S615" s="265"/>
    </row>
    <row r="616" spans="1:19" s="261" customFormat="1" ht="15">
      <c r="A616" s="259"/>
      <c r="B616" s="269"/>
      <c r="C616" s="102" t="s">
        <v>428</v>
      </c>
      <c r="D616" s="155" t="s">
        <v>71</v>
      </c>
      <c r="E616" s="282">
        <v>1</v>
      </c>
      <c r="F616" s="85"/>
      <c r="G616" s="103"/>
      <c r="H616" s="264"/>
      <c r="I616" s="265"/>
      <c r="J616" s="266"/>
      <c r="K616" s="265"/>
      <c r="L616" s="267"/>
      <c r="M616" s="265"/>
      <c r="N616" s="265"/>
      <c r="O616" s="268"/>
      <c r="P616" s="266"/>
      <c r="Q616" s="267"/>
      <c r="R616" s="265"/>
      <c r="S616" s="265"/>
    </row>
    <row r="617" spans="1:19" s="261" customFormat="1" ht="15">
      <c r="A617" s="259"/>
      <c r="B617" s="269"/>
      <c r="C617" s="102" t="s">
        <v>445</v>
      </c>
      <c r="D617" s="155" t="s">
        <v>71</v>
      </c>
      <c r="E617" s="223">
        <v>1</v>
      </c>
      <c r="F617" s="85"/>
      <c r="G617" s="103"/>
      <c r="H617" s="264"/>
      <c r="I617" s="265"/>
      <c r="J617" s="266"/>
      <c r="K617" s="265"/>
      <c r="L617" s="267"/>
      <c r="M617" s="265"/>
      <c r="N617" s="265"/>
      <c r="O617" s="268"/>
      <c r="P617" s="266"/>
      <c r="Q617" s="267"/>
      <c r="R617" s="265"/>
      <c r="S617" s="265"/>
    </row>
    <row r="618" spans="1:19" s="261" customFormat="1" ht="15">
      <c r="A618" s="259"/>
      <c r="B618" s="269"/>
      <c r="C618" s="102" t="s">
        <v>456</v>
      </c>
      <c r="D618" s="155" t="s">
        <v>71</v>
      </c>
      <c r="E618" s="282">
        <v>1</v>
      </c>
      <c r="F618" s="85"/>
      <c r="G618" s="103"/>
      <c r="H618" s="264"/>
      <c r="I618" s="265"/>
      <c r="J618" s="266"/>
      <c r="K618" s="265"/>
      <c r="L618" s="267"/>
      <c r="M618" s="265"/>
      <c r="N618" s="265"/>
      <c r="O618" s="268"/>
      <c r="P618" s="266"/>
      <c r="Q618" s="267"/>
      <c r="R618" s="265"/>
      <c r="S618" s="265"/>
    </row>
    <row r="619" spans="1:19" s="261" customFormat="1" ht="15">
      <c r="A619" s="259"/>
      <c r="B619" s="269"/>
      <c r="C619" s="102" t="s">
        <v>467</v>
      </c>
      <c r="D619" s="155" t="s">
        <v>71</v>
      </c>
      <c r="E619" s="223">
        <v>1</v>
      </c>
      <c r="F619" s="85"/>
      <c r="G619" s="103"/>
      <c r="H619" s="264"/>
      <c r="I619" s="265"/>
      <c r="J619" s="266"/>
      <c r="K619" s="265"/>
      <c r="L619" s="267"/>
      <c r="M619" s="265"/>
      <c r="N619" s="265"/>
      <c r="O619" s="268"/>
      <c r="P619" s="266"/>
      <c r="Q619" s="267"/>
      <c r="R619" s="265"/>
      <c r="S619" s="265"/>
    </row>
    <row r="620" spans="1:19" s="261" customFormat="1" ht="15">
      <c r="A620" s="259"/>
      <c r="B620" s="269"/>
      <c r="C620" s="102" t="s">
        <v>475</v>
      </c>
      <c r="D620" s="155" t="s">
        <v>71</v>
      </c>
      <c r="E620" s="282">
        <v>1</v>
      </c>
      <c r="F620" s="85"/>
      <c r="G620" s="103"/>
      <c r="H620" s="264"/>
      <c r="I620" s="265"/>
      <c r="J620" s="266"/>
      <c r="K620" s="265"/>
      <c r="L620" s="267"/>
      <c r="M620" s="265"/>
      <c r="N620" s="265"/>
      <c r="O620" s="268"/>
      <c r="P620" s="266"/>
      <c r="Q620" s="267"/>
      <c r="R620" s="265"/>
      <c r="S620" s="265"/>
    </row>
    <row r="621" spans="1:19" s="261" customFormat="1" ht="15">
      <c r="A621" s="259"/>
      <c r="B621" s="269"/>
      <c r="C621" s="102" t="s">
        <v>484</v>
      </c>
      <c r="D621" s="155" t="s">
        <v>71</v>
      </c>
      <c r="E621" s="223">
        <v>1</v>
      </c>
      <c r="F621" s="85"/>
      <c r="G621" s="103"/>
      <c r="H621" s="264"/>
      <c r="I621" s="265"/>
      <c r="J621" s="266"/>
      <c r="K621" s="265"/>
      <c r="L621" s="267"/>
      <c r="M621" s="265"/>
      <c r="N621" s="265"/>
      <c r="O621" s="268"/>
      <c r="P621" s="266"/>
      <c r="Q621" s="267"/>
      <c r="R621" s="265"/>
      <c r="S621" s="265"/>
    </row>
    <row r="622" spans="1:19" s="261" customFormat="1" ht="15">
      <c r="A622" s="259"/>
      <c r="B622" s="269"/>
      <c r="C622" s="102" t="s">
        <v>492</v>
      </c>
      <c r="D622" s="155" t="s">
        <v>71</v>
      </c>
      <c r="E622" s="282">
        <v>1</v>
      </c>
      <c r="F622" s="85"/>
      <c r="G622" s="103"/>
      <c r="H622" s="264"/>
      <c r="I622" s="265"/>
      <c r="J622" s="266"/>
      <c r="K622" s="265"/>
      <c r="L622" s="267"/>
      <c r="M622" s="265"/>
      <c r="N622" s="265"/>
      <c r="O622" s="268"/>
      <c r="P622" s="266"/>
      <c r="Q622" s="267"/>
      <c r="R622" s="265"/>
      <c r="S622" s="265"/>
    </row>
    <row r="623" spans="1:19" s="261" customFormat="1" ht="15">
      <c r="A623" s="259"/>
      <c r="B623" s="269"/>
      <c r="C623" s="260"/>
      <c r="E623" s="85"/>
      <c r="F623" s="85"/>
      <c r="G623" s="103"/>
      <c r="H623" s="264"/>
      <c r="I623" s="265"/>
      <c r="J623" s="266"/>
      <c r="K623" s="265"/>
      <c r="L623" s="267"/>
      <c r="M623" s="265"/>
      <c r="N623" s="265"/>
      <c r="O623" s="268"/>
      <c r="P623" s="266"/>
      <c r="Q623" s="267"/>
      <c r="R623" s="265"/>
      <c r="S623" s="265"/>
    </row>
    <row r="624" spans="1:19" s="261" customFormat="1" ht="60.75">
      <c r="A624" s="259" t="s">
        <v>78</v>
      </c>
      <c r="B624" s="227" t="s">
        <v>513</v>
      </c>
      <c r="C624" s="104" t="s">
        <v>336</v>
      </c>
      <c r="D624" s="261" t="s">
        <v>71</v>
      </c>
      <c r="E624" s="85">
        <f>SUM(E625:E633)</f>
        <v>9</v>
      </c>
      <c r="F624" s="85"/>
      <c r="G624" s="103">
        <f>E624*F624</f>
        <v>0</v>
      </c>
      <c r="H624" s="264"/>
      <c r="I624" s="265"/>
      <c r="J624" s="266"/>
      <c r="K624" s="265"/>
      <c r="L624" s="267"/>
      <c r="M624" s="265"/>
      <c r="N624" s="265"/>
      <c r="O624" s="268"/>
      <c r="P624" s="266"/>
      <c r="Q624" s="267"/>
      <c r="R624" s="265"/>
      <c r="S624" s="265"/>
    </row>
    <row r="625" spans="1:19" s="261" customFormat="1" ht="15">
      <c r="A625" s="259"/>
      <c r="B625" s="269"/>
      <c r="C625" s="102" t="s">
        <v>411</v>
      </c>
      <c r="D625" s="155" t="s">
        <v>71</v>
      </c>
      <c r="E625" s="282">
        <v>1</v>
      </c>
      <c r="F625" s="85"/>
      <c r="G625" s="103"/>
      <c r="H625" s="264"/>
      <c r="I625" s="265"/>
      <c r="J625" s="266"/>
      <c r="K625" s="265"/>
      <c r="L625" s="267"/>
      <c r="M625" s="265"/>
      <c r="N625" s="265"/>
      <c r="O625" s="268"/>
      <c r="P625" s="266"/>
      <c r="Q625" s="267"/>
      <c r="R625" s="265"/>
      <c r="S625" s="265"/>
    </row>
    <row r="626" spans="1:19" s="261" customFormat="1" ht="15">
      <c r="A626" s="259"/>
      <c r="B626" s="269"/>
      <c r="C626" s="102" t="s">
        <v>421</v>
      </c>
      <c r="D626" s="155" t="s">
        <v>71</v>
      </c>
      <c r="E626" s="223">
        <v>1</v>
      </c>
      <c r="F626" s="85"/>
      <c r="G626" s="103"/>
      <c r="H626" s="264"/>
      <c r="I626" s="265"/>
      <c r="J626" s="266"/>
      <c r="K626" s="265"/>
      <c r="L626" s="267"/>
      <c r="M626" s="265"/>
      <c r="N626" s="265"/>
      <c r="O626" s="268"/>
      <c r="P626" s="266"/>
      <c r="Q626" s="267"/>
      <c r="R626" s="265"/>
      <c r="S626" s="265"/>
    </row>
    <row r="627" spans="1:19" s="261" customFormat="1" ht="15">
      <c r="A627" s="259"/>
      <c r="B627" s="269"/>
      <c r="C627" s="102" t="s">
        <v>428</v>
      </c>
      <c r="D627" s="155" t="s">
        <v>71</v>
      </c>
      <c r="E627" s="282">
        <v>1</v>
      </c>
      <c r="F627" s="85"/>
      <c r="G627" s="103"/>
      <c r="H627" s="264"/>
      <c r="I627" s="265"/>
      <c r="J627" s="266"/>
      <c r="K627" s="265"/>
      <c r="L627" s="267"/>
      <c r="M627" s="265"/>
      <c r="N627" s="265"/>
      <c r="O627" s="268"/>
      <c r="P627" s="266"/>
      <c r="Q627" s="267"/>
      <c r="R627" s="265"/>
      <c r="S627" s="265"/>
    </row>
    <row r="628" spans="1:19" s="261" customFormat="1" ht="15">
      <c r="A628" s="259"/>
      <c r="B628" s="269"/>
      <c r="C628" s="102" t="s">
        <v>445</v>
      </c>
      <c r="D628" s="155" t="s">
        <v>71</v>
      </c>
      <c r="E628" s="223">
        <v>1</v>
      </c>
      <c r="F628" s="85"/>
      <c r="G628" s="103"/>
      <c r="H628" s="264"/>
      <c r="I628" s="265"/>
      <c r="J628" s="266"/>
      <c r="K628" s="265"/>
      <c r="L628" s="267"/>
      <c r="M628" s="265"/>
      <c r="N628" s="265"/>
      <c r="O628" s="268"/>
      <c r="P628" s="266"/>
      <c r="Q628" s="267"/>
      <c r="R628" s="265"/>
      <c r="S628" s="265"/>
    </row>
    <row r="629" spans="1:19" s="261" customFormat="1" ht="15">
      <c r="A629" s="259"/>
      <c r="B629" s="269"/>
      <c r="C629" s="102" t="s">
        <v>456</v>
      </c>
      <c r="D629" s="155" t="s">
        <v>71</v>
      </c>
      <c r="E629" s="282">
        <v>1</v>
      </c>
      <c r="F629" s="85"/>
      <c r="G629" s="103"/>
      <c r="H629" s="264"/>
      <c r="I629" s="265"/>
      <c r="J629" s="266"/>
      <c r="K629" s="265"/>
      <c r="L629" s="267"/>
      <c r="M629" s="265"/>
      <c r="N629" s="265"/>
      <c r="O629" s="268"/>
      <c r="P629" s="266"/>
      <c r="Q629" s="267"/>
      <c r="R629" s="265"/>
      <c r="S629" s="265"/>
    </row>
    <row r="630" spans="1:19" s="261" customFormat="1" ht="15">
      <c r="A630" s="259"/>
      <c r="B630" s="269"/>
      <c r="C630" s="102" t="s">
        <v>467</v>
      </c>
      <c r="D630" s="155" t="s">
        <v>71</v>
      </c>
      <c r="E630" s="223">
        <v>1</v>
      </c>
      <c r="F630" s="85"/>
      <c r="G630" s="103"/>
      <c r="H630" s="264"/>
      <c r="I630" s="265"/>
      <c r="J630" s="266"/>
      <c r="K630" s="265"/>
      <c r="L630" s="267"/>
      <c r="M630" s="265"/>
      <c r="N630" s="265"/>
      <c r="O630" s="268"/>
      <c r="P630" s="266"/>
      <c r="Q630" s="267"/>
      <c r="R630" s="265"/>
      <c r="S630" s="265"/>
    </row>
    <row r="631" spans="1:19" s="261" customFormat="1" ht="15">
      <c r="A631" s="259"/>
      <c r="B631" s="269"/>
      <c r="C631" s="102" t="s">
        <v>475</v>
      </c>
      <c r="D631" s="155" t="s">
        <v>71</v>
      </c>
      <c r="E631" s="282">
        <v>1</v>
      </c>
      <c r="F631" s="85"/>
      <c r="G631" s="103"/>
      <c r="H631" s="264"/>
      <c r="I631" s="265"/>
      <c r="J631" s="266"/>
      <c r="K631" s="265"/>
      <c r="L631" s="267"/>
      <c r="M631" s="265"/>
      <c r="N631" s="265"/>
      <c r="O631" s="268"/>
      <c r="P631" s="266"/>
      <c r="Q631" s="267"/>
      <c r="R631" s="265"/>
      <c r="S631" s="265"/>
    </row>
    <row r="632" spans="1:19" s="261" customFormat="1" ht="15">
      <c r="A632" s="259"/>
      <c r="B632" s="269"/>
      <c r="C632" s="102" t="s">
        <v>484</v>
      </c>
      <c r="D632" s="155" t="s">
        <v>71</v>
      </c>
      <c r="E632" s="223">
        <v>1</v>
      </c>
      <c r="F632" s="85"/>
      <c r="G632" s="103"/>
      <c r="H632" s="264"/>
      <c r="I632" s="265"/>
      <c r="J632" s="266"/>
      <c r="K632" s="265"/>
      <c r="L632" s="267"/>
      <c r="M632" s="265"/>
      <c r="N632" s="265"/>
      <c r="O632" s="268"/>
      <c r="P632" s="266"/>
      <c r="Q632" s="267"/>
      <c r="R632" s="265"/>
      <c r="S632" s="265"/>
    </row>
    <row r="633" spans="1:19" s="261" customFormat="1" ht="15">
      <c r="A633" s="259"/>
      <c r="B633" s="269"/>
      <c r="C633" s="102" t="s">
        <v>492</v>
      </c>
      <c r="D633" s="155" t="s">
        <v>71</v>
      </c>
      <c r="E633" s="282">
        <v>1</v>
      </c>
      <c r="F633" s="85"/>
      <c r="G633" s="103"/>
      <c r="H633" s="264"/>
      <c r="I633" s="265"/>
      <c r="J633" s="266"/>
      <c r="K633" s="265"/>
      <c r="L633" s="267"/>
      <c r="M633" s="265"/>
      <c r="N633" s="265"/>
      <c r="O633" s="268"/>
      <c r="P633" s="266"/>
      <c r="Q633" s="267"/>
      <c r="R633" s="265"/>
      <c r="S633" s="265"/>
    </row>
    <row r="634" spans="1:19" s="261" customFormat="1" ht="15">
      <c r="A634" s="259"/>
      <c r="B634" s="269"/>
      <c r="C634" s="104"/>
      <c r="E634" s="85"/>
      <c r="F634" s="85"/>
      <c r="G634" s="103"/>
      <c r="H634" s="264"/>
      <c r="I634" s="265"/>
      <c r="J634" s="266"/>
      <c r="K634" s="265"/>
      <c r="L634" s="267"/>
      <c r="M634" s="265"/>
      <c r="N634" s="265"/>
      <c r="O634" s="268"/>
      <c r="P634" s="266"/>
      <c r="Q634" s="267"/>
      <c r="R634" s="265"/>
      <c r="S634" s="265"/>
    </row>
    <row r="635" spans="1:19" s="261" customFormat="1" ht="60.75">
      <c r="A635" s="259" t="s">
        <v>79</v>
      </c>
      <c r="B635" s="227" t="s">
        <v>513</v>
      </c>
      <c r="C635" s="107" t="s">
        <v>337</v>
      </c>
      <c r="D635" s="261" t="s">
        <v>262</v>
      </c>
      <c r="E635" s="279">
        <f>SUM(E636:E644)</f>
        <v>9</v>
      </c>
      <c r="F635" s="86"/>
      <c r="G635" s="103">
        <f>E635*F635</f>
        <v>0</v>
      </c>
      <c r="H635" s="264"/>
      <c r="I635" s="265"/>
      <c r="J635" s="271"/>
      <c r="K635" s="266"/>
      <c r="L635" s="267"/>
      <c r="M635" s="265"/>
      <c r="N635" s="265"/>
      <c r="O635" s="272"/>
      <c r="P635" s="271"/>
      <c r="Q635" s="267"/>
      <c r="R635" s="265"/>
      <c r="S635" s="265"/>
    </row>
    <row r="636" spans="1:19" s="261" customFormat="1" ht="15">
      <c r="A636" s="259"/>
      <c r="B636" s="269"/>
      <c r="C636" s="102" t="s">
        <v>411</v>
      </c>
      <c r="D636" s="155" t="s">
        <v>71</v>
      </c>
      <c r="E636" s="282">
        <v>1</v>
      </c>
      <c r="F636" s="86"/>
      <c r="G636" s="103"/>
      <c r="H636" s="264"/>
      <c r="I636" s="265"/>
      <c r="J636" s="271"/>
      <c r="K636" s="266"/>
      <c r="L636" s="267"/>
      <c r="M636" s="265"/>
      <c r="N636" s="265"/>
      <c r="O636" s="272"/>
      <c r="P636" s="271"/>
      <c r="Q636" s="267"/>
      <c r="R636" s="265"/>
      <c r="S636" s="265"/>
    </row>
    <row r="637" spans="1:19" s="261" customFormat="1" ht="15">
      <c r="A637" s="259"/>
      <c r="B637" s="269"/>
      <c r="C637" s="102" t="s">
        <v>421</v>
      </c>
      <c r="D637" s="155" t="s">
        <v>71</v>
      </c>
      <c r="E637" s="223">
        <v>1</v>
      </c>
      <c r="F637" s="86"/>
      <c r="G637" s="103"/>
      <c r="H637" s="264"/>
      <c r="I637" s="265"/>
      <c r="J637" s="271"/>
      <c r="K637" s="266"/>
      <c r="L637" s="267"/>
      <c r="M637" s="265"/>
      <c r="N637" s="265"/>
      <c r="O637" s="272"/>
      <c r="P637" s="271"/>
      <c r="Q637" s="267"/>
      <c r="R637" s="265"/>
      <c r="S637" s="265"/>
    </row>
    <row r="638" spans="1:19" s="261" customFormat="1" ht="15">
      <c r="A638" s="259"/>
      <c r="B638" s="269"/>
      <c r="C638" s="102" t="s">
        <v>428</v>
      </c>
      <c r="D638" s="155" t="s">
        <v>71</v>
      </c>
      <c r="E638" s="282">
        <v>1</v>
      </c>
      <c r="F638" s="86"/>
      <c r="G638" s="103"/>
      <c r="H638" s="264"/>
      <c r="I638" s="265"/>
      <c r="J638" s="271"/>
      <c r="K638" s="266"/>
      <c r="L638" s="267"/>
      <c r="M638" s="265"/>
      <c r="N638" s="265"/>
      <c r="O638" s="272"/>
      <c r="P638" s="271"/>
      <c r="Q638" s="267"/>
      <c r="R638" s="265"/>
      <c r="S638" s="265"/>
    </row>
    <row r="639" spans="1:19" s="261" customFormat="1" ht="15">
      <c r="A639" s="259"/>
      <c r="B639" s="269"/>
      <c r="C639" s="102" t="s">
        <v>445</v>
      </c>
      <c r="D639" s="155" t="s">
        <v>71</v>
      </c>
      <c r="E639" s="223">
        <v>1</v>
      </c>
      <c r="F639" s="86"/>
      <c r="G639" s="103"/>
      <c r="H639" s="264"/>
      <c r="I639" s="265"/>
      <c r="J639" s="271"/>
      <c r="K639" s="266"/>
      <c r="L639" s="267"/>
      <c r="M639" s="265"/>
      <c r="N639" s="265"/>
      <c r="O639" s="272"/>
      <c r="P639" s="271"/>
      <c r="Q639" s="267"/>
      <c r="R639" s="265"/>
      <c r="S639" s="265"/>
    </row>
    <row r="640" spans="1:19" s="261" customFormat="1" ht="15">
      <c r="A640" s="259"/>
      <c r="B640" s="269"/>
      <c r="C640" s="102" t="s">
        <v>456</v>
      </c>
      <c r="D640" s="155" t="s">
        <v>71</v>
      </c>
      <c r="E640" s="282">
        <v>1</v>
      </c>
      <c r="F640" s="86"/>
      <c r="G640" s="103"/>
      <c r="H640" s="264"/>
      <c r="I640" s="265"/>
      <c r="J640" s="271"/>
      <c r="K640" s="266"/>
      <c r="L640" s="267"/>
      <c r="M640" s="265"/>
      <c r="N640" s="265"/>
      <c r="O640" s="272"/>
      <c r="P640" s="271"/>
      <c r="Q640" s="267"/>
      <c r="R640" s="265"/>
      <c r="S640" s="265"/>
    </row>
    <row r="641" spans="1:19" s="261" customFormat="1" ht="15">
      <c r="A641" s="259"/>
      <c r="B641" s="269"/>
      <c r="C641" s="102" t="s">
        <v>467</v>
      </c>
      <c r="D641" s="155" t="s">
        <v>71</v>
      </c>
      <c r="E641" s="223">
        <v>1</v>
      </c>
      <c r="F641" s="86"/>
      <c r="G641" s="103"/>
      <c r="H641" s="264"/>
      <c r="I641" s="265"/>
      <c r="J641" s="271"/>
      <c r="K641" s="266"/>
      <c r="L641" s="267"/>
      <c r="M641" s="265"/>
      <c r="N641" s="265"/>
      <c r="O641" s="272"/>
      <c r="P641" s="271"/>
      <c r="Q641" s="267"/>
      <c r="R641" s="265"/>
      <c r="S641" s="265"/>
    </row>
    <row r="642" spans="1:19" s="261" customFormat="1" ht="15">
      <c r="A642" s="259"/>
      <c r="B642" s="269"/>
      <c r="C642" s="102" t="s">
        <v>475</v>
      </c>
      <c r="D642" s="155" t="s">
        <v>71</v>
      </c>
      <c r="E642" s="282">
        <v>1</v>
      </c>
      <c r="F642" s="86"/>
      <c r="G642" s="103"/>
      <c r="H642" s="264"/>
      <c r="I642" s="265"/>
      <c r="J642" s="271"/>
      <c r="K642" s="266"/>
      <c r="L642" s="267"/>
      <c r="M642" s="265"/>
      <c r="N642" s="265"/>
      <c r="O642" s="272"/>
      <c r="P642" s="271"/>
      <c r="Q642" s="267"/>
      <c r="R642" s="265"/>
      <c r="S642" s="265"/>
    </row>
    <row r="643" spans="1:19" s="261" customFormat="1" ht="15">
      <c r="A643" s="259"/>
      <c r="B643" s="269"/>
      <c r="C643" s="102" t="s">
        <v>484</v>
      </c>
      <c r="D643" s="155" t="s">
        <v>71</v>
      </c>
      <c r="E643" s="223">
        <v>1</v>
      </c>
      <c r="F643" s="86"/>
      <c r="G643" s="103"/>
      <c r="H643" s="264"/>
      <c r="I643" s="265"/>
      <c r="J643" s="271"/>
      <c r="K643" s="266"/>
      <c r="L643" s="267"/>
      <c r="M643" s="265"/>
      <c r="N643" s="265"/>
      <c r="O643" s="272"/>
      <c r="P643" s="271"/>
      <c r="Q643" s="267"/>
      <c r="R643" s="265"/>
      <c r="S643" s="265"/>
    </row>
    <row r="644" spans="1:19" s="261" customFormat="1" ht="15">
      <c r="A644" s="259"/>
      <c r="B644" s="269"/>
      <c r="C644" s="102" t="s">
        <v>492</v>
      </c>
      <c r="D644" s="155" t="s">
        <v>71</v>
      </c>
      <c r="E644" s="282">
        <v>1</v>
      </c>
      <c r="F644" s="86"/>
      <c r="G644" s="103"/>
      <c r="H644" s="264"/>
      <c r="I644" s="265"/>
      <c r="J644" s="271"/>
      <c r="K644" s="266"/>
      <c r="L644" s="267"/>
      <c r="M644" s="265"/>
      <c r="N644" s="265"/>
      <c r="O644" s="272"/>
      <c r="P644" s="271"/>
      <c r="Q644" s="267"/>
      <c r="R644" s="265"/>
      <c r="S644" s="265"/>
    </row>
    <row r="645" spans="1:19" s="261" customFormat="1" ht="15">
      <c r="A645" s="259" t="s">
        <v>80</v>
      </c>
      <c r="B645" s="269"/>
      <c r="C645" s="260"/>
      <c r="D645" s="273"/>
      <c r="E645" s="85"/>
      <c r="F645" s="85"/>
      <c r="G645" s="103"/>
      <c r="H645" s="264"/>
      <c r="I645" s="265"/>
      <c r="J645" s="266"/>
      <c r="K645" s="266"/>
      <c r="L645" s="267"/>
      <c r="M645" s="265"/>
      <c r="N645" s="265"/>
      <c r="O645" s="268"/>
      <c r="P645" s="266"/>
      <c r="Q645" s="267"/>
      <c r="R645" s="265"/>
      <c r="S645" s="265"/>
    </row>
    <row r="646" spans="1:19" s="261" customFormat="1" ht="60.75">
      <c r="A646" s="259"/>
      <c r="B646" s="227" t="s">
        <v>513</v>
      </c>
      <c r="C646" s="107" t="s">
        <v>340</v>
      </c>
      <c r="D646" s="93" t="s">
        <v>71</v>
      </c>
      <c r="E646" s="85">
        <f>SUM(E647:E655)</f>
        <v>23</v>
      </c>
      <c r="F646" s="85"/>
      <c r="G646" s="103">
        <f>E646*F646</f>
        <v>0</v>
      </c>
      <c r="H646" s="274"/>
      <c r="I646" s="265"/>
      <c r="J646" s="266"/>
      <c r="K646" s="266"/>
      <c r="L646" s="267"/>
      <c r="M646" s="265"/>
      <c r="N646" s="265"/>
      <c r="O646" s="268"/>
      <c r="P646" s="266"/>
      <c r="Q646" s="267"/>
      <c r="R646" s="265"/>
      <c r="S646" s="265"/>
    </row>
    <row r="647" spans="1:19" s="261" customFormat="1" ht="15">
      <c r="A647" s="259"/>
      <c r="B647" s="82"/>
      <c r="C647" s="102" t="s">
        <v>411</v>
      </c>
      <c r="D647" s="155" t="s">
        <v>71</v>
      </c>
      <c r="E647" s="282">
        <v>3</v>
      </c>
      <c r="F647" s="85"/>
      <c r="G647" s="103"/>
      <c r="H647" s="274"/>
      <c r="I647" s="265"/>
      <c r="J647" s="266"/>
      <c r="K647" s="266"/>
      <c r="L647" s="267"/>
      <c r="M647" s="265"/>
      <c r="N647" s="265"/>
      <c r="O647" s="268"/>
      <c r="P647" s="266"/>
      <c r="Q647" s="267"/>
      <c r="R647" s="265"/>
      <c r="S647" s="265"/>
    </row>
    <row r="648" spans="1:19" s="261" customFormat="1" ht="15">
      <c r="A648" s="259"/>
      <c r="B648" s="82"/>
      <c r="C648" s="102" t="s">
        <v>421</v>
      </c>
      <c r="D648" s="155" t="s">
        <v>71</v>
      </c>
      <c r="E648" s="223">
        <v>3</v>
      </c>
      <c r="F648" s="85"/>
      <c r="G648" s="103"/>
      <c r="H648" s="274"/>
      <c r="I648" s="265"/>
      <c r="J648" s="266"/>
      <c r="K648" s="266"/>
      <c r="L648" s="267"/>
      <c r="M648" s="265"/>
      <c r="N648" s="265"/>
      <c r="O648" s="268"/>
      <c r="P648" s="266"/>
      <c r="Q648" s="267"/>
      <c r="R648" s="265"/>
      <c r="S648" s="265"/>
    </row>
    <row r="649" spans="1:19" s="261" customFormat="1" ht="15">
      <c r="A649" s="259"/>
      <c r="B649" s="82"/>
      <c r="C649" s="102" t="s">
        <v>428</v>
      </c>
      <c r="D649" s="155" t="s">
        <v>71</v>
      </c>
      <c r="E649" s="282">
        <v>3</v>
      </c>
      <c r="F649" s="85"/>
      <c r="G649" s="103"/>
      <c r="H649" s="274"/>
      <c r="I649" s="265"/>
      <c r="J649" s="266"/>
      <c r="K649" s="266"/>
      <c r="L649" s="267"/>
      <c r="M649" s="265"/>
      <c r="N649" s="265"/>
      <c r="O649" s="268"/>
      <c r="P649" s="266"/>
      <c r="Q649" s="267"/>
      <c r="R649" s="265"/>
      <c r="S649" s="265"/>
    </row>
    <row r="650" spans="1:19" s="261" customFormat="1" ht="15">
      <c r="A650" s="259"/>
      <c r="B650" s="82"/>
      <c r="C650" s="102" t="s">
        <v>445</v>
      </c>
      <c r="D650" s="155" t="s">
        <v>71</v>
      </c>
      <c r="E650" s="223">
        <v>3</v>
      </c>
      <c r="F650" s="85"/>
      <c r="G650" s="103"/>
      <c r="H650" s="274"/>
      <c r="I650" s="265"/>
      <c r="J650" s="266"/>
      <c r="K650" s="266"/>
      <c r="L650" s="267"/>
      <c r="M650" s="265"/>
      <c r="N650" s="265"/>
      <c r="O650" s="268"/>
      <c r="P650" s="266"/>
      <c r="Q650" s="267"/>
      <c r="R650" s="265"/>
      <c r="S650" s="265"/>
    </row>
    <row r="651" spans="1:19" s="261" customFormat="1" ht="15">
      <c r="A651" s="259"/>
      <c r="B651" s="82"/>
      <c r="C651" s="102" t="s">
        <v>456</v>
      </c>
      <c r="D651" s="155" t="s">
        <v>71</v>
      </c>
      <c r="E651" s="282">
        <v>3</v>
      </c>
      <c r="F651" s="85"/>
      <c r="G651" s="103"/>
      <c r="H651" s="274"/>
      <c r="I651" s="265"/>
      <c r="J651" s="266"/>
      <c r="K651" s="266"/>
      <c r="L651" s="267"/>
      <c r="M651" s="265"/>
      <c r="N651" s="265"/>
      <c r="O651" s="268"/>
      <c r="P651" s="266"/>
      <c r="Q651" s="267"/>
      <c r="R651" s="265"/>
      <c r="S651" s="265"/>
    </row>
    <row r="652" spans="1:19" s="261" customFormat="1" ht="15">
      <c r="A652" s="259"/>
      <c r="B652" s="82"/>
      <c r="C652" s="102" t="s">
        <v>467</v>
      </c>
      <c r="D652" s="155" t="s">
        <v>71</v>
      </c>
      <c r="E652" s="223">
        <v>2</v>
      </c>
      <c r="F652" s="85"/>
      <c r="G652" s="103"/>
      <c r="H652" s="274"/>
      <c r="I652" s="265"/>
      <c r="J652" s="266"/>
      <c r="K652" s="266"/>
      <c r="L652" s="267"/>
      <c r="M652" s="265"/>
      <c r="N652" s="265"/>
      <c r="O652" s="268"/>
      <c r="P652" s="266"/>
      <c r="Q652" s="267"/>
      <c r="R652" s="265"/>
      <c r="S652" s="265"/>
    </row>
    <row r="653" spans="1:19" s="261" customFormat="1" ht="15">
      <c r="A653" s="259"/>
      <c r="B653" s="82"/>
      <c r="C653" s="102" t="s">
        <v>475</v>
      </c>
      <c r="D653" s="155" t="s">
        <v>71</v>
      </c>
      <c r="E653" s="282">
        <v>2</v>
      </c>
      <c r="F653" s="85"/>
      <c r="G653" s="103"/>
      <c r="H653" s="274"/>
      <c r="I653" s="265"/>
      <c r="J653" s="266"/>
      <c r="K653" s="266"/>
      <c r="L653" s="267"/>
      <c r="M653" s="265"/>
      <c r="N653" s="265"/>
      <c r="O653" s="268"/>
      <c r="P653" s="266"/>
      <c r="Q653" s="267"/>
      <c r="R653" s="265"/>
      <c r="S653" s="265"/>
    </row>
    <row r="654" spans="1:19" s="261" customFormat="1" ht="15">
      <c r="A654" s="259"/>
      <c r="B654" s="82"/>
      <c r="C654" s="102" t="s">
        <v>484</v>
      </c>
      <c r="D654" s="155" t="s">
        <v>71</v>
      </c>
      <c r="E654" s="223">
        <v>2</v>
      </c>
      <c r="F654" s="85"/>
      <c r="G654" s="103"/>
      <c r="H654" s="274"/>
      <c r="I654" s="265"/>
      <c r="J654" s="266"/>
      <c r="K654" s="266"/>
      <c r="L654" s="267"/>
      <c r="M654" s="265"/>
      <c r="N654" s="265"/>
      <c r="O654" s="268"/>
      <c r="P654" s="266"/>
      <c r="Q654" s="267"/>
      <c r="R654" s="265"/>
      <c r="S654" s="265"/>
    </row>
    <row r="655" spans="1:19" s="261" customFormat="1" ht="15">
      <c r="A655" s="259"/>
      <c r="B655" s="82"/>
      <c r="C655" s="102" t="s">
        <v>492</v>
      </c>
      <c r="D655" s="155" t="s">
        <v>71</v>
      </c>
      <c r="E655" s="282">
        <v>2</v>
      </c>
      <c r="F655" s="85"/>
      <c r="G655" s="103"/>
      <c r="H655" s="274"/>
      <c r="I655" s="265"/>
      <c r="J655" s="266"/>
      <c r="K655" s="266"/>
      <c r="L655" s="267"/>
      <c r="M655" s="265"/>
      <c r="N655" s="265"/>
      <c r="O655" s="268"/>
      <c r="P655" s="266"/>
      <c r="Q655" s="267"/>
      <c r="R655" s="265"/>
      <c r="S655" s="265"/>
    </row>
    <row r="656" spans="1:19" s="261" customFormat="1" ht="15">
      <c r="A656" s="259"/>
      <c r="B656" s="82"/>
      <c r="C656" s="102"/>
      <c r="D656" s="155"/>
      <c r="E656" s="282"/>
      <c r="F656" s="85"/>
      <c r="G656" s="103"/>
      <c r="H656" s="274"/>
      <c r="I656" s="265"/>
      <c r="J656" s="266"/>
      <c r="K656" s="266"/>
      <c r="L656" s="267"/>
      <c r="M656" s="265"/>
      <c r="N656" s="265"/>
      <c r="O656" s="268"/>
      <c r="P656" s="266"/>
      <c r="Q656" s="267"/>
      <c r="R656" s="265"/>
      <c r="S656" s="265"/>
    </row>
    <row r="657" spans="1:19" s="261" customFormat="1" ht="84.75">
      <c r="A657" s="259"/>
      <c r="B657" s="227" t="s">
        <v>513</v>
      </c>
      <c r="C657" s="102" t="s">
        <v>341</v>
      </c>
      <c r="D657" s="93" t="s">
        <v>71</v>
      </c>
      <c r="E657" s="85">
        <f>SUM(E658:E666)</f>
        <v>23</v>
      </c>
      <c r="F657" s="85"/>
      <c r="G657" s="103">
        <f>E657*F657</f>
        <v>0</v>
      </c>
      <c r="H657" s="264"/>
      <c r="I657" s="265"/>
      <c r="J657" s="266"/>
      <c r="K657" s="266"/>
      <c r="L657" s="267"/>
      <c r="M657" s="265"/>
      <c r="N657" s="265"/>
      <c r="O657" s="268"/>
      <c r="P657" s="266"/>
      <c r="Q657" s="267"/>
      <c r="R657" s="265"/>
      <c r="S657" s="265"/>
    </row>
    <row r="658" spans="1:19" s="261" customFormat="1" ht="15">
      <c r="A658" s="259"/>
      <c r="B658" s="82"/>
      <c r="C658" s="102" t="s">
        <v>411</v>
      </c>
      <c r="D658" s="155" t="s">
        <v>71</v>
      </c>
      <c r="E658" s="282">
        <v>3</v>
      </c>
      <c r="F658" s="85"/>
      <c r="G658" s="103"/>
      <c r="H658" s="264"/>
      <c r="I658" s="265"/>
      <c r="J658" s="266"/>
      <c r="K658" s="266"/>
      <c r="L658" s="267"/>
      <c r="M658" s="265"/>
      <c r="N658" s="265"/>
      <c r="O658" s="268"/>
      <c r="P658" s="266"/>
      <c r="Q658" s="267"/>
      <c r="R658" s="265"/>
      <c r="S658" s="265"/>
    </row>
    <row r="659" spans="1:19" s="261" customFormat="1" ht="15">
      <c r="A659" s="259"/>
      <c r="B659" s="82"/>
      <c r="C659" s="102" t="s">
        <v>421</v>
      </c>
      <c r="D659" s="155" t="s">
        <v>71</v>
      </c>
      <c r="E659" s="223">
        <v>3</v>
      </c>
      <c r="F659" s="85"/>
      <c r="G659" s="103"/>
      <c r="H659" s="264"/>
      <c r="I659" s="265"/>
      <c r="J659" s="266"/>
      <c r="K659" s="266"/>
      <c r="L659" s="267"/>
      <c r="M659" s="265"/>
      <c r="N659" s="265"/>
      <c r="O659" s="268"/>
      <c r="P659" s="266"/>
      <c r="Q659" s="267"/>
      <c r="R659" s="265"/>
      <c r="S659" s="265"/>
    </row>
    <row r="660" spans="1:19" s="261" customFormat="1" ht="15">
      <c r="A660" s="259"/>
      <c r="B660" s="82"/>
      <c r="C660" s="102" t="s">
        <v>428</v>
      </c>
      <c r="D660" s="155" t="s">
        <v>71</v>
      </c>
      <c r="E660" s="282">
        <v>3</v>
      </c>
      <c r="F660" s="85"/>
      <c r="G660" s="103"/>
      <c r="H660" s="264"/>
      <c r="I660" s="265"/>
      <c r="J660" s="266"/>
      <c r="K660" s="266"/>
      <c r="L660" s="267"/>
      <c r="M660" s="265"/>
      <c r="N660" s="265"/>
      <c r="O660" s="268"/>
      <c r="P660" s="266"/>
      <c r="Q660" s="267"/>
      <c r="R660" s="265"/>
      <c r="S660" s="265"/>
    </row>
    <row r="661" spans="1:19" s="261" customFormat="1" ht="15">
      <c r="A661" s="259"/>
      <c r="B661" s="82"/>
      <c r="C661" s="102" t="s">
        <v>445</v>
      </c>
      <c r="D661" s="155" t="s">
        <v>71</v>
      </c>
      <c r="E661" s="223">
        <v>3</v>
      </c>
      <c r="F661" s="85"/>
      <c r="G661" s="103"/>
      <c r="H661" s="264"/>
      <c r="I661" s="265"/>
      <c r="J661" s="266"/>
      <c r="K661" s="266"/>
      <c r="L661" s="267"/>
      <c r="M661" s="265"/>
      <c r="N661" s="265"/>
      <c r="O661" s="268"/>
      <c r="P661" s="266"/>
      <c r="Q661" s="267"/>
      <c r="R661" s="265"/>
      <c r="S661" s="265"/>
    </row>
    <row r="662" spans="1:19" s="261" customFormat="1" ht="15">
      <c r="A662" s="259"/>
      <c r="B662" s="82"/>
      <c r="C662" s="102" t="s">
        <v>456</v>
      </c>
      <c r="D662" s="155" t="s">
        <v>71</v>
      </c>
      <c r="E662" s="282">
        <v>3</v>
      </c>
      <c r="F662" s="85"/>
      <c r="G662" s="103"/>
      <c r="H662" s="264"/>
      <c r="I662" s="265"/>
      <c r="J662" s="266"/>
      <c r="K662" s="266"/>
      <c r="L662" s="267"/>
      <c r="M662" s="265"/>
      <c r="N662" s="265"/>
      <c r="O662" s="268"/>
      <c r="P662" s="266"/>
      <c r="Q662" s="267"/>
      <c r="R662" s="265"/>
      <c r="S662" s="265"/>
    </row>
    <row r="663" spans="1:19" s="261" customFormat="1" ht="15">
      <c r="A663" s="259"/>
      <c r="B663" s="82"/>
      <c r="C663" s="102" t="s">
        <v>467</v>
      </c>
      <c r="D663" s="155" t="s">
        <v>71</v>
      </c>
      <c r="E663" s="223">
        <v>2</v>
      </c>
      <c r="F663" s="85"/>
      <c r="G663" s="103"/>
      <c r="H663" s="264"/>
      <c r="I663" s="265"/>
      <c r="J663" s="266"/>
      <c r="K663" s="266"/>
      <c r="L663" s="267"/>
      <c r="M663" s="265"/>
      <c r="N663" s="265"/>
      <c r="O663" s="268"/>
      <c r="P663" s="266"/>
      <c r="Q663" s="267"/>
      <c r="R663" s="265"/>
      <c r="S663" s="265"/>
    </row>
    <row r="664" spans="1:19" s="261" customFormat="1" ht="15">
      <c r="A664" s="259"/>
      <c r="B664" s="82"/>
      <c r="C664" s="102" t="s">
        <v>475</v>
      </c>
      <c r="D664" s="155" t="s">
        <v>71</v>
      </c>
      <c r="E664" s="282">
        <v>2</v>
      </c>
      <c r="F664" s="85"/>
      <c r="G664" s="103"/>
      <c r="H664" s="264"/>
      <c r="I664" s="265"/>
      <c r="J664" s="266"/>
      <c r="K664" s="266"/>
      <c r="L664" s="267"/>
      <c r="M664" s="265"/>
      <c r="N664" s="265"/>
      <c r="O664" s="268"/>
      <c r="P664" s="266"/>
      <c r="Q664" s="267"/>
      <c r="R664" s="265"/>
      <c r="S664" s="265"/>
    </row>
    <row r="665" spans="1:19" s="261" customFormat="1" ht="15">
      <c r="A665" s="259"/>
      <c r="B665" s="82"/>
      <c r="C665" s="102" t="s">
        <v>484</v>
      </c>
      <c r="D665" s="155" t="s">
        <v>71</v>
      </c>
      <c r="E665" s="223">
        <v>2</v>
      </c>
      <c r="F665" s="85"/>
      <c r="G665" s="103"/>
      <c r="H665" s="264"/>
      <c r="I665" s="265"/>
      <c r="J665" s="266"/>
      <c r="K665" s="266"/>
      <c r="L665" s="267"/>
      <c r="M665" s="265"/>
      <c r="N665" s="265"/>
      <c r="O665" s="268"/>
      <c r="P665" s="266"/>
      <c r="Q665" s="267"/>
      <c r="R665" s="265"/>
      <c r="S665" s="265"/>
    </row>
    <row r="666" spans="1:19" s="261" customFormat="1" ht="15">
      <c r="A666" s="259"/>
      <c r="B666" s="82"/>
      <c r="C666" s="102" t="s">
        <v>492</v>
      </c>
      <c r="D666" s="155" t="s">
        <v>71</v>
      </c>
      <c r="E666" s="282">
        <v>2</v>
      </c>
      <c r="F666" s="85"/>
      <c r="G666" s="103"/>
      <c r="H666" s="264"/>
      <c r="I666" s="265"/>
      <c r="J666" s="266"/>
      <c r="K666" s="266"/>
      <c r="L666" s="267"/>
      <c r="M666" s="265"/>
      <c r="N666" s="265"/>
      <c r="O666" s="268"/>
      <c r="P666" s="266"/>
      <c r="Q666" s="267"/>
      <c r="R666" s="265"/>
      <c r="S666" s="265"/>
    </row>
    <row r="667" spans="1:19" s="261" customFormat="1" ht="15">
      <c r="A667" s="259"/>
      <c r="B667" s="82"/>
      <c r="C667" s="260"/>
      <c r="D667" s="93"/>
      <c r="E667" s="85"/>
      <c r="F667" s="85"/>
      <c r="G667" s="103"/>
      <c r="H667" s="264"/>
      <c r="I667" s="265"/>
      <c r="J667" s="266"/>
      <c r="K667" s="266"/>
      <c r="L667" s="267"/>
      <c r="M667" s="265"/>
      <c r="N667" s="265"/>
      <c r="O667" s="268"/>
      <c r="P667" s="266"/>
      <c r="Q667" s="267"/>
      <c r="R667" s="265"/>
      <c r="S667" s="265"/>
    </row>
    <row r="668" spans="1:19" s="261" customFormat="1" ht="60.75">
      <c r="A668" s="259"/>
      <c r="B668" s="227" t="s">
        <v>513</v>
      </c>
      <c r="C668" s="102" t="s">
        <v>342</v>
      </c>
      <c r="D668" s="93" t="s">
        <v>71</v>
      </c>
      <c r="E668" s="85">
        <f>SUM(E669:E677)</f>
        <v>15</v>
      </c>
      <c r="F668" s="110"/>
      <c r="G668" s="103">
        <f>E668*F668</f>
        <v>0</v>
      </c>
      <c r="H668" s="264"/>
      <c r="I668" s="265"/>
      <c r="J668" s="266"/>
      <c r="K668" s="266"/>
      <c r="L668" s="267"/>
      <c r="M668" s="265"/>
      <c r="N668" s="265"/>
      <c r="O668" s="268"/>
      <c r="P668" s="266"/>
      <c r="Q668" s="267"/>
      <c r="R668" s="265"/>
      <c r="S668" s="265"/>
    </row>
    <row r="669" spans="1:19" s="261" customFormat="1" ht="15">
      <c r="A669" s="259"/>
      <c r="B669" s="82"/>
      <c r="C669" s="102" t="s">
        <v>411</v>
      </c>
      <c r="D669" s="155" t="s">
        <v>71</v>
      </c>
      <c r="E669" s="282">
        <v>3</v>
      </c>
      <c r="F669" s="110"/>
      <c r="G669" s="103"/>
      <c r="H669" s="264"/>
      <c r="I669" s="265"/>
      <c r="J669" s="266"/>
      <c r="K669" s="266"/>
      <c r="L669" s="267"/>
      <c r="M669" s="265"/>
      <c r="N669" s="265"/>
      <c r="O669" s="268"/>
      <c r="P669" s="266"/>
      <c r="Q669" s="267"/>
      <c r="R669" s="265"/>
      <c r="S669" s="265"/>
    </row>
    <row r="670" spans="1:19" s="261" customFormat="1" ht="15">
      <c r="A670" s="259"/>
      <c r="B670" s="82"/>
      <c r="C670" s="102" t="s">
        <v>421</v>
      </c>
      <c r="D670" s="155" t="s">
        <v>71</v>
      </c>
      <c r="E670" s="223">
        <v>3</v>
      </c>
      <c r="F670" s="110"/>
      <c r="G670" s="103"/>
      <c r="H670" s="264"/>
      <c r="I670" s="265"/>
      <c r="J670" s="266"/>
      <c r="K670" s="266"/>
      <c r="L670" s="267"/>
      <c r="M670" s="265"/>
      <c r="N670" s="265"/>
      <c r="O670" s="268"/>
      <c r="P670" s="266"/>
      <c r="Q670" s="267"/>
      <c r="R670" s="265"/>
      <c r="S670" s="265"/>
    </row>
    <row r="671" spans="1:19" s="261" customFormat="1" ht="15">
      <c r="A671" s="259"/>
      <c r="B671" s="82"/>
      <c r="C671" s="102" t="s">
        <v>428</v>
      </c>
      <c r="D671" s="155" t="s">
        <v>71</v>
      </c>
      <c r="E671" s="282">
        <v>3</v>
      </c>
      <c r="F671" s="110"/>
      <c r="G671" s="103"/>
      <c r="H671" s="264"/>
      <c r="I671" s="265"/>
      <c r="J671" s="266"/>
      <c r="K671" s="266"/>
      <c r="L671" s="267"/>
      <c r="M671" s="265"/>
      <c r="N671" s="265"/>
      <c r="O671" s="268"/>
      <c r="P671" s="266"/>
      <c r="Q671" s="267"/>
      <c r="R671" s="265"/>
      <c r="S671" s="265"/>
    </row>
    <row r="672" spans="1:19" s="261" customFormat="1" ht="15">
      <c r="A672" s="259"/>
      <c r="B672" s="82"/>
      <c r="C672" s="102" t="s">
        <v>445</v>
      </c>
      <c r="D672" s="155" t="s">
        <v>71</v>
      </c>
      <c r="E672" s="223">
        <v>3</v>
      </c>
      <c r="F672" s="110"/>
      <c r="G672" s="103"/>
      <c r="H672" s="264"/>
      <c r="I672" s="265"/>
      <c r="J672" s="266"/>
      <c r="K672" s="266"/>
      <c r="L672" s="267"/>
      <c r="M672" s="265"/>
      <c r="N672" s="265"/>
      <c r="O672" s="268"/>
      <c r="P672" s="266"/>
      <c r="Q672" s="267"/>
      <c r="R672" s="265"/>
      <c r="S672" s="265"/>
    </row>
    <row r="673" spans="1:19" s="261" customFormat="1" ht="15">
      <c r="A673" s="259"/>
      <c r="B673" s="82"/>
      <c r="C673" s="102" t="s">
        <v>456</v>
      </c>
      <c r="D673" s="155" t="s">
        <v>71</v>
      </c>
      <c r="E673" s="282">
        <v>3</v>
      </c>
      <c r="F673" s="110"/>
      <c r="G673" s="103"/>
      <c r="H673" s="264"/>
      <c r="I673" s="265"/>
      <c r="J673" s="266"/>
      <c r="K673" s="266"/>
      <c r="L673" s="267"/>
      <c r="M673" s="265"/>
      <c r="N673" s="265"/>
      <c r="O673" s="268"/>
      <c r="P673" s="266"/>
      <c r="Q673" s="267"/>
      <c r="R673" s="265"/>
      <c r="S673" s="265"/>
    </row>
    <row r="674" spans="1:19" s="261" customFormat="1" ht="15">
      <c r="A674" s="259"/>
      <c r="B674" s="82"/>
      <c r="C674" s="102" t="s">
        <v>467</v>
      </c>
      <c r="D674" s="155" t="s">
        <v>71</v>
      </c>
      <c r="E674" s="223">
        <v>0</v>
      </c>
      <c r="F674" s="110"/>
      <c r="G674" s="103"/>
      <c r="H674" s="264"/>
      <c r="I674" s="265"/>
      <c r="J674" s="266"/>
      <c r="K674" s="266"/>
      <c r="L674" s="267"/>
      <c r="M674" s="265"/>
      <c r="N674" s="265"/>
      <c r="O674" s="268"/>
      <c r="P674" s="266"/>
      <c r="Q674" s="267"/>
      <c r="R674" s="265"/>
      <c r="S674" s="265"/>
    </row>
    <row r="675" spans="1:19" s="261" customFormat="1" ht="15">
      <c r="A675" s="259"/>
      <c r="B675" s="82"/>
      <c r="C675" s="102" t="s">
        <v>475</v>
      </c>
      <c r="D675" s="155" t="s">
        <v>71</v>
      </c>
      <c r="E675" s="282">
        <v>0</v>
      </c>
      <c r="F675" s="110"/>
      <c r="G675" s="103"/>
      <c r="H675" s="264"/>
      <c r="I675" s="265"/>
      <c r="J675" s="266"/>
      <c r="K675" s="266"/>
      <c r="L675" s="267"/>
      <c r="M675" s="265"/>
      <c r="N675" s="265"/>
      <c r="O675" s="268"/>
      <c r="P675" s="266"/>
      <c r="Q675" s="267"/>
      <c r="R675" s="265"/>
      <c r="S675" s="265"/>
    </row>
    <row r="676" spans="1:19" s="261" customFormat="1" ht="15">
      <c r="A676" s="259"/>
      <c r="B676" s="82"/>
      <c r="C676" s="102" t="s">
        <v>484</v>
      </c>
      <c r="D676" s="155" t="s">
        <v>71</v>
      </c>
      <c r="E676" s="223">
        <v>0</v>
      </c>
      <c r="F676" s="110"/>
      <c r="G676" s="103"/>
      <c r="H676" s="264"/>
      <c r="I676" s="265"/>
      <c r="J676" s="266"/>
      <c r="K676" s="266"/>
      <c r="L676" s="267"/>
      <c r="M676" s="265"/>
      <c r="N676" s="265"/>
      <c r="O676" s="268"/>
      <c r="P676" s="266"/>
      <c r="Q676" s="267"/>
      <c r="R676" s="265"/>
      <c r="S676" s="265"/>
    </row>
    <row r="677" spans="1:19" s="261" customFormat="1" ht="15">
      <c r="A677" s="259"/>
      <c r="B677" s="82"/>
      <c r="C677" s="102" t="s">
        <v>492</v>
      </c>
      <c r="D677" s="155" t="s">
        <v>71</v>
      </c>
      <c r="E677" s="282">
        <v>0</v>
      </c>
      <c r="F677" s="110"/>
      <c r="G677" s="103"/>
      <c r="H677" s="264"/>
      <c r="I677" s="265"/>
      <c r="J677" s="266"/>
      <c r="K677" s="266"/>
      <c r="L677" s="267"/>
      <c r="M677" s="265"/>
      <c r="N677" s="265"/>
      <c r="O677" s="268"/>
      <c r="P677" s="266"/>
      <c r="Q677" s="267"/>
      <c r="R677" s="265"/>
      <c r="S677" s="265"/>
    </row>
    <row r="678" spans="1:19" s="261" customFormat="1" ht="15">
      <c r="A678" s="259"/>
      <c r="B678" s="82"/>
      <c r="C678" s="260"/>
      <c r="D678" s="93"/>
      <c r="E678" s="85"/>
      <c r="F678" s="85"/>
      <c r="G678" s="103"/>
      <c r="H678" s="264"/>
      <c r="I678" s="265"/>
      <c r="J678" s="266"/>
      <c r="K678" s="266"/>
      <c r="L678" s="267"/>
      <c r="M678" s="265"/>
      <c r="N678" s="265"/>
      <c r="O678" s="268"/>
      <c r="P678" s="266"/>
      <c r="Q678" s="267"/>
      <c r="R678" s="265"/>
      <c r="S678" s="265"/>
    </row>
    <row r="679" spans="1:19" s="261" customFormat="1" ht="36.75">
      <c r="A679" s="259"/>
      <c r="B679" s="227" t="s">
        <v>513</v>
      </c>
      <c r="C679" s="102" t="s">
        <v>343</v>
      </c>
      <c r="D679" s="93" t="s">
        <v>71</v>
      </c>
      <c r="E679" s="85">
        <f>SUM(E680:E688)</f>
        <v>9</v>
      </c>
      <c r="F679" s="110"/>
      <c r="G679" s="103">
        <f>E679*F679</f>
        <v>0</v>
      </c>
      <c r="H679" s="264"/>
      <c r="I679" s="265"/>
      <c r="J679" s="266"/>
      <c r="K679" s="266"/>
      <c r="L679" s="267"/>
      <c r="M679" s="265"/>
      <c r="N679" s="265"/>
      <c r="O679" s="268"/>
      <c r="P679" s="266"/>
      <c r="Q679" s="267"/>
      <c r="R679" s="265"/>
      <c r="S679" s="265"/>
    </row>
    <row r="680" spans="1:19" s="261" customFormat="1" ht="15">
      <c r="A680" s="259"/>
      <c r="B680" s="82"/>
      <c r="C680" s="102" t="s">
        <v>411</v>
      </c>
      <c r="D680" s="155" t="s">
        <v>71</v>
      </c>
      <c r="E680" s="282">
        <v>1</v>
      </c>
      <c r="F680" s="110"/>
      <c r="G680" s="103"/>
      <c r="H680" s="264"/>
      <c r="I680" s="265"/>
      <c r="J680" s="266"/>
      <c r="K680" s="266"/>
      <c r="L680" s="267"/>
      <c r="M680" s="265"/>
      <c r="N680" s="265"/>
      <c r="O680" s="268"/>
      <c r="P680" s="266"/>
      <c r="Q680" s="267"/>
      <c r="R680" s="265"/>
      <c r="S680" s="265"/>
    </row>
    <row r="681" spans="1:19" s="261" customFormat="1" ht="15">
      <c r="A681" s="259"/>
      <c r="B681" s="82"/>
      <c r="C681" s="102" t="s">
        <v>421</v>
      </c>
      <c r="D681" s="155" t="s">
        <v>71</v>
      </c>
      <c r="E681" s="223">
        <v>1</v>
      </c>
      <c r="F681" s="110"/>
      <c r="G681" s="103"/>
      <c r="H681" s="264"/>
      <c r="I681" s="265"/>
      <c r="J681" s="266"/>
      <c r="K681" s="266"/>
      <c r="L681" s="267"/>
      <c r="M681" s="265"/>
      <c r="N681" s="265"/>
      <c r="O681" s="268"/>
      <c r="P681" s="266"/>
      <c r="Q681" s="267"/>
      <c r="R681" s="265"/>
      <c r="S681" s="265"/>
    </row>
    <row r="682" spans="1:19" s="261" customFormat="1" ht="15">
      <c r="A682" s="259"/>
      <c r="B682" s="82"/>
      <c r="C682" s="102" t="s">
        <v>428</v>
      </c>
      <c r="D682" s="155" t="s">
        <v>71</v>
      </c>
      <c r="E682" s="282">
        <v>1</v>
      </c>
      <c r="F682" s="110"/>
      <c r="G682" s="103"/>
      <c r="H682" s="264"/>
      <c r="I682" s="265"/>
      <c r="J682" s="266"/>
      <c r="K682" s="266"/>
      <c r="L682" s="267"/>
      <c r="M682" s="265"/>
      <c r="N682" s="265"/>
      <c r="O682" s="268"/>
      <c r="P682" s="266"/>
      <c r="Q682" s="267"/>
      <c r="R682" s="265"/>
      <c r="S682" s="265"/>
    </row>
    <row r="683" spans="1:19" s="261" customFormat="1" ht="15">
      <c r="A683" s="259"/>
      <c r="B683" s="82"/>
      <c r="C683" s="102" t="s">
        <v>445</v>
      </c>
      <c r="D683" s="155" t="s">
        <v>71</v>
      </c>
      <c r="E683" s="223">
        <v>1</v>
      </c>
      <c r="F683" s="110"/>
      <c r="G683" s="103"/>
      <c r="H683" s="264"/>
      <c r="I683" s="265"/>
      <c r="J683" s="266"/>
      <c r="K683" s="266"/>
      <c r="L683" s="267"/>
      <c r="M683" s="265"/>
      <c r="N683" s="265"/>
      <c r="O683" s="268"/>
      <c r="P683" s="266"/>
      <c r="Q683" s="267"/>
      <c r="R683" s="265"/>
      <c r="S683" s="265"/>
    </row>
    <row r="684" spans="1:19" s="261" customFormat="1" ht="15">
      <c r="A684" s="259"/>
      <c r="B684" s="82"/>
      <c r="C684" s="102" t="s">
        <v>456</v>
      </c>
      <c r="D684" s="155" t="s">
        <v>71</v>
      </c>
      <c r="E684" s="282">
        <v>1</v>
      </c>
      <c r="F684" s="110"/>
      <c r="G684" s="103"/>
      <c r="H684" s="264"/>
      <c r="I684" s="265"/>
      <c r="J684" s="266"/>
      <c r="K684" s="266"/>
      <c r="L684" s="267"/>
      <c r="M684" s="265"/>
      <c r="N684" s="265"/>
      <c r="O684" s="268"/>
      <c r="P684" s="266"/>
      <c r="Q684" s="267"/>
      <c r="R684" s="265"/>
      <c r="S684" s="265"/>
    </row>
    <row r="685" spans="1:19" s="261" customFormat="1" ht="15">
      <c r="A685" s="259"/>
      <c r="B685" s="82"/>
      <c r="C685" s="102" t="s">
        <v>467</v>
      </c>
      <c r="D685" s="155" t="s">
        <v>71</v>
      </c>
      <c r="E685" s="223">
        <v>1</v>
      </c>
      <c r="F685" s="110"/>
      <c r="G685" s="103"/>
      <c r="H685" s="264"/>
      <c r="I685" s="265"/>
      <c r="J685" s="266"/>
      <c r="K685" s="266"/>
      <c r="L685" s="267"/>
      <c r="M685" s="265"/>
      <c r="N685" s="265"/>
      <c r="O685" s="268"/>
      <c r="P685" s="266"/>
      <c r="Q685" s="267"/>
      <c r="R685" s="265"/>
      <c r="S685" s="265"/>
    </row>
    <row r="686" spans="1:19" s="261" customFormat="1" ht="15">
      <c r="A686" s="259"/>
      <c r="B686" s="82"/>
      <c r="C686" s="102" t="s">
        <v>475</v>
      </c>
      <c r="D686" s="155" t="s">
        <v>71</v>
      </c>
      <c r="E686" s="282">
        <v>1</v>
      </c>
      <c r="F686" s="110"/>
      <c r="G686" s="103"/>
      <c r="H686" s="264"/>
      <c r="I686" s="265"/>
      <c r="J686" s="266"/>
      <c r="K686" s="266"/>
      <c r="L686" s="267"/>
      <c r="M686" s="265"/>
      <c r="N686" s="265"/>
      <c r="O686" s="268"/>
      <c r="P686" s="266"/>
      <c r="Q686" s="267"/>
      <c r="R686" s="265"/>
      <c r="S686" s="265"/>
    </row>
    <row r="687" spans="1:19" s="261" customFormat="1" ht="15">
      <c r="A687" s="259"/>
      <c r="B687" s="82"/>
      <c r="C687" s="102" t="s">
        <v>484</v>
      </c>
      <c r="D687" s="155" t="s">
        <v>71</v>
      </c>
      <c r="E687" s="223">
        <v>1</v>
      </c>
      <c r="F687" s="110"/>
      <c r="G687" s="103"/>
      <c r="H687" s="264"/>
      <c r="I687" s="265"/>
      <c r="J687" s="266"/>
      <c r="K687" s="266"/>
      <c r="L687" s="267"/>
      <c r="M687" s="265"/>
      <c r="N687" s="265"/>
      <c r="O687" s="268"/>
      <c r="P687" s="266"/>
      <c r="Q687" s="267"/>
      <c r="R687" s="265"/>
      <c r="S687" s="265"/>
    </row>
    <row r="688" spans="1:19" s="261" customFormat="1" ht="15">
      <c r="A688" s="259"/>
      <c r="B688" s="82"/>
      <c r="C688" s="102" t="s">
        <v>492</v>
      </c>
      <c r="D688" s="155" t="s">
        <v>71</v>
      </c>
      <c r="E688" s="282">
        <v>1</v>
      </c>
      <c r="F688" s="110"/>
      <c r="G688" s="103"/>
      <c r="H688" s="264"/>
      <c r="I688" s="265"/>
      <c r="J688" s="266"/>
      <c r="K688" s="266"/>
      <c r="L688" s="267"/>
      <c r="M688" s="265"/>
      <c r="N688" s="265"/>
      <c r="O688" s="268"/>
      <c r="P688" s="266"/>
      <c r="Q688" s="267"/>
      <c r="R688" s="265"/>
      <c r="S688" s="265"/>
    </row>
    <row r="689" spans="1:19" s="261" customFormat="1" ht="15">
      <c r="A689" s="259"/>
      <c r="B689" s="82"/>
      <c r="C689" s="260"/>
      <c r="D689" s="93"/>
      <c r="E689" s="85"/>
      <c r="F689" s="85"/>
      <c r="G689" s="103"/>
      <c r="H689" s="264"/>
      <c r="I689" s="265"/>
      <c r="J689" s="266"/>
      <c r="K689" s="265"/>
      <c r="L689" s="267"/>
      <c r="M689" s="265"/>
      <c r="N689" s="265"/>
      <c r="O689" s="268"/>
      <c r="P689" s="266"/>
      <c r="Q689" s="267"/>
      <c r="R689" s="265"/>
      <c r="S689" s="265"/>
    </row>
    <row r="690" spans="1:19" s="261" customFormat="1" ht="72.75">
      <c r="A690" s="259"/>
      <c r="B690" s="227" t="s">
        <v>513</v>
      </c>
      <c r="C690" s="83" t="s">
        <v>344</v>
      </c>
      <c r="D690" s="93" t="s">
        <v>71</v>
      </c>
      <c r="E690" s="85">
        <f>SUM(E691:E699)</f>
        <v>15</v>
      </c>
      <c r="F690" s="85"/>
      <c r="G690" s="103">
        <f>E690*F690</f>
        <v>0</v>
      </c>
      <c r="H690" s="264"/>
      <c r="I690" s="265"/>
      <c r="J690" s="266"/>
      <c r="K690" s="265"/>
      <c r="L690" s="267"/>
      <c r="M690" s="265"/>
      <c r="N690" s="265"/>
      <c r="O690" s="268"/>
      <c r="P690" s="266"/>
      <c r="Q690" s="267"/>
      <c r="R690" s="265"/>
      <c r="S690" s="265"/>
    </row>
    <row r="691" spans="1:19" s="261" customFormat="1" ht="15">
      <c r="A691" s="259"/>
      <c r="B691" s="82"/>
      <c r="C691" s="102" t="s">
        <v>411</v>
      </c>
      <c r="D691" s="155" t="s">
        <v>71</v>
      </c>
      <c r="E691" s="282">
        <v>3</v>
      </c>
      <c r="F691" s="262"/>
      <c r="G691" s="263"/>
      <c r="H691" s="264"/>
      <c r="I691" s="265"/>
      <c r="J691" s="266"/>
      <c r="K691" s="265"/>
      <c r="L691" s="267"/>
      <c r="M691" s="265"/>
      <c r="N691" s="265"/>
      <c r="O691" s="268"/>
      <c r="P691" s="266"/>
      <c r="Q691" s="267"/>
      <c r="R691" s="265"/>
      <c r="S691" s="265"/>
    </row>
    <row r="692" spans="1:19" s="261" customFormat="1" ht="15">
      <c r="A692" s="259"/>
      <c r="B692" s="82"/>
      <c r="C692" s="102" t="s">
        <v>421</v>
      </c>
      <c r="D692" s="155" t="s">
        <v>71</v>
      </c>
      <c r="E692" s="223">
        <v>3</v>
      </c>
      <c r="F692" s="262"/>
      <c r="G692" s="263"/>
      <c r="H692" s="264"/>
      <c r="I692" s="265"/>
      <c r="J692" s="266"/>
      <c r="K692" s="265"/>
      <c r="L692" s="267"/>
      <c r="M692" s="265"/>
      <c r="N692" s="265"/>
      <c r="O692" s="268"/>
      <c r="P692" s="266"/>
      <c r="Q692" s="267"/>
      <c r="R692" s="265"/>
      <c r="S692" s="265"/>
    </row>
    <row r="693" spans="1:19" s="261" customFormat="1" ht="15">
      <c r="A693" s="259"/>
      <c r="B693" s="82"/>
      <c r="C693" s="102" t="s">
        <v>428</v>
      </c>
      <c r="D693" s="155" t="s">
        <v>71</v>
      </c>
      <c r="E693" s="282">
        <v>3</v>
      </c>
      <c r="F693" s="262"/>
      <c r="G693" s="263"/>
      <c r="H693" s="264"/>
      <c r="I693" s="265"/>
      <c r="J693" s="266"/>
      <c r="K693" s="266"/>
      <c r="L693" s="267"/>
      <c r="M693" s="265"/>
      <c r="N693" s="265"/>
      <c r="O693" s="268"/>
      <c r="P693" s="266"/>
      <c r="Q693" s="267"/>
      <c r="R693" s="265"/>
      <c r="S693" s="265"/>
    </row>
    <row r="694" spans="1:19" s="261" customFormat="1" ht="15">
      <c r="A694" s="259"/>
      <c r="B694" s="82"/>
      <c r="C694" s="102" t="s">
        <v>445</v>
      </c>
      <c r="D694" s="155" t="s">
        <v>71</v>
      </c>
      <c r="E694" s="223">
        <v>3</v>
      </c>
      <c r="F694" s="262"/>
      <c r="G694" s="263"/>
      <c r="H694" s="264"/>
      <c r="I694" s="265"/>
      <c r="J694" s="266"/>
      <c r="K694" s="266"/>
      <c r="L694" s="267"/>
      <c r="M694" s="265"/>
      <c r="N694" s="265"/>
      <c r="O694" s="268"/>
      <c r="P694" s="266"/>
      <c r="Q694" s="267"/>
      <c r="R694" s="265"/>
      <c r="S694" s="265"/>
    </row>
    <row r="695" spans="1:19" s="261" customFormat="1" ht="15">
      <c r="A695" s="259"/>
      <c r="B695" s="82"/>
      <c r="C695" s="102" t="s">
        <v>456</v>
      </c>
      <c r="D695" s="155" t="s">
        <v>71</v>
      </c>
      <c r="E695" s="282">
        <v>3</v>
      </c>
      <c r="F695" s="262"/>
      <c r="G695" s="263"/>
      <c r="H695" s="264"/>
      <c r="I695" s="265"/>
      <c r="J695" s="266"/>
      <c r="K695" s="266"/>
      <c r="L695" s="267"/>
      <c r="M695" s="265"/>
      <c r="N695" s="265"/>
      <c r="O695" s="268"/>
      <c r="P695" s="266"/>
      <c r="Q695" s="267"/>
      <c r="R695" s="265"/>
      <c r="S695" s="265"/>
    </row>
    <row r="696" spans="1:19" s="261" customFormat="1" ht="15">
      <c r="A696" s="259"/>
      <c r="B696" s="82"/>
      <c r="C696" s="102" t="s">
        <v>467</v>
      </c>
      <c r="D696" s="155" t="s">
        <v>71</v>
      </c>
      <c r="E696" s="223">
        <v>0</v>
      </c>
      <c r="F696" s="275"/>
      <c r="G696" s="263"/>
      <c r="H696" s="264"/>
      <c r="I696" s="265"/>
      <c r="J696" s="266"/>
      <c r="K696" s="266"/>
      <c r="L696" s="267"/>
      <c r="M696" s="265"/>
      <c r="N696" s="265"/>
      <c r="O696" s="268"/>
      <c r="P696" s="266"/>
      <c r="Q696" s="267"/>
      <c r="R696" s="265"/>
      <c r="S696" s="265"/>
    </row>
    <row r="697" spans="1:19" s="261" customFormat="1" ht="15">
      <c r="A697" s="259"/>
      <c r="B697" s="82"/>
      <c r="C697" s="102" t="s">
        <v>475</v>
      </c>
      <c r="D697" s="155" t="s">
        <v>71</v>
      </c>
      <c r="E697" s="282">
        <v>0</v>
      </c>
      <c r="F697" s="262"/>
      <c r="G697" s="263"/>
      <c r="H697" s="264"/>
      <c r="I697" s="265"/>
      <c r="J697" s="266"/>
      <c r="K697" s="266"/>
      <c r="L697" s="267"/>
      <c r="M697" s="265"/>
      <c r="N697" s="265"/>
      <c r="O697" s="268"/>
      <c r="P697" s="266"/>
      <c r="Q697" s="267"/>
      <c r="R697" s="265"/>
      <c r="S697" s="265"/>
    </row>
    <row r="698" spans="1:19" s="261" customFormat="1" ht="15">
      <c r="A698" s="259"/>
      <c r="B698" s="82"/>
      <c r="C698" s="102" t="s">
        <v>484</v>
      </c>
      <c r="D698" s="155" t="s">
        <v>71</v>
      </c>
      <c r="E698" s="223">
        <v>0</v>
      </c>
      <c r="F698" s="262"/>
      <c r="G698" s="263"/>
      <c r="H698" s="264"/>
      <c r="I698" s="265"/>
      <c r="J698" s="266"/>
      <c r="K698" s="265"/>
      <c r="L698" s="267"/>
      <c r="M698" s="265"/>
      <c r="N698" s="265"/>
      <c r="O698" s="268"/>
      <c r="P698" s="266"/>
      <c r="Q698" s="267"/>
      <c r="R698" s="265"/>
      <c r="S698" s="265"/>
    </row>
    <row r="699" spans="1:19" s="261" customFormat="1" ht="15">
      <c r="A699" s="259"/>
      <c r="B699" s="82"/>
      <c r="C699" s="102" t="s">
        <v>492</v>
      </c>
      <c r="D699" s="155" t="s">
        <v>71</v>
      </c>
      <c r="E699" s="282">
        <v>0</v>
      </c>
      <c r="F699" s="262"/>
      <c r="G699" s="263"/>
      <c r="H699" s="264"/>
      <c r="I699" s="265"/>
      <c r="J699" s="266"/>
      <c r="K699" s="265"/>
      <c r="L699" s="267"/>
      <c r="M699" s="265"/>
      <c r="N699" s="265"/>
      <c r="O699" s="268"/>
      <c r="P699" s="266"/>
      <c r="Q699" s="267"/>
      <c r="R699" s="265"/>
      <c r="S699" s="265"/>
    </row>
    <row r="700" spans="1:19" s="261" customFormat="1" ht="15">
      <c r="A700" s="259"/>
      <c r="B700" s="82"/>
      <c r="C700" s="276"/>
      <c r="D700" s="93"/>
      <c r="E700" s="262"/>
      <c r="F700" s="262"/>
      <c r="G700" s="263"/>
      <c r="H700" s="264"/>
      <c r="I700" s="265"/>
      <c r="J700" s="266"/>
      <c r="K700" s="266"/>
      <c r="L700" s="267"/>
      <c r="M700" s="265"/>
      <c r="N700" s="265"/>
      <c r="O700" s="268"/>
      <c r="P700" s="266"/>
      <c r="Q700" s="267"/>
      <c r="R700" s="265"/>
      <c r="S700" s="265"/>
    </row>
    <row r="701" spans="1:19" s="261" customFormat="1" ht="36.75">
      <c r="A701" s="259"/>
      <c r="B701" s="227" t="s">
        <v>513</v>
      </c>
      <c r="C701" s="102" t="s">
        <v>555</v>
      </c>
      <c r="D701" s="93" t="s">
        <v>71</v>
      </c>
      <c r="E701" s="85">
        <f>SUM(E702:E710)</f>
        <v>9</v>
      </c>
      <c r="F701" s="110"/>
      <c r="G701" s="103">
        <f>E701*F701</f>
        <v>0</v>
      </c>
      <c r="H701" s="264"/>
      <c r="I701" s="265"/>
      <c r="J701" s="266"/>
      <c r="K701" s="266"/>
      <c r="L701" s="267"/>
      <c r="M701" s="265"/>
      <c r="N701" s="265"/>
      <c r="O701" s="268"/>
      <c r="P701" s="266"/>
      <c r="Q701" s="267"/>
      <c r="R701" s="265"/>
      <c r="S701" s="265"/>
    </row>
    <row r="702" spans="1:19" s="261" customFormat="1" ht="15">
      <c r="A702" s="259"/>
      <c r="B702" s="82"/>
      <c r="C702" s="102" t="s">
        <v>411</v>
      </c>
      <c r="D702" s="155" t="s">
        <v>71</v>
      </c>
      <c r="E702" s="282">
        <v>1</v>
      </c>
      <c r="F702" s="262"/>
      <c r="G702" s="263"/>
      <c r="H702" s="264"/>
      <c r="I702" s="265"/>
      <c r="J702" s="266"/>
      <c r="K702" s="266"/>
      <c r="L702" s="267"/>
      <c r="M702" s="265"/>
      <c r="N702" s="265"/>
      <c r="O702" s="268"/>
      <c r="P702" s="266"/>
      <c r="Q702" s="267"/>
      <c r="R702" s="265"/>
      <c r="S702" s="265"/>
    </row>
    <row r="703" spans="1:19" s="261" customFormat="1" ht="15">
      <c r="A703" s="259"/>
      <c r="B703" s="82"/>
      <c r="C703" s="102" t="s">
        <v>421</v>
      </c>
      <c r="D703" s="155" t="s">
        <v>71</v>
      </c>
      <c r="E703" s="223">
        <v>1</v>
      </c>
      <c r="F703" s="262"/>
      <c r="G703" s="263"/>
      <c r="H703" s="266"/>
      <c r="I703" s="265"/>
      <c r="J703" s="266"/>
      <c r="K703" s="266"/>
      <c r="L703" s="267"/>
      <c r="M703" s="265"/>
      <c r="N703" s="265"/>
      <c r="O703" s="268"/>
      <c r="P703" s="266"/>
      <c r="Q703" s="267"/>
      <c r="R703" s="265"/>
      <c r="S703" s="265"/>
    </row>
    <row r="704" spans="1:19" s="261" customFormat="1" ht="15">
      <c r="A704" s="259"/>
      <c r="B704" s="82"/>
      <c r="C704" s="102" t="s">
        <v>428</v>
      </c>
      <c r="D704" s="155" t="s">
        <v>71</v>
      </c>
      <c r="E704" s="282">
        <v>1</v>
      </c>
      <c r="F704" s="262"/>
      <c r="G704" s="263"/>
      <c r="H704" s="264"/>
      <c r="I704" s="265"/>
      <c r="J704" s="266"/>
      <c r="K704" s="266"/>
      <c r="L704" s="267"/>
      <c r="M704" s="265"/>
      <c r="N704" s="265"/>
      <c r="O704" s="268"/>
      <c r="P704" s="266"/>
      <c r="Q704" s="267"/>
      <c r="R704" s="265"/>
      <c r="S704" s="265"/>
    </row>
    <row r="705" spans="1:19" s="261" customFormat="1" ht="15">
      <c r="A705" s="259"/>
      <c r="B705" s="82"/>
      <c r="C705" s="102" t="s">
        <v>445</v>
      </c>
      <c r="D705" s="155" t="s">
        <v>71</v>
      </c>
      <c r="E705" s="223">
        <v>1</v>
      </c>
      <c r="F705" s="277"/>
      <c r="G705" s="278"/>
      <c r="H705" s="264"/>
      <c r="I705" s="265"/>
      <c r="J705" s="271"/>
      <c r="K705" s="266"/>
      <c r="L705" s="267"/>
      <c r="M705" s="265"/>
      <c r="N705" s="265"/>
      <c r="O705" s="272"/>
      <c r="P705" s="271"/>
      <c r="Q705" s="267"/>
      <c r="R705" s="265"/>
      <c r="S705" s="265"/>
    </row>
    <row r="706" spans="1:19" s="261" customFormat="1" ht="15">
      <c r="A706" s="259"/>
      <c r="B706" s="82"/>
      <c r="C706" s="102" t="s">
        <v>456</v>
      </c>
      <c r="D706" s="155" t="s">
        <v>71</v>
      </c>
      <c r="E706" s="282">
        <v>1</v>
      </c>
      <c r="F706" s="262"/>
      <c r="G706" s="263"/>
      <c r="H706" s="264"/>
      <c r="I706" s="265"/>
      <c r="J706" s="266"/>
      <c r="K706" s="265"/>
      <c r="L706" s="267"/>
      <c r="M706" s="265"/>
      <c r="N706" s="265"/>
      <c r="O706" s="268"/>
      <c r="P706" s="266"/>
      <c r="Q706" s="267"/>
      <c r="R706" s="265"/>
      <c r="S706" s="265"/>
    </row>
    <row r="707" spans="1:19" s="261" customFormat="1" ht="15">
      <c r="A707" s="259"/>
      <c r="B707" s="82"/>
      <c r="C707" s="102" t="s">
        <v>467</v>
      </c>
      <c r="D707" s="155" t="s">
        <v>71</v>
      </c>
      <c r="E707" s="223">
        <v>1</v>
      </c>
      <c r="F707" s="275"/>
      <c r="G707" s="263"/>
      <c r="H707" s="264"/>
      <c r="I707" s="265"/>
      <c r="J707" s="266"/>
      <c r="K707" s="266"/>
      <c r="L707" s="267"/>
      <c r="M707" s="265"/>
      <c r="N707" s="265"/>
      <c r="O707" s="268"/>
      <c r="P707" s="266"/>
      <c r="Q707" s="267"/>
      <c r="R707" s="265"/>
      <c r="S707" s="265"/>
    </row>
    <row r="708" spans="1:19" s="261" customFormat="1" ht="15">
      <c r="A708" s="259"/>
      <c r="B708" s="82"/>
      <c r="C708" s="102" t="s">
        <v>475</v>
      </c>
      <c r="D708" s="155" t="s">
        <v>71</v>
      </c>
      <c r="E708" s="282">
        <v>1</v>
      </c>
      <c r="F708" s="262"/>
      <c r="G708" s="263"/>
      <c r="H708" s="264"/>
      <c r="I708" s="265"/>
      <c r="J708" s="266"/>
      <c r="K708" s="266"/>
      <c r="L708" s="267"/>
      <c r="M708" s="265"/>
      <c r="N708" s="265"/>
      <c r="O708" s="268"/>
      <c r="P708" s="266"/>
      <c r="Q708" s="267"/>
      <c r="R708" s="265"/>
      <c r="S708" s="265"/>
    </row>
    <row r="709" spans="1:19" s="261" customFormat="1" ht="15">
      <c r="A709" s="259"/>
      <c r="B709" s="82"/>
      <c r="C709" s="102" t="s">
        <v>484</v>
      </c>
      <c r="D709" s="155" t="s">
        <v>71</v>
      </c>
      <c r="E709" s="223">
        <v>1</v>
      </c>
      <c r="F709" s="262"/>
      <c r="G709" s="263"/>
      <c r="H709" s="264"/>
      <c r="I709" s="265"/>
      <c r="J709" s="266"/>
      <c r="K709" s="266"/>
      <c r="L709" s="267"/>
      <c r="M709" s="265"/>
      <c r="N709" s="265"/>
      <c r="O709" s="268"/>
      <c r="P709" s="266"/>
      <c r="Q709" s="267"/>
      <c r="R709" s="265"/>
      <c r="S709" s="265"/>
    </row>
    <row r="710" spans="1:19" s="261" customFormat="1" ht="15">
      <c r="A710" s="259"/>
      <c r="B710" s="82"/>
      <c r="C710" s="102" t="s">
        <v>492</v>
      </c>
      <c r="D710" s="155" t="s">
        <v>71</v>
      </c>
      <c r="E710" s="282">
        <v>1</v>
      </c>
      <c r="F710" s="262"/>
      <c r="G710" s="263"/>
      <c r="H710" s="264"/>
      <c r="I710" s="265"/>
      <c r="J710" s="266"/>
      <c r="K710" s="266"/>
      <c r="L710" s="267"/>
      <c r="M710" s="265"/>
      <c r="N710" s="265"/>
      <c r="O710" s="268"/>
      <c r="P710" s="266"/>
      <c r="Q710" s="267"/>
      <c r="R710" s="265"/>
      <c r="S710" s="265"/>
    </row>
    <row r="711" spans="1:19" s="261" customFormat="1" ht="15">
      <c r="A711" s="259"/>
      <c r="B711" s="82"/>
      <c r="C711" s="270"/>
      <c r="D711" s="93"/>
      <c r="E711" s="262"/>
      <c r="F711" s="262"/>
      <c r="G711" s="263"/>
      <c r="H711" s="264"/>
      <c r="I711" s="265"/>
      <c r="J711" s="266"/>
      <c r="K711" s="266"/>
      <c r="L711" s="267"/>
      <c r="M711" s="265"/>
      <c r="N711" s="265"/>
      <c r="O711" s="268"/>
      <c r="P711" s="266"/>
      <c r="Q711" s="267"/>
      <c r="R711" s="265"/>
      <c r="S711" s="265"/>
    </row>
    <row r="712" spans="2:9" ht="12">
      <c r="B712" s="104"/>
      <c r="C712" s="65"/>
      <c r="D712" s="111"/>
      <c r="E712" s="204"/>
      <c r="F712" s="48"/>
      <c r="G712" s="163"/>
      <c r="I712" s="153"/>
    </row>
    <row r="713" spans="2:9" ht="12">
      <c r="B713" s="104"/>
      <c r="C713" s="45"/>
      <c r="D713" s="160"/>
      <c r="E713" s="202"/>
      <c r="F713" s="67"/>
      <c r="G713" s="156"/>
      <c r="I713" s="153"/>
    </row>
    <row r="714" spans="2:9" ht="12">
      <c r="B714" s="104"/>
      <c r="C714" s="45"/>
      <c r="D714" s="46"/>
      <c r="E714" s="202"/>
      <c r="F714" s="48"/>
      <c r="G714" s="156"/>
      <c r="I714" s="153"/>
    </row>
    <row r="715" spans="2:9" ht="12">
      <c r="B715" s="104"/>
      <c r="C715" s="45"/>
      <c r="D715" s="46"/>
      <c r="E715" s="202"/>
      <c r="F715" s="48"/>
      <c r="G715" s="156"/>
      <c r="I715" s="153"/>
    </row>
    <row r="716" spans="2:9" ht="12">
      <c r="B716" s="104"/>
      <c r="C716" s="69"/>
      <c r="D716" s="111"/>
      <c r="E716" s="204"/>
      <c r="F716" s="48"/>
      <c r="G716" s="163"/>
      <c r="I716" s="153"/>
    </row>
    <row r="717" spans="2:9" ht="12">
      <c r="B717" s="104"/>
      <c r="C717" s="70"/>
      <c r="D717" s="160"/>
      <c r="E717" s="202"/>
      <c r="F717" s="48"/>
      <c r="G717" s="156"/>
      <c r="I717" s="153"/>
    </row>
    <row r="718" spans="2:9" ht="12">
      <c r="B718" s="104"/>
      <c r="C718" s="45"/>
      <c r="D718" s="46"/>
      <c r="E718" s="202"/>
      <c r="F718" s="48"/>
      <c r="G718" s="156"/>
      <c r="I718" s="153"/>
    </row>
    <row r="719" spans="2:9" ht="75.75" customHeight="1">
      <c r="B719" s="104"/>
      <c r="C719" s="45"/>
      <c r="D719" s="71"/>
      <c r="E719" s="202"/>
      <c r="F719" s="72"/>
      <c r="G719" s="156"/>
      <c r="I719" s="153"/>
    </row>
    <row r="720" spans="2:9" ht="12">
      <c r="B720" s="104"/>
      <c r="C720" s="45"/>
      <c r="D720" s="75"/>
      <c r="E720" s="209"/>
      <c r="F720" s="74"/>
      <c r="G720" s="156"/>
      <c r="H720" s="172"/>
      <c r="I720" s="153"/>
    </row>
    <row r="721" spans="2:9" ht="12">
      <c r="B721" s="104"/>
      <c r="C721" s="45"/>
      <c r="D721" s="75"/>
      <c r="E721" s="209"/>
      <c r="F721" s="74"/>
      <c r="G721" s="156"/>
      <c r="H721" s="172"/>
      <c r="I721" s="153"/>
    </row>
    <row r="722" spans="2:9" ht="12">
      <c r="B722" s="104"/>
      <c r="C722" s="45"/>
      <c r="D722" s="75"/>
      <c r="E722" s="209"/>
      <c r="F722" s="74"/>
      <c r="G722" s="156"/>
      <c r="H722" s="172"/>
      <c r="I722" s="153"/>
    </row>
    <row r="723" spans="2:9" ht="12">
      <c r="B723" s="104"/>
      <c r="C723" s="45"/>
      <c r="D723" s="75"/>
      <c r="E723" s="209"/>
      <c r="F723" s="74"/>
      <c r="G723" s="156"/>
      <c r="H723" s="172"/>
      <c r="I723" s="153"/>
    </row>
    <row r="724" spans="2:9" ht="12">
      <c r="B724" s="104"/>
      <c r="C724" s="45"/>
      <c r="D724" s="75"/>
      <c r="E724" s="209"/>
      <c r="F724" s="74"/>
      <c r="G724" s="156"/>
      <c r="H724" s="172"/>
      <c r="I724" s="153"/>
    </row>
    <row r="725" spans="2:9" ht="12">
      <c r="B725" s="104"/>
      <c r="C725" s="45"/>
      <c r="D725" s="75"/>
      <c r="E725" s="209"/>
      <c r="F725" s="74"/>
      <c r="G725" s="156"/>
      <c r="H725" s="172"/>
      <c r="I725" s="153"/>
    </row>
    <row r="726" spans="2:9" ht="12">
      <c r="B726" s="104"/>
      <c r="C726" s="45"/>
      <c r="D726" s="75"/>
      <c r="E726" s="209"/>
      <c r="F726" s="74"/>
      <c r="G726" s="156"/>
      <c r="H726" s="172"/>
      <c r="I726" s="153"/>
    </row>
    <row r="727" spans="2:9" ht="12">
      <c r="B727" s="104"/>
      <c r="C727" s="45"/>
      <c r="D727" s="75"/>
      <c r="E727" s="209"/>
      <c r="F727" s="74"/>
      <c r="G727" s="156"/>
      <c r="H727" s="172"/>
      <c r="I727" s="153"/>
    </row>
    <row r="728" spans="2:9" ht="12">
      <c r="B728" s="104"/>
      <c r="C728" s="45"/>
      <c r="D728" s="75"/>
      <c r="E728" s="209"/>
      <c r="F728" s="74"/>
      <c r="G728" s="156"/>
      <c r="H728" s="172"/>
      <c r="I728" s="153"/>
    </row>
    <row r="729" spans="2:9" ht="12">
      <c r="B729" s="104"/>
      <c r="C729" s="45"/>
      <c r="D729" s="75"/>
      <c r="E729" s="209"/>
      <c r="F729" s="74"/>
      <c r="G729" s="156"/>
      <c r="H729" s="172"/>
      <c r="I729" s="153"/>
    </row>
    <row r="730" spans="2:9" ht="12">
      <c r="B730" s="104"/>
      <c r="C730" s="45"/>
      <c r="D730" s="75"/>
      <c r="E730" s="209"/>
      <c r="F730" s="74"/>
      <c r="G730" s="156"/>
      <c r="H730" s="172"/>
      <c r="I730" s="153"/>
    </row>
    <row r="731" spans="2:9" ht="12">
      <c r="B731" s="104"/>
      <c r="C731" s="45"/>
      <c r="D731" s="75"/>
      <c r="E731" s="209"/>
      <c r="F731" s="74"/>
      <c r="G731" s="156"/>
      <c r="H731" s="172"/>
      <c r="I731" s="153"/>
    </row>
    <row r="732" spans="2:9" ht="12">
      <c r="B732" s="104"/>
      <c r="C732" s="45"/>
      <c r="D732" s="75"/>
      <c r="E732" s="209"/>
      <c r="F732" s="74"/>
      <c r="G732" s="156"/>
      <c r="H732" s="172"/>
      <c r="I732" s="153"/>
    </row>
    <row r="733" spans="2:9" ht="12">
      <c r="B733" s="104"/>
      <c r="C733" s="45"/>
      <c r="D733" s="46"/>
      <c r="E733" s="209"/>
      <c r="F733" s="48"/>
      <c r="G733" s="156"/>
      <c r="I733" s="153"/>
    </row>
    <row r="734" spans="2:9" ht="12">
      <c r="B734" s="104"/>
      <c r="C734" s="45"/>
      <c r="D734" s="46"/>
      <c r="E734" s="202"/>
      <c r="F734" s="48"/>
      <c r="G734" s="156"/>
      <c r="I734" s="153"/>
    </row>
    <row r="735" spans="2:9" ht="12">
      <c r="B735" s="104"/>
      <c r="C735" s="65"/>
      <c r="D735" s="173"/>
      <c r="E735" s="210"/>
      <c r="F735" s="48"/>
      <c r="G735" s="163"/>
      <c r="I735" s="153"/>
    </row>
    <row r="736" spans="2:9" ht="12">
      <c r="B736" s="104"/>
      <c r="C736" s="68"/>
      <c r="D736" s="71"/>
      <c r="E736" s="202"/>
      <c r="F736" s="73"/>
      <c r="G736" s="156"/>
      <c r="I736" s="153"/>
    </row>
    <row r="737" spans="2:9" ht="12">
      <c r="B737" s="104"/>
      <c r="C737" s="45"/>
      <c r="D737" s="46"/>
      <c r="E737" s="202"/>
      <c r="F737" s="48"/>
      <c r="G737" s="156"/>
      <c r="I737" s="153"/>
    </row>
    <row r="738" spans="2:9" ht="12">
      <c r="B738" s="104"/>
      <c r="C738" s="65"/>
      <c r="D738" s="173"/>
      <c r="E738" s="210"/>
      <c r="F738" s="48"/>
      <c r="G738" s="163"/>
      <c r="I738" s="153"/>
    </row>
    <row r="739" spans="2:9" ht="12">
      <c r="B739" s="104"/>
      <c r="D739" s="174"/>
      <c r="E739" s="203"/>
      <c r="I739" s="153"/>
    </row>
    <row r="740" spans="2:9" ht="12">
      <c r="B740" s="104"/>
      <c r="C740" s="111"/>
      <c r="D740" s="173"/>
      <c r="E740" s="203"/>
      <c r="F740" s="175"/>
      <c r="G740" s="176"/>
      <c r="I740" s="153"/>
    </row>
    <row r="741" spans="2:9" ht="12">
      <c r="B741" s="104"/>
      <c r="C741" s="230"/>
      <c r="D741" s="174"/>
      <c r="E741" s="203"/>
      <c r="I741" s="153"/>
    </row>
    <row r="742" spans="2:9" ht="12">
      <c r="B742" s="104"/>
      <c r="C742" s="231"/>
      <c r="D742" s="174"/>
      <c r="E742" s="203"/>
      <c r="I742" s="153"/>
    </row>
    <row r="743" spans="2:9" ht="12">
      <c r="B743" s="104"/>
      <c r="C743" s="231"/>
      <c r="D743" s="174"/>
      <c r="E743" s="203"/>
      <c r="I743" s="153"/>
    </row>
    <row r="744" spans="2:9" ht="12">
      <c r="B744" s="104"/>
      <c r="C744" s="177"/>
      <c r="D744" s="128"/>
      <c r="E744" s="210"/>
      <c r="G744" s="127"/>
      <c r="I744" s="153"/>
    </row>
    <row r="745" spans="2:9" ht="12">
      <c r="B745" s="104"/>
      <c r="C745" s="232"/>
      <c r="D745" s="173"/>
      <c r="E745" s="210"/>
      <c r="F745" s="48"/>
      <c r="G745" s="163"/>
      <c r="I745" s="153"/>
    </row>
    <row r="746" spans="2:9" ht="12">
      <c r="B746" s="104"/>
      <c r="C746" s="233"/>
      <c r="D746" s="178"/>
      <c r="E746" s="203"/>
      <c r="I746" s="153"/>
    </row>
    <row r="747" spans="2:9" ht="12">
      <c r="B747" s="104"/>
      <c r="C747" s="45"/>
      <c r="D747" s="178"/>
      <c r="E747" s="203"/>
      <c r="G747" s="156"/>
      <c r="I747" s="153"/>
    </row>
    <row r="748" spans="2:9" ht="12">
      <c r="B748" s="104"/>
      <c r="C748" s="234"/>
      <c r="D748" s="178"/>
      <c r="E748" s="206"/>
      <c r="F748" s="167"/>
      <c r="G748" s="156"/>
      <c r="I748" s="153"/>
    </row>
    <row r="749" spans="2:9" ht="12">
      <c r="B749" s="104"/>
      <c r="C749" s="234"/>
      <c r="D749" s="178"/>
      <c r="E749" s="206"/>
      <c r="F749" s="167"/>
      <c r="G749" s="156"/>
      <c r="I749" s="153"/>
    </row>
    <row r="750" spans="2:9" ht="12">
      <c r="B750" s="104"/>
      <c r="C750" s="234"/>
      <c r="D750" s="178"/>
      <c r="E750" s="206"/>
      <c r="F750" s="167"/>
      <c r="G750" s="156"/>
      <c r="I750" s="153"/>
    </row>
    <row r="751" spans="2:9" ht="12">
      <c r="B751" s="104"/>
      <c r="C751" s="234"/>
      <c r="D751" s="178"/>
      <c r="E751" s="206"/>
      <c r="F751" s="167"/>
      <c r="G751" s="156"/>
      <c r="I751" s="153"/>
    </row>
    <row r="752" spans="2:9" ht="12">
      <c r="B752" s="104"/>
      <c r="C752" s="230"/>
      <c r="D752" s="178"/>
      <c r="E752" s="203"/>
      <c r="I752" s="153"/>
    </row>
    <row r="753" spans="2:9" ht="12">
      <c r="B753" s="104"/>
      <c r="C753" s="230"/>
      <c r="D753" s="178"/>
      <c r="E753" s="211"/>
      <c r="F753" s="179"/>
      <c r="G753" s="180"/>
      <c r="I753" s="153"/>
    </row>
    <row r="754" spans="1:9" ht="12">
      <c r="A754" s="181"/>
      <c r="B754" s="104"/>
      <c r="C754" s="230"/>
      <c r="D754" s="178"/>
      <c r="E754" s="203"/>
      <c r="G754" s="156"/>
      <c r="I754" s="153"/>
    </row>
    <row r="755" spans="1:9" ht="12">
      <c r="A755" s="181"/>
      <c r="B755" s="104"/>
      <c r="C755" s="230"/>
      <c r="D755" s="178"/>
      <c r="E755" s="203"/>
      <c r="G755" s="156"/>
      <c r="I755" s="153"/>
    </row>
    <row r="756" spans="1:9" ht="12">
      <c r="A756" s="181"/>
      <c r="B756" s="104"/>
      <c r="C756" s="230"/>
      <c r="D756" s="178"/>
      <c r="E756" s="203"/>
      <c r="G756" s="156"/>
      <c r="I756" s="153"/>
    </row>
    <row r="757" spans="1:9" ht="12">
      <c r="A757" s="181"/>
      <c r="B757" s="104"/>
      <c r="C757" s="230"/>
      <c r="D757" s="178"/>
      <c r="E757" s="203"/>
      <c r="G757" s="156"/>
      <c r="I757" s="153"/>
    </row>
    <row r="758" spans="1:9" ht="12">
      <c r="A758" s="181"/>
      <c r="B758" s="104"/>
      <c r="C758" s="230"/>
      <c r="D758" s="178"/>
      <c r="E758" s="203"/>
      <c r="G758" s="156"/>
      <c r="I758" s="153"/>
    </row>
    <row r="759" spans="1:9" ht="12">
      <c r="A759" s="181"/>
      <c r="B759" s="104"/>
      <c r="C759" s="230"/>
      <c r="D759" s="178"/>
      <c r="E759" s="210"/>
      <c r="G759" s="156"/>
      <c r="I759" s="153"/>
    </row>
    <row r="760" spans="1:9" ht="12">
      <c r="A760" s="181"/>
      <c r="B760" s="104"/>
      <c r="C760" s="230"/>
      <c r="D760" s="178"/>
      <c r="E760" s="210"/>
      <c r="G760" s="156"/>
      <c r="I760" s="153"/>
    </row>
    <row r="761" spans="1:9" ht="12">
      <c r="A761" s="181"/>
      <c r="B761" s="104"/>
      <c r="C761" s="230"/>
      <c r="D761" s="178"/>
      <c r="E761" s="203"/>
      <c r="G761" s="156"/>
      <c r="I761" s="153"/>
    </row>
    <row r="762" spans="1:9" ht="12">
      <c r="A762" s="181"/>
      <c r="B762" s="104"/>
      <c r="C762" s="230"/>
      <c r="D762" s="178"/>
      <c r="E762" s="203"/>
      <c r="G762" s="156"/>
      <c r="I762" s="153"/>
    </row>
    <row r="763" spans="1:9" ht="12">
      <c r="A763" s="181"/>
      <c r="B763" s="104"/>
      <c r="C763" s="235"/>
      <c r="D763" s="128"/>
      <c r="E763" s="210"/>
      <c r="F763" s="182"/>
      <c r="G763" s="127"/>
      <c r="I763" s="153"/>
    </row>
    <row r="764" spans="1:9" ht="12">
      <c r="A764" s="181"/>
      <c r="B764" s="104"/>
      <c r="D764" s="178"/>
      <c r="E764" s="203"/>
      <c r="I764" s="153"/>
    </row>
    <row r="765" spans="1:9" ht="12">
      <c r="A765" s="181"/>
      <c r="B765" s="104"/>
      <c r="C765" s="231"/>
      <c r="D765" s="178"/>
      <c r="E765" s="203"/>
      <c r="I765" s="153"/>
    </row>
    <row r="766" spans="1:9" ht="12">
      <c r="A766" s="181"/>
      <c r="B766" s="104"/>
      <c r="C766" s="231"/>
      <c r="D766" s="183"/>
      <c r="E766" s="203"/>
      <c r="G766" s="156"/>
      <c r="I766" s="153"/>
    </row>
    <row r="767" spans="1:9" ht="12">
      <c r="A767" s="181"/>
      <c r="B767" s="104"/>
      <c r="C767" s="231"/>
      <c r="D767" s="183"/>
      <c r="E767" s="203"/>
      <c r="G767" s="156"/>
      <c r="I767" s="153"/>
    </row>
    <row r="768" spans="1:9" ht="12">
      <c r="A768" s="181"/>
      <c r="B768" s="104"/>
      <c r="C768" s="231"/>
      <c r="D768" s="183"/>
      <c r="E768" s="203"/>
      <c r="G768" s="156"/>
      <c r="I768" s="153"/>
    </row>
    <row r="769" spans="1:9" ht="12">
      <c r="A769" s="181"/>
      <c r="B769" s="104"/>
      <c r="C769" s="231"/>
      <c r="D769" s="183"/>
      <c r="E769" s="203"/>
      <c r="G769" s="156"/>
      <c r="I769" s="153"/>
    </row>
    <row r="770" spans="1:9" ht="12">
      <c r="A770" s="181"/>
      <c r="B770" s="104"/>
      <c r="C770" s="231"/>
      <c r="D770" s="183"/>
      <c r="E770" s="203"/>
      <c r="G770" s="156"/>
      <c r="I770" s="153"/>
    </row>
    <row r="771" spans="1:9" ht="12">
      <c r="A771" s="181"/>
      <c r="B771" s="104"/>
      <c r="C771" s="231"/>
      <c r="D771" s="183"/>
      <c r="E771" s="203"/>
      <c r="G771" s="156"/>
      <c r="I771" s="153"/>
    </row>
    <row r="772" spans="1:9" ht="12">
      <c r="A772" s="181"/>
      <c r="B772" s="104"/>
      <c r="C772" s="231"/>
      <c r="D772" s="183"/>
      <c r="E772" s="203"/>
      <c r="G772" s="156"/>
      <c r="I772" s="153"/>
    </row>
    <row r="773" spans="1:10" ht="12">
      <c r="A773" s="181"/>
      <c r="B773" s="104"/>
      <c r="C773" s="236"/>
      <c r="D773" s="183"/>
      <c r="E773" s="203"/>
      <c r="G773" s="156"/>
      <c r="I773" s="153"/>
      <c r="J773" s="184"/>
    </row>
    <row r="774" spans="1:9" ht="12">
      <c r="A774" s="181"/>
      <c r="B774" s="104"/>
      <c r="C774" s="236"/>
      <c r="D774" s="183"/>
      <c r="E774" s="203"/>
      <c r="G774" s="156"/>
      <c r="I774" s="153"/>
    </row>
    <row r="775" spans="1:9" ht="12">
      <c r="A775" s="181"/>
      <c r="B775" s="104"/>
      <c r="C775" s="236"/>
      <c r="D775" s="183"/>
      <c r="E775" s="203"/>
      <c r="G775" s="156"/>
      <c r="I775" s="153"/>
    </row>
    <row r="776" spans="1:9" ht="12">
      <c r="A776" s="181"/>
      <c r="B776" s="104"/>
      <c r="C776" s="236"/>
      <c r="D776" s="183"/>
      <c r="E776" s="203"/>
      <c r="G776" s="156"/>
      <c r="I776" s="153"/>
    </row>
    <row r="777" spans="1:9" ht="12">
      <c r="A777" s="181"/>
      <c r="B777" s="104"/>
      <c r="C777" s="236"/>
      <c r="D777" s="183"/>
      <c r="E777" s="203"/>
      <c r="G777" s="156"/>
      <c r="I777" s="153"/>
    </row>
    <row r="778" spans="1:9" ht="12">
      <c r="A778" s="181"/>
      <c r="B778" s="104"/>
      <c r="C778" s="237"/>
      <c r="D778" s="128"/>
      <c r="E778" s="210"/>
      <c r="F778" s="182"/>
      <c r="G778" s="127"/>
      <c r="I778" s="153"/>
    </row>
    <row r="779" spans="1:9" ht="12">
      <c r="A779" s="181"/>
      <c r="B779" s="104"/>
      <c r="C779" s="238"/>
      <c r="D779" s="183"/>
      <c r="E779" s="203"/>
      <c r="I779" s="153"/>
    </row>
    <row r="780" spans="1:9" ht="12">
      <c r="A780" s="181"/>
      <c r="B780" s="104"/>
      <c r="C780" s="231"/>
      <c r="D780" s="183"/>
      <c r="E780" s="203"/>
      <c r="I780" s="153"/>
    </row>
    <row r="781" spans="1:10" ht="12">
      <c r="A781" s="181"/>
      <c r="B781" s="104"/>
      <c r="C781" s="231"/>
      <c r="D781" s="160"/>
      <c r="E781" s="203"/>
      <c r="G781" s="156"/>
      <c r="I781" s="153"/>
      <c r="J781" s="169"/>
    </row>
    <row r="782" spans="1:9" ht="12">
      <c r="A782" s="181"/>
      <c r="B782" s="104"/>
      <c r="C782" s="231"/>
      <c r="D782" s="160"/>
      <c r="E782" s="210"/>
      <c r="G782" s="156"/>
      <c r="I782" s="153"/>
    </row>
    <row r="783" spans="1:9" ht="12">
      <c r="A783" s="181"/>
      <c r="B783" s="104"/>
      <c r="C783" s="231"/>
      <c r="D783" s="160"/>
      <c r="E783" s="203"/>
      <c r="G783" s="156"/>
      <c r="I783" s="153"/>
    </row>
    <row r="784" spans="1:9" ht="12">
      <c r="A784" s="181"/>
      <c r="B784" s="104"/>
      <c r="C784" s="231"/>
      <c r="D784" s="160"/>
      <c r="E784" s="203"/>
      <c r="G784" s="156"/>
      <c r="I784" s="153"/>
    </row>
    <row r="785" spans="1:9" ht="12">
      <c r="A785" s="181"/>
      <c r="B785" s="104"/>
      <c r="C785" s="84"/>
      <c r="D785" s="128"/>
      <c r="E785" s="210"/>
      <c r="F785" s="182"/>
      <c r="G785" s="127"/>
      <c r="I785" s="153"/>
    </row>
    <row r="786" spans="1:9" ht="12">
      <c r="A786" s="181"/>
      <c r="B786" s="104"/>
      <c r="D786" s="130"/>
      <c r="E786" s="203"/>
      <c r="I786" s="153"/>
    </row>
    <row r="787" spans="1:9" ht="12">
      <c r="A787" s="181"/>
      <c r="B787" s="104"/>
      <c r="D787" s="130"/>
      <c r="E787" s="203"/>
      <c r="I787" s="153"/>
    </row>
    <row r="788" spans="1:9" ht="12">
      <c r="A788" s="181"/>
      <c r="B788" s="185"/>
      <c r="C788" s="65"/>
      <c r="D788" s="173"/>
      <c r="E788" s="210"/>
      <c r="F788" s="48"/>
      <c r="G788" s="163"/>
      <c r="I788" s="153"/>
    </row>
    <row r="789" spans="1:9" ht="12">
      <c r="A789" s="181"/>
      <c r="B789" s="185"/>
      <c r="C789" s="230"/>
      <c r="D789" s="178"/>
      <c r="E789" s="203"/>
      <c r="I789" s="153"/>
    </row>
    <row r="790" spans="2:9" ht="12">
      <c r="B790" s="186"/>
      <c r="C790" s="89"/>
      <c r="D790" s="187"/>
      <c r="E790" s="202"/>
      <c r="F790" s="158"/>
      <c r="G790" s="156"/>
      <c r="I790" s="153"/>
    </row>
    <row r="791" spans="2:9" ht="12">
      <c r="B791" s="186"/>
      <c r="C791" s="89"/>
      <c r="D791" s="188"/>
      <c r="E791" s="202"/>
      <c r="F791" s="158"/>
      <c r="G791" s="156"/>
      <c r="I791" s="153"/>
    </row>
    <row r="792" spans="2:9" ht="12">
      <c r="B792" s="186"/>
      <c r="C792" s="230"/>
      <c r="D792" s="188"/>
      <c r="E792" s="202"/>
      <c r="F792" s="158"/>
      <c r="G792" s="156"/>
      <c r="I792" s="153"/>
    </row>
    <row r="793" spans="2:9" ht="12">
      <c r="B793" s="186"/>
      <c r="C793" s="230"/>
      <c r="D793" s="188"/>
      <c r="E793" s="202"/>
      <c r="F793" s="158"/>
      <c r="G793" s="156"/>
      <c r="I793" s="153"/>
    </row>
    <row r="794" spans="2:9" ht="12">
      <c r="B794" s="186"/>
      <c r="C794" s="231"/>
      <c r="D794" s="188"/>
      <c r="E794" s="202"/>
      <c r="F794" s="158"/>
      <c r="G794" s="156"/>
      <c r="I794" s="153"/>
    </row>
    <row r="795" spans="2:9" ht="12">
      <c r="B795" s="186"/>
      <c r="C795" s="231"/>
      <c r="D795" s="188"/>
      <c r="E795" s="202"/>
      <c r="F795" s="158"/>
      <c r="G795" s="156"/>
      <c r="I795" s="153"/>
    </row>
    <row r="796" spans="2:9" ht="12">
      <c r="B796" s="186"/>
      <c r="C796" s="231"/>
      <c r="D796" s="188"/>
      <c r="E796" s="202"/>
      <c r="F796" s="158"/>
      <c r="G796" s="156"/>
      <c r="I796" s="153"/>
    </row>
    <row r="797" spans="2:9" ht="12">
      <c r="B797" s="186"/>
      <c r="C797" s="231"/>
      <c r="D797" s="188"/>
      <c r="E797" s="202"/>
      <c r="F797" s="158"/>
      <c r="G797" s="156"/>
      <c r="I797" s="153"/>
    </row>
    <row r="798" spans="2:9" ht="36" customHeight="1">
      <c r="B798" s="186"/>
      <c r="C798" s="231"/>
      <c r="D798" s="188"/>
      <c r="E798" s="204"/>
      <c r="F798" s="158"/>
      <c r="G798" s="156"/>
      <c r="I798" s="153"/>
    </row>
    <row r="799" spans="2:9" ht="12">
      <c r="B799" s="186"/>
      <c r="C799" s="231"/>
      <c r="D799" s="188"/>
      <c r="E799" s="204"/>
      <c r="F799" s="158"/>
      <c r="G799" s="156"/>
      <c r="I799" s="153"/>
    </row>
    <row r="800" spans="2:9" ht="12">
      <c r="B800" s="186"/>
      <c r="C800" s="231"/>
      <c r="D800" s="188"/>
      <c r="E800" s="202"/>
      <c r="F800" s="158"/>
      <c r="G800" s="156"/>
      <c r="I800" s="153"/>
    </row>
    <row r="801" spans="2:9" ht="12">
      <c r="B801" s="186"/>
      <c r="C801" s="239"/>
      <c r="D801" s="129"/>
      <c r="E801" s="203"/>
      <c r="I801" s="153"/>
    </row>
    <row r="802" spans="2:9" ht="12">
      <c r="B802" s="150"/>
      <c r="C802" s="107"/>
      <c r="D802" s="129"/>
      <c r="E802" s="210"/>
      <c r="G802" s="127"/>
      <c r="I802" s="153"/>
    </row>
    <row r="803" spans="2:9" ht="12">
      <c r="B803" s="150"/>
      <c r="C803" s="107"/>
      <c r="D803" s="129"/>
      <c r="E803" s="210"/>
      <c r="G803" s="127"/>
      <c r="I803" s="153"/>
    </row>
    <row r="804" spans="2:9" ht="12">
      <c r="B804" s="150"/>
      <c r="C804" s="107"/>
      <c r="D804" s="129"/>
      <c r="E804" s="210"/>
      <c r="G804" s="127"/>
      <c r="I804" s="153"/>
    </row>
    <row r="805" spans="2:9" ht="12">
      <c r="B805" s="150"/>
      <c r="C805" s="107"/>
      <c r="D805" s="129"/>
      <c r="E805" s="210"/>
      <c r="G805" s="127"/>
      <c r="I805" s="153"/>
    </row>
    <row r="806" spans="2:9" ht="12">
      <c r="B806" s="150"/>
      <c r="C806" s="107"/>
      <c r="D806" s="129"/>
      <c r="E806" s="210"/>
      <c r="G806" s="127"/>
      <c r="I806" s="153"/>
    </row>
    <row r="807" spans="2:9" ht="12">
      <c r="B807" s="150"/>
      <c r="C807" s="107"/>
      <c r="D807" s="129"/>
      <c r="E807" s="210"/>
      <c r="G807" s="127"/>
      <c r="I807" s="153"/>
    </row>
    <row r="808" spans="2:9" ht="12">
      <c r="B808" s="150"/>
      <c r="C808" s="107"/>
      <c r="D808" s="129"/>
      <c r="E808" s="210"/>
      <c r="G808" s="127"/>
      <c r="I808" s="153"/>
    </row>
    <row r="809" spans="2:9" ht="12">
      <c r="B809" s="150"/>
      <c r="C809" s="107"/>
      <c r="D809" s="129"/>
      <c r="E809" s="210"/>
      <c r="G809" s="127"/>
      <c r="I809" s="153"/>
    </row>
    <row r="810" spans="2:9" ht="12">
      <c r="B810" s="150"/>
      <c r="C810" s="107"/>
      <c r="D810" s="129"/>
      <c r="E810" s="210"/>
      <c r="G810" s="127"/>
      <c r="I810" s="153"/>
    </row>
    <row r="811" spans="2:9" ht="12">
      <c r="B811" s="150"/>
      <c r="C811" s="107"/>
      <c r="D811" s="129"/>
      <c r="E811" s="210"/>
      <c r="G811" s="127"/>
      <c r="I811" s="153"/>
    </row>
    <row r="812" spans="2:9" ht="12">
      <c r="B812" s="150"/>
      <c r="C812" s="107"/>
      <c r="D812" s="129"/>
      <c r="E812" s="210"/>
      <c r="G812" s="127"/>
      <c r="I812" s="153"/>
    </row>
    <row r="813" spans="2:9" ht="12">
      <c r="B813" s="150"/>
      <c r="C813" s="107"/>
      <c r="D813" s="129"/>
      <c r="E813" s="210"/>
      <c r="G813" s="127"/>
      <c r="I813" s="153"/>
    </row>
    <row r="814" spans="2:9" ht="12">
      <c r="B814" s="150"/>
      <c r="C814" s="107"/>
      <c r="D814" s="129"/>
      <c r="E814" s="210"/>
      <c r="G814" s="127"/>
      <c r="I814" s="153"/>
    </row>
    <row r="815" spans="2:9" ht="12">
      <c r="B815" s="150"/>
      <c r="C815" s="107"/>
      <c r="D815" s="129"/>
      <c r="E815" s="210"/>
      <c r="G815" s="127"/>
      <c r="I815" s="153"/>
    </row>
    <row r="816" spans="2:9" ht="12">
      <c r="B816" s="150"/>
      <c r="C816" s="107"/>
      <c r="D816" s="129"/>
      <c r="E816" s="210"/>
      <c r="G816" s="127"/>
      <c r="I816" s="153"/>
    </row>
    <row r="817" spans="2:9" ht="12">
      <c r="B817" s="150"/>
      <c r="C817" s="107"/>
      <c r="D817" s="129"/>
      <c r="E817" s="210"/>
      <c r="G817" s="127"/>
      <c r="I817" s="153"/>
    </row>
    <row r="818" spans="2:9" ht="12">
      <c r="B818" s="150"/>
      <c r="C818" s="107"/>
      <c r="D818" s="129"/>
      <c r="E818" s="210"/>
      <c r="G818" s="127"/>
      <c r="I818" s="153"/>
    </row>
    <row r="819" spans="3:9" ht="12">
      <c r="C819" s="107"/>
      <c r="D819" s="129"/>
      <c r="E819" s="210"/>
      <c r="G819" s="127"/>
      <c r="I819" s="153"/>
    </row>
    <row r="820" spans="3:9" ht="12">
      <c r="C820" s="107"/>
      <c r="D820" s="129"/>
      <c r="E820" s="210"/>
      <c r="G820" s="127"/>
      <c r="I820" s="153"/>
    </row>
    <row r="821" spans="3:9" ht="12">
      <c r="C821" s="107"/>
      <c r="D821" s="129"/>
      <c r="E821" s="210"/>
      <c r="G821" s="127"/>
      <c r="I821" s="153"/>
    </row>
    <row r="822" spans="3:9" ht="12">
      <c r="C822" s="107"/>
      <c r="D822" s="129"/>
      <c r="E822" s="210"/>
      <c r="G822" s="127"/>
      <c r="I822" s="153"/>
    </row>
    <row r="823" spans="3:9" ht="12">
      <c r="C823" s="107"/>
      <c r="D823" s="129"/>
      <c r="E823" s="210"/>
      <c r="G823" s="127"/>
      <c r="I823" s="153"/>
    </row>
    <row r="824" spans="3:9" ht="12">
      <c r="C824" s="107"/>
      <c r="D824" s="129"/>
      <c r="E824" s="210"/>
      <c r="G824" s="127"/>
      <c r="I824" s="153"/>
    </row>
    <row r="825" spans="3:9" ht="12">
      <c r="C825" s="107"/>
      <c r="D825" s="129"/>
      <c r="E825" s="210"/>
      <c r="G825" s="127"/>
      <c r="I825" s="153"/>
    </row>
    <row r="826" spans="3:9" ht="12">
      <c r="C826" s="107"/>
      <c r="D826" s="129"/>
      <c r="E826" s="210"/>
      <c r="G826" s="127"/>
      <c r="I826" s="153"/>
    </row>
    <row r="827" spans="3:9" ht="12">
      <c r="C827" s="107"/>
      <c r="D827" s="129"/>
      <c r="E827" s="210"/>
      <c r="G827" s="127"/>
      <c r="I827" s="153"/>
    </row>
    <row r="828" spans="3:9" ht="12">
      <c r="C828" s="107"/>
      <c r="D828" s="129"/>
      <c r="E828" s="210"/>
      <c r="G828" s="127"/>
      <c r="I828" s="153"/>
    </row>
    <row r="829" spans="3:9" ht="12">
      <c r="C829" s="107"/>
      <c r="D829" s="129"/>
      <c r="E829" s="210"/>
      <c r="G829" s="127"/>
      <c r="I829" s="153"/>
    </row>
    <row r="830" spans="3:9" ht="12">
      <c r="C830" s="107"/>
      <c r="D830" s="129"/>
      <c r="E830" s="210"/>
      <c r="G830" s="127"/>
      <c r="I830" s="153"/>
    </row>
    <row r="831" spans="3:9" ht="12">
      <c r="C831" s="107"/>
      <c r="D831" s="129"/>
      <c r="E831" s="210"/>
      <c r="G831" s="127"/>
      <c r="I831" s="153"/>
    </row>
    <row r="832" spans="3:9" ht="12">
      <c r="C832" s="107"/>
      <c r="D832" s="129"/>
      <c r="E832" s="210"/>
      <c r="G832" s="127"/>
      <c r="I832" s="153"/>
    </row>
    <row r="833" spans="3:9" ht="12">
      <c r="C833" s="107"/>
      <c r="D833" s="129"/>
      <c r="E833" s="210"/>
      <c r="G833" s="127"/>
      <c r="I833" s="153"/>
    </row>
    <row r="834" spans="3:9" ht="12">
      <c r="C834" s="107"/>
      <c r="D834" s="129"/>
      <c r="E834" s="210"/>
      <c r="G834" s="127"/>
      <c r="I834" s="153"/>
    </row>
    <row r="835" spans="3:9" ht="12">
      <c r="C835" s="107"/>
      <c r="D835" s="129"/>
      <c r="E835" s="210"/>
      <c r="G835" s="127"/>
      <c r="I835" s="153"/>
    </row>
    <row r="836" spans="3:9" ht="12">
      <c r="C836" s="107"/>
      <c r="D836" s="129"/>
      <c r="E836" s="210"/>
      <c r="G836" s="127"/>
      <c r="I836" s="153"/>
    </row>
    <row r="837" spans="3:9" ht="12">
      <c r="C837" s="107"/>
      <c r="D837" s="129"/>
      <c r="E837" s="210"/>
      <c r="G837" s="127"/>
      <c r="I837" s="153"/>
    </row>
    <row r="838" spans="3:9" ht="12">
      <c r="C838" s="107"/>
      <c r="D838" s="129"/>
      <c r="E838" s="210"/>
      <c r="G838" s="127"/>
      <c r="I838" s="153"/>
    </row>
    <row r="839" spans="3:9" ht="12">
      <c r="C839" s="107"/>
      <c r="D839" s="129"/>
      <c r="E839" s="210"/>
      <c r="G839" s="127"/>
      <c r="I839" s="153"/>
    </row>
    <row r="840" spans="3:9" ht="12">
      <c r="C840" s="107"/>
      <c r="D840" s="129"/>
      <c r="E840" s="210"/>
      <c r="G840" s="127"/>
      <c r="I840" s="153"/>
    </row>
    <row r="841" spans="3:9" ht="12">
      <c r="C841" s="107"/>
      <c r="D841" s="129"/>
      <c r="E841" s="210"/>
      <c r="G841" s="127"/>
      <c r="I841" s="153"/>
    </row>
    <row r="842" spans="3:9" ht="12">
      <c r="C842" s="107"/>
      <c r="D842" s="129"/>
      <c r="E842" s="210"/>
      <c r="G842" s="127"/>
      <c r="I842" s="153"/>
    </row>
    <row r="843" spans="3:9" ht="12">
      <c r="C843" s="107"/>
      <c r="D843" s="129"/>
      <c r="E843" s="210"/>
      <c r="G843" s="127"/>
      <c r="I843" s="153"/>
    </row>
    <row r="844" spans="3:9" ht="12">
      <c r="C844" s="107"/>
      <c r="D844" s="129"/>
      <c r="E844" s="210"/>
      <c r="G844" s="127"/>
      <c r="I844" s="153"/>
    </row>
    <row r="845" spans="3:9" ht="12">
      <c r="C845" s="107"/>
      <c r="D845" s="129"/>
      <c r="E845" s="210"/>
      <c r="G845" s="127"/>
      <c r="I845" s="153"/>
    </row>
    <row r="846" spans="3:9" ht="12">
      <c r="C846" s="107"/>
      <c r="D846" s="129"/>
      <c r="E846" s="210"/>
      <c r="G846" s="127"/>
      <c r="I846" s="153"/>
    </row>
    <row r="847" spans="3:9" ht="12">
      <c r="C847" s="107"/>
      <c r="D847" s="129"/>
      <c r="E847" s="210"/>
      <c r="G847" s="127"/>
      <c r="I847" s="153"/>
    </row>
    <row r="848" spans="3:9" ht="12">
      <c r="C848" s="107"/>
      <c r="D848" s="129"/>
      <c r="E848" s="210"/>
      <c r="G848" s="127"/>
      <c r="I848" s="153"/>
    </row>
    <row r="849" spans="3:9" ht="12">
      <c r="C849" s="107"/>
      <c r="D849" s="129"/>
      <c r="E849" s="210"/>
      <c r="G849" s="127"/>
      <c r="I849" s="153"/>
    </row>
    <row r="850" spans="3:9" ht="12">
      <c r="C850" s="107"/>
      <c r="D850" s="129"/>
      <c r="E850" s="210"/>
      <c r="G850" s="127"/>
      <c r="I850" s="153"/>
    </row>
    <row r="851" spans="3:9" ht="12">
      <c r="C851" s="107"/>
      <c r="D851" s="129"/>
      <c r="E851" s="210"/>
      <c r="G851" s="127"/>
      <c r="I851" s="153"/>
    </row>
    <row r="852" spans="3:9" ht="12">
      <c r="C852" s="107"/>
      <c r="D852" s="129"/>
      <c r="E852" s="210"/>
      <c r="G852" s="127"/>
      <c r="I852" s="153"/>
    </row>
    <row r="853" spans="3:9" ht="12">
      <c r="C853" s="107"/>
      <c r="D853" s="129"/>
      <c r="E853" s="210"/>
      <c r="G853" s="127"/>
      <c r="I853" s="153"/>
    </row>
    <row r="854" spans="3:9" ht="12">
      <c r="C854" s="107"/>
      <c r="D854" s="129"/>
      <c r="E854" s="210"/>
      <c r="G854" s="127"/>
      <c r="I854" s="153"/>
    </row>
    <row r="855" spans="3:9" ht="12">
      <c r="C855" s="107"/>
      <c r="D855" s="129"/>
      <c r="E855" s="210"/>
      <c r="G855" s="127"/>
      <c r="I855" s="153"/>
    </row>
    <row r="856" spans="3:9" ht="12">
      <c r="C856" s="107"/>
      <c r="D856" s="129"/>
      <c r="E856" s="210"/>
      <c r="G856" s="127"/>
      <c r="I856" s="153"/>
    </row>
    <row r="857" spans="3:9" ht="12">
      <c r="C857" s="107"/>
      <c r="D857" s="129"/>
      <c r="E857" s="210"/>
      <c r="G857" s="127"/>
      <c r="I857" s="153"/>
    </row>
    <row r="858" spans="3:9" ht="12">
      <c r="C858" s="107"/>
      <c r="D858" s="129"/>
      <c r="E858" s="210"/>
      <c r="G858" s="127"/>
      <c r="I858" s="153"/>
    </row>
    <row r="859" spans="3:9" ht="12">
      <c r="C859" s="107"/>
      <c r="D859" s="129"/>
      <c r="E859" s="210"/>
      <c r="G859" s="127"/>
      <c r="I859" s="153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41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0.00390625" style="1" customWidth="1"/>
    <col min="2" max="2" width="61.8515625" style="16" customWidth="1"/>
    <col min="3" max="3" width="12.57421875" style="1" customWidth="1"/>
    <col min="4" max="16384" width="9.140625" style="1" customWidth="1"/>
  </cols>
  <sheetData>
    <row r="3" spans="1:4" ht="31.5">
      <c r="A3" s="2"/>
      <c r="B3" s="15" t="s">
        <v>575</v>
      </c>
      <c r="C3" s="4"/>
      <c r="D3" s="4"/>
    </row>
    <row r="5" ht="15">
      <c r="B5" s="17"/>
    </row>
    <row r="6" ht="15">
      <c r="B6" s="17"/>
    </row>
    <row r="7" ht="12.75">
      <c r="B7" s="78" t="s">
        <v>52</v>
      </c>
    </row>
    <row r="8" spans="1:3" ht="12.75">
      <c r="A8" s="2"/>
      <c r="B8" s="77" t="s">
        <v>107</v>
      </c>
      <c r="C8" s="2"/>
    </row>
    <row r="9" spans="1:3" ht="12.75">
      <c r="A9" s="2"/>
      <c r="B9" s="44"/>
      <c r="C9" s="2"/>
    </row>
    <row r="10" spans="1:3" ht="12.75">
      <c r="A10" s="2"/>
      <c r="B10" s="20"/>
      <c r="C10" s="2"/>
    </row>
    <row r="11" spans="1:3" ht="12.75">
      <c r="A11" s="5"/>
      <c r="B11" s="5"/>
      <c r="C11" s="5"/>
    </row>
    <row r="12" ht="12.75">
      <c r="B12" s="5"/>
    </row>
    <row r="13" spans="2:10" ht="15.75">
      <c r="B13" s="78" t="s">
        <v>64</v>
      </c>
      <c r="C13" s="6"/>
      <c r="D13" s="7"/>
      <c r="E13" s="7"/>
      <c r="F13" s="7"/>
      <c r="G13" s="7"/>
      <c r="H13" s="7"/>
      <c r="I13" s="7"/>
      <c r="J13" s="7"/>
    </row>
    <row r="14" ht="24">
      <c r="B14" s="79" t="s">
        <v>108</v>
      </c>
    </row>
    <row r="15" ht="12.75">
      <c r="B15" s="21"/>
    </row>
    <row r="16" ht="12.75">
      <c r="B16" s="5"/>
    </row>
    <row r="17" ht="12.75">
      <c r="B17" s="5"/>
    </row>
    <row r="18" spans="1:10" ht="15.75">
      <c r="A18" s="4"/>
      <c r="B18" s="8"/>
      <c r="C18" s="9"/>
      <c r="D18" s="9"/>
      <c r="E18" s="9"/>
      <c r="F18" s="9"/>
      <c r="G18" s="9"/>
      <c r="H18" s="9"/>
      <c r="I18" s="9"/>
      <c r="J18" s="9"/>
    </row>
    <row r="20" ht="12.75">
      <c r="B20" s="80" t="s">
        <v>109</v>
      </c>
    </row>
    <row r="21" ht="24">
      <c r="B21" s="79" t="s">
        <v>108</v>
      </c>
    </row>
    <row r="22" ht="12.75">
      <c r="B22" s="8"/>
    </row>
    <row r="25" ht="12.75">
      <c r="B25" s="8"/>
    </row>
    <row r="26" ht="12.75">
      <c r="B26" s="5" t="s">
        <v>56</v>
      </c>
    </row>
    <row r="27" ht="12.75">
      <c r="B27" s="8" t="s">
        <v>67</v>
      </c>
    </row>
    <row r="28" ht="12.75">
      <c r="B28" s="43" t="s">
        <v>69</v>
      </c>
    </row>
    <row r="29" s="10" customFormat="1" ht="12.75">
      <c r="B29" s="44" t="s">
        <v>97</v>
      </c>
    </row>
    <row r="35" ht="12.75">
      <c r="B35" s="5" t="s">
        <v>53</v>
      </c>
    </row>
    <row r="36" ht="12.75">
      <c r="B36" s="8" t="s">
        <v>98</v>
      </c>
    </row>
    <row r="37" ht="12.75">
      <c r="B37" s="8" t="s">
        <v>54</v>
      </c>
    </row>
    <row r="38" ht="12.75">
      <c r="B38" s="23" t="s">
        <v>55</v>
      </c>
    </row>
    <row r="43" ht="12.75">
      <c r="B43" s="12"/>
    </row>
    <row r="44" ht="12.75">
      <c r="B44" s="12"/>
    </row>
    <row r="45" ht="12.75">
      <c r="B45" s="12"/>
    </row>
    <row r="46" ht="12.75">
      <c r="B46" s="12" t="s">
        <v>324</v>
      </c>
    </row>
    <row r="47" ht="12.75">
      <c r="B47" s="12"/>
    </row>
    <row r="48" spans="1:3" ht="12.75">
      <c r="A48" s="283"/>
      <c r="B48" s="283"/>
      <c r="C48" s="283"/>
    </row>
    <row r="49" spans="1:5" ht="12.75">
      <c r="A49" s="283"/>
      <c r="B49" s="283"/>
      <c r="C49" s="283"/>
      <c r="D49" s="14"/>
      <c r="E49" s="14"/>
    </row>
    <row r="52" spans="1:4" ht="15.75">
      <c r="A52" s="2"/>
      <c r="B52" s="3"/>
      <c r="C52" s="4"/>
      <c r="D52" s="4"/>
    </row>
    <row r="54" ht="15">
      <c r="B54" s="17"/>
    </row>
    <row r="55" ht="15">
      <c r="B55" s="17"/>
    </row>
    <row r="56" ht="14.25">
      <c r="B56" s="18"/>
    </row>
    <row r="57" spans="1:3" ht="15.75">
      <c r="A57" s="4"/>
      <c r="B57" s="19"/>
      <c r="C57" s="4"/>
    </row>
    <row r="58" spans="1:3" ht="15">
      <c r="A58" s="2"/>
      <c r="B58" s="24"/>
      <c r="C58" s="2"/>
    </row>
    <row r="59" spans="1:3" ht="12.75">
      <c r="A59" s="2"/>
      <c r="B59" s="20"/>
      <c r="C59" s="2"/>
    </row>
    <row r="60" spans="1:3" ht="12.75">
      <c r="A60" s="2"/>
      <c r="B60" s="20"/>
      <c r="C60" s="2"/>
    </row>
    <row r="61" spans="1:3" ht="12.75">
      <c r="A61" s="5"/>
      <c r="B61" s="5"/>
      <c r="C61" s="5"/>
    </row>
    <row r="62" ht="12.75">
      <c r="B62" s="5"/>
    </row>
    <row r="63" spans="2:10" ht="15.75">
      <c r="B63" s="24"/>
      <c r="C63" s="6"/>
      <c r="D63" s="7"/>
      <c r="E63" s="7"/>
      <c r="F63" s="7"/>
      <c r="G63" s="7"/>
      <c r="H63" s="7"/>
      <c r="I63" s="7"/>
      <c r="J63" s="7"/>
    </row>
    <row r="64" ht="15.75">
      <c r="B64" s="4"/>
    </row>
    <row r="65" ht="12.75">
      <c r="B65" s="8"/>
    </row>
    <row r="66" ht="12.75">
      <c r="B66" s="5"/>
    </row>
    <row r="67" ht="12.75">
      <c r="B67" s="5"/>
    </row>
    <row r="68" spans="2:10" ht="12.75">
      <c r="B68" s="22"/>
      <c r="C68" s="9"/>
      <c r="D68" s="9"/>
      <c r="E68" s="9"/>
      <c r="F68" s="9"/>
      <c r="G68" s="9"/>
      <c r="H68" s="9"/>
      <c r="I68" s="9"/>
      <c r="J68" s="9"/>
    </row>
    <row r="69" spans="2:10" ht="12.75">
      <c r="B69" s="22"/>
      <c r="C69" s="9"/>
      <c r="D69" s="9"/>
      <c r="E69" s="9"/>
      <c r="F69" s="9"/>
      <c r="G69" s="9"/>
      <c r="H69" s="9"/>
      <c r="I69" s="9"/>
      <c r="J69" s="9"/>
    </row>
    <row r="70" spans="1:10" ht="15.75">
      <c r="A70" s="4"/>
      <c r="B70" s="8"/>
      <c r="C70" s="9"/>
      <c r="D70" s="9"/>
      <c r="E70" s="9"/>
      <c r="F70" s="9"/>
      <c r="G70" s="9"/>
      <c r="H70" s="9"/>
      <c r="I70" s="9"/>
      <c r="J70" s="9"/>
    </row>
    <row r="72" ht="12.75">
      <c r="B72" s="5"/>
    </row>
    <row r="73" ht="12.75">
      <c r="B73" s="22"/>
    </row>
    <row r="74" ht="12.75">
      <c r="B74" s="8"/>
    </row>
    <row r="77" ht="12.75">
      <c r="B77" s="8"/>
    </row>
    <row r="78" ht="12.75">
      <c r="B78" s="5"/>
    </row>
    <row r="79" ht="12.75">
      <c r="B79" s="8"/>
    </row>
    <row r="80" ht="12.75">
      <c r="B80" s="11"/>
    </row>
    <row r="81" ht="12.75">
      <c r="B81" s="5"/>
    </row>
    <row r="88" ht="12.75">
      <c r="B88" s="5"/>
    </row>
    <row r="89" ht="12.75">
      <c r="B89" s="8"/>
    </row>
    <row r="90" ht="12.75">
      <c r="B90" s="8"/>
    </row>
    <row r="91" ht="12.75">
      <c r="B91" s="23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spans="1:3" ht="12.75">
      <c r="A101" s="283"/>
      <c r="B101" s="283"/>
      <c r="C101" s="283"/>
    </row>
    <row r="102" spans="1:5" ht="12.75">
      <c r="A102" s="283"/>
      <c r="B102" s="283"/>
      <c r="C102" s="283"/>
      <c r="D102" s="14"/>
      <c r="E102" s="14"/>
    </row>
    <row r="105" spans="1:4" ht="15.75">
      <c r="A105" s="2"/>
      <c r="B105" s="3"/>
      <c r="C105" s="4"/>
      <c r="D105" s="4"/>
    </row>
    <row r="107" ht="15">
      <c r="B107" s="17"/>
    </row>
    <row r="108" ht="15">
      <c r="B108" s="17"/>
    </row>
    <row r="109" ht="14.25">
      <c r="B109" s="18"/>
    </row>
    <row r="110" spans="1:3" ht="15.75">
      <c r="A110" s="4"/>
      <c r="B110" s="19"/>
      <c r="C110" s="4"/>
    </row>
    <row r="111" spans="1:3" ht="15">
      <c r="A111" s="2"/>
      <c r="B111" s="24"/>
      <c r="C111" s="2"/>
    </row>
    <row r="112" spans="1:3" ht="12.75">
      <c r="A112" s="2"/>
      <c r="B112" s="20"/>
      <c r="C112" s="2"/>
    </row>
    <row r="113" spans="1:3" ht="12.75">
      <c r="A113" s="2"/>
      <c r="B113" s="20"/>
      <c r="C113" s="2"/>
    </row>
    <row r="114" spans="1:3" ht="12.75">
      <c r="A114" s="5"/>
      <c r="B114" s="5"/>
      <c r="C114" s="5"/>
    </row>
    <row r="115" ht="12.75">
      <c r="B115" s="5"/>
    </row>
    <row r="116" spans="2:10" ht="15.75">
      <c r="B116" s="24"/>
      <c r="C116" s="6"/>
      <c r="D116" s="7"/>
      <c r="E116" s="7"/>
      <c r="F116" s="7"/>
      <c r="G116" s="7"/>
      <c r="H116" s="7"/>
      <c r="I116" s="7"/>
      <c r="J116" s="7"/>
    </row>
    <row r="117" ht="15.75">
      <c r="B117" s="4"/>
    </row>
    <row r="118" ht="12.75">
      <c r="B118" s="8"/>
    </row>
    <row r="119" ht="12.75">
      <c r="B119" s="5"/>
    </row>
    <row r="120" ht="12.75">
      <c r="B120" s="5"/>
    </row>
    <row r="121" spans="2:10" ht="12.75">
      <c r="B121" s="22"/>
      <c r="C121" s="9"/>
      <c r="D121" s="9"/>
      <c r="E121" s="9"/>
      <c r="F121" s="9"/>
      <c r="G121" s="9"/>
      <c r="H121" s="9"/>
      <c r="I121" s="9"/>
      <c r="J121" s="9"/>
    </row>
    <row r="122" spans="2:10" ht="12.75">
      <c r="B122" s="22"/>
      <c r="C122" s="9"/>
      <c r="D122" s="9"/>
      <c r="E122" s="9"/>
      <c r="F122" s="9"/>
      <c r="G122" s="9"/>
      <c r="H122" s="9"/>
      <c r="I122" s="9"/>
      <c r="J122" s="9"/>
    </row>
    <row r="123" spans="1:10" ht="15.75">
      <c r="A123" s="4"/>
      <c r="B123" s="8"/>
      <c r="C123" s="9"/>
      <c r="D123" s="9"/>
      <c r="E123" s="9"/>
      <c r="F123" s="9"/>
      <c r="G123" s="9"/>
      <c r="H123" s="9"/>
      <c r="I123" s="9"/>
      <c r="J123" s="9"/>
    </row>
    <row r="125" ht="12.75">
      <c r="B125" s="5"/>
    </row>
    <row r="126" ht="12.75">
      <c r="B126" s="22"/>
    </row>
    <row r="127" ht="12.75">
      <c r="B127" s="8"/>
    </row>
    <row r="130" ht="12.75">
      <c r="B130" s="8"/>
    </row>
    <row r="131" ht="12.75">
      <c r="B131" s="5"/>
    </row>
    <row r="132" ht="12.75">
      <c r="B132" s="8"/>
    </row>
    <row r="133" ht="12.75">
      <c r="B133" s="11"/>
    </row>
    <row r="134" ht="12.75">
      <c r="B134" s="5"/>
    </row>
    <row r="141" ht="12.75">
      <c r="B141" s="5"/>
    </row>
    <row r="142" ht="12.75">
      <c r="B142" s="8"/>
    </row>
    <row r="143" ht="12.75">
      <c r="B143" s="8"/>
    </row>
    <row r="144" ht="12.75">
      <c r="B144" s="23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spans="1:3" ht="12.75">
      <c r="A154" s="283"/>
      <c r="B154" s="283"/>
      <c r="C154" s="283"/>
    </row>
    <row r="155" spans="1:5" ht="12.75">
      <c r="A155" s="283"/>
      <c r="B155" s="283"/>
      <c r="C155" s="283"/>
      <c r="D155" s="14"/>
      <c r="E155" s="14"/>
    </row>
    <row r="158" spans="1:4" ht="15.75">
      <c r="A158" s="2"/>
      <c r="B158" s="3"/>
      <c r="C158" s="4"/>
      <c r="D158" s="4"/>
    </row>
    <row r="160" ht="15">
      <c r="B160" s="17"/>
    </row>
    <row r="161" ht="15">
      <c r="B161" s="17"/>
    </row>
    <row r="162" ht="14.25">
      <c r="B162" s="18"/>
    </row>
    <row r="163" spans="1:3" ht="15.75">
      <c r="A163" s="4"/>
      <c r="B163" s="19"/>
      <c r="C163" s="4"/>
    </row>
    <row r="164" spans="1:3" ht="15">
      <c r="A164" s="2"/>
      <c r="B164" s="24"/>
      <c r="C164" s="2"/>
    </row>
    <row r="165" spans="1:3" ht="12.75">
      <c r="A165" s="2"/>
      <c r="B165" s="20"/>
      <c r="C165" s="2"/>
    </row>
    <row r="166" spans="1:3" ht="12.75">
      <c r="A166" s="2"/>
      <c r="B166" s="20"/>
      <c r="C166" s="2"/>
    </row>
    <row r="167" spans="1:3" ht="12.75">
      <c r="A167" s="5"/>
      <c r="B167" s="5"/>
      <c r="C167" s="5"/>
    </row>
    <row r="168" ht="12.75">
      <c r="B168" s="5"/>
    </row>
    <row r="169" spans="2:10" ht="15.75">
      <c r="B169" s="24"/>
      <c r="C169" s="6"/>
      <c r="D169" s="7"/>
      <c r="E169" s="7"/>
      <c r="F169" s="7"/>
      <c r="G169" s="7"/>
      <c r="H169" s="7"/>
      <c r="I169" s="7"/>
      <c r="J169" s="7"/>
    </row>
    <row r="170" ht="15.75">
      <c r="B170" s="4"/>
    </row>
    <row r="171" ht="12.75">
      <c r="B171" s="8"/>
    </row>
    <row r="172" ht="12.75">
      <c r="B172" s="5"/>
    </row>
    <row r="173" ht="12.75">
      <c r="B173" s="5"/>
    </row>
    <row r="174" spans="2:10" ht="12.75">
      <c r="B174" s="22"/>
      <c r="C174" s="9"/>
      <c r="D174" s="9"/>
      <c r="E174" s="9"/>
      <c r="F174" s="9"/>
      <c r="G174" s="9"/>
      <c r="H174" s="9"/>
      <c r="I174" s="9"/>
      <c r="J174" s="9"/>
    </row>
    <row r="175" spans="2:10" ht="12.75">
      <c r="B175" s="22"/>
      <c r="C175" s="9"/>
      <c r="D175" s="9"/>
      <c r="E175" s="9"/>
      <c r="F175" s="9"/>
      <c r="G175" s="9"/>
      <c r="H175" s="9"/>
      <c r="I175" s="9"/>
      <c r="J175" s="9"/>
    </row>
    <row r="176" spans="1:10" ht="15.75">
      <c r="A176" s="4"/>
      <c r="B176" s="8"/>
      <c r="C176" s="9"/>
      <c r="D176" s="9"/>
      <c r="E176" s="9"/>
      <c r="F176" s="9"/>
      <c r="G176" s="9"/>
      <c r="H176" s="9"/>
      <c r="I176" s="9"/>
      <c r="J176" s="9"/>
    </row>
    <row r="178" ht="12.75">
      <c r="B178" s="5"/>
    </row>
    <row r="179" ht="12.75">
      <c r="B179" s="22"/>
    </row>
    <row r="180" ht="12.75">
      <c r="B180" s="8"/>
    </row>
    <row r="183" ht="12.75">
      <c r="B183" s="8"/>
    </row>
    <row r="184" ht="12.75">
      <c r="B184" s="5"/>
    </row>
    <row r="185" ht="12.75">
      <c r="B185" s="8"/>
    </row>
    <row r="186" ht="12.75">
      <c r="B186" s="11"/>
    </row>
    <row r="187" ht="12.75">
      <c r="B187" s="5"/>
    </row>
    <row r="194" ht="12.75">
      <c r="B194" s="5"/>
    </row>
    <row r="195" ht="12.75">
      <c r="B195" s="8"/>
    </row>
    <row r="196" ht="12.75">
      <c r="B196" s="8"/>
    </row>
    <row r="197" ht="12.75">
      <c r="B197" s="23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spans="1:3" ht="12.75">
      <c r="A207" s="283"/>
      <c r="B207" s="283"/>
      <c r="C207" s="283"/>
    </row>
    <row r="208" spans="1:5" ht="12.75">
      <c r="A208" s="283"/>
      <c r="B208" s="283"/>
      <c r="C208" s="283"/>
      <c r="D208" s="14"/>
      <c r="E208" s="14"/>
    </row>
    <row r="211" spans="1:4" ht="15.75">
      <c r="A211" s="2"/>
      <c r="B211" s="3"/>
      <c r="C211" s="4"/>
      <c r="D211" s="4"/>
    </row>
    <row r="213" ht="15">
      <c r="B213" s="17"/>
    </row>
    <row r="214" ht="15">
      <c r="B214" s="17"/>
    </row>
    <row r="215" ht="14.25">
      <c r="B215" s="18"/>
    </row>
    <row r="216" spans="1:3" ht="15.75">
      <c r="A216" s="4"/>
      <c r="B216" s="19"/>
      <c r="C216" s="4"/>
    </row>
    <row r="217" spans="1:3" ht="15">
      <c r="A217" s="2"/>
      <c r="B217" s="24"/>
      <c r="C217" s="2"/>
    </row>
    <row r="218" spans="1:3" ht="12.75">
      <c r="A218" s="2"/>
      <c r="B218" s="20"/>
      <c r="C218" s="2"/>
    </row>
    <row r="219" spans="1:3" ht="12.75">
      <c r="A219" s="2"/>
      <c r="B219" s="20"/>
      <c r="C219" s="2"/>
    </row>
    <row r="220" spans="1:3" ht="12.75">
      <c r="A220" s="5"/>
      <c r="B220" s="5"/>
      <c r="C220" s="5"/>
    </row>
    <row r="221" ht="12.75">
      <c r="B221" s="5"/>
    </row>
    <row r="222" spans="2:10" ht="15.75">
      <c r="B222" s="24"/>
      <c r="C222" s="6"/>
      <c r="D222" s="7"/>
      <c r="E222" s="7"/>
      <c r="F222" s="7"/>
      <c r="G222" s="7"/>
      <c r="H222" s="7"/>
      <c r="I222" s="7"/>
      <c r="J222" s="7"/>
    </row>
    <row r="223" ht="15.75">
      <c r="B223" s="4"/>
    </row>
    <row r="224" ht="12.75">
      <c r="B224" s="8"/>
    </row>
    <row r="225" ht="12.75">
      <c r="B225" s="5"/>
    </row>
    <row r="226" ht="12.75">
      <c r="B226" s="5"/>
    </row>
    <row r="227" spans="2:10" ht="12.75">
      <c r="B227" s="22"/>
      <c r="C227" s="9"/>
      <c r="D227" s="9"/>
      <c r="E227" s="9"/>
      <c r="F227" s="9"/>
      <c r="G227" s="9"/>
      <c r="H227" s="9"/>
      <c r="I227" s="9"/>
      <c r="J227" s="9"/>
    </row>
    <row r="228" spans="2:10" ht="12.75">
      <c r="B228" s="22"/>
      <c r="C228" s="9"/>
      <c r="D228" s="9"/>
      <c r="E228" s="9"/>
      <c r="F228" s="9"/>
      <c r="G228" s="9"/>
      <c r="H228" s="9"/>
      <c r="I228" s="9"/>
      <c r="J228" s="9"/>
    </row>
    <row r="229" spans="1:10" ht="15.75">
      <c r="A229" s="4"/>
      <c r="B229" s="8"/>
      <c r="C229" s="9"/>
      <c r="D229" s="9"/>
      <c r="E229" s="9"/>
      <c r="F229" s="9"/>
      <c r="G229" s="9"/>
      <c r="H229" s="9"/>
      <c r="I229" s="9"/>
      <c r="J229" s="9"/>
    </row>
    <row r="231" ht="12.75">
      <c r="B231" s="5"/>
    </row>
    <row r="232" ht="12.75">
      <c r="B232" s="22"/>
    </row>
    <row r="233" ht="12.75">
      <c r="B233" s="8"/>
    </row>
    <row r="236" ht="12.75">
      <c r="B236" s="8"/>
    </row>
    <row r="237" ht="12.75">
      <c r="B237" s="5"/>
    </row>
    <row r="238" ht="12.75">
      <c r="B238" s="8"/>
    </row>
    <row r="239" ht="12.75">
      <c r="B239" s="11"/>
    </row>
    <row r="240" ht="12.75">
      <c r="B240" s="5"/>
    </row>
    <row r="247" ht="12.75">
      <c r="B247" s="5"/>
    </row>
    <row r="248" ht="12.75">
      <c r="B248" s="8"/>
    </row>
    <row r="249" ht="12.75">
      <c r="B249" s="8"/>
    </row>
    <row r="250" ht="12.75">
      <c r="B250" s="23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spans="1:3" ht="12.75">
      <c r="A260" s="283"/>
      <c r="B260" s="283"/>
      <c r="C260" s="283"/>
    </row>
    <row r="261" spans="1:5" ht="12.75">
      <c r="A261" s="283"/>
      <c r="B261" s="283"/>
      <c r="C261" s="283"/>
      <c r="D261" s="14"/>
      <c r="E261" s="14"/>
    </row>
    <row r="263" s="2" customFormat="1" ht="12.75">
      <c r="B263" s="20"/>
    </row>
    <row r="264" s="2" customFormat="1" ht="12.75">
      <c r="B264" s="20"/>
    </row>
    <row r="265" s="2" customFormat="1" ht="12.75">
      <c r="B265" s="20"/>
    </row>
    <row r="266" s="2" customFormat="1" ht="12.75">
      <c r="B266" s="20"/>
    </row>
    <row r="267" s="2" customFormat="1" ht="12.75">
      <c r="B267" s="20"/>
    </row>
    <row r="268" s="2" customFormat="1" ht="12.75">
      <c r="B268" s="20"/>
    </row>
    <row r="269" s="2" customFormat="1" ht="12.75">
      <c r="B269" s="20"/>
    </row>
    <row r="270" s="2" customFormat="1" ht="12.75">
      <c r="B270" s="20"/>
    </row>
    <row r="271" s="2" customFormat="1" ht="12.75">
      <c r="B271" s="20"/>
    </row>
    <row r="272" spans="1:3" s="2" customFormat="1" ht="15.75">
      <c r="A272" s="4"/>
      <c r="B272" s="4"/>
      <c r="C272" s="4"/>
    </row>
    <row r="273" s="2" customFormat="1" ht="12.75">
      <c r="B273" s="20"/>
    </row>
    <row r="274" s="2" customFormat="1" ht="12.75">
      <c r="B274" s="20"/>
    </row>
    <row r="275" s="2" customFormat="1" ht="12.75">
      <c r="B275" s="20"/>
    </row>
    <row r="276" spans="1:3" s="2" customFormat="1" ht="12.75">
      <c r="A276" s="5"/>
      <c r="B276" s="5"/>
      <c r="C276" s="5"/>
    </row>
    <row r="277" s="2" customFormat="1" ht="12.75">
      <c r="B277" s="5"/>
    </row>
    <row r="278" spans="1:3" s="2" customFormat="1" ht="15.75">
      <c r="A278" s="6"/>
      <c r="B278" s="25"/>
      <c r="C278" s="6"/>
    </row>
    <row r="279" s="2" customFormat="1" ht="15.75">
      <c r="B279" s="4"/>
    </row>
    <row r="280" s="2" customFormat="1" ht="12.75">
      <c r="B280" s="8"/>
    </row>
    <row r="281" s="2" customFormat="1" ht="12.75">
      <c r="B281" s="5"/>
    </row>
    <row r="282" s="2" customFormat="1" ht="12.75">
      <c r="B282" s="5"/>
    </row>
    <row r="283" spans="2:3" s="2" customFormat="1" ht="12.75">
      <c r="B283" s="22"/>
      <c r="C283" s="9"/>
    </row>
    <row r="284" spans="1:3" s="2" customFormat="1" ht="15.75">
      <c r="A284" s="4"/>
      <c r="B284" s="8"/>
      <c r="C284" s="9"/>
    </row>
    <row r="285" spans="1:3" s="2" customFormat="1" ht="15.75">
      <c r="A285" s="4"/>
      <c r="B285" s="8"/>
      <c r="C285" s="9"/>
    </row>
    <row r="286" spans="1:3" s="2" customFormat="1" ht="15.75">
      <c r="A286" s="4"/>
      <c r="B286" s="8"/>
      <c r="C286" s="9"/>
    </row>
    <row r="287" spans="1:3" s="2" customFormat="1" ht="12.75">
      <c r="A287" s="10"/>
      <c r="B287" s="22"/>
      <c r="C287" s="10"/>
    </row>
    <row r="288" s="2" customFormat="1" ht="12.75">
      <c r="B288" s="8"/>
    </row>
    <row r="289" s="2" customFormat="1" ht="12.75">
      <c r="B289" s="5"/>
    </row>
    <row r="290" s="2" customFormat="1" ht="12.75">
      <c r="B290" s="8"/>
    </row>
    <row r="291" s="2" customFormat="1" ht="12.75">
      <c r="B291" s="8"/>
    </row>
    <row r="292" s="2" customFormat="1" ht="12.75">
      <c r="B292" s="5"/>
    </row>
    <row r="293" s="2" customFormat="1" ht="12.75">
      <c r="B293" s="20"/>
    </row>
    <row r="294" s="2" customFormat="1" ht="12.75">
      <c r="B294" s="20"/>
    </row>
    <row r="295" s="2" customFormat="1" ht="12.75">
      <c r="B295" s="20"/>
    </row>
    <row r="296" s="2" customFormat="1" ht="12.75">
      <c r="B296" s="20"/>
    </row>
    <row r="297" s="2" customFormat="1" ht="12.75">
      <c r="B297" s="20"/>
    </row>
    <row r="298" s="2" customFormat="1" ht="12.75">
      <c r="B298" s="20"/>
    </row>
    <row r="299" s="2" customFormat="1" ht="12.75">
      <c r="B299" s="20"/>
    </row>
    <row r="300" s="2" customFormat="1" ht="12.75">
      <c r="B300" s="20"/>
    </row>
    <row r="301" s="2" customFormat="1" ht="12.75">
      <c r="B301" s="20"/>
    </row>
    <row r="302" s="2" customFormat="1" ht="12.75">
      <c r="B302" s="20"/>
    </row>
    <row r="303" s="2" customFormat="1" ht="12.75">
      <c r="B303" s="20"/>
    </row>
    <row r="304" s="2" customFormat="1" ht="12.75">
      <c r="B304" s="20"/>
    </row>
    <row r="305" s="2" customFormat="1" ht="12.75" customHeight="1">
      <c r="B305" s="12"/>
    </row>
    <row r="306" spans="2:5" s="2" customFormat="1" ht="12.75" customHeight="1">
      <c r="B306" s="12"/>
      <c r="D306" s="14"/>
      <c r="E306" s="14"/>
    </row>
    <row r="307" s="2" customFormat="1" ht="12.75">
      <c r="B307" s="12"/>
    </row>
    <row r="308" s="2" customFormat="1" ht="12.75">
      <c r="B308" s="26"/>
    </row>
    <row r="309" s="2" customFormat="1" ht="12.75">
      <c r="B309" s="12"/>
    </row>
    <row r="310" spans="1:3" s="2" customFormat="1" ht="26.25">
      <c r="A310" s="13"/>
      <c r="B310" s="27"/>
      <c r="C310" s="13"/>
    </row>
    <row r="311" spans="1:3" s="2" customFormat="1" ht="26.25">
      <c r="A311" s="13"/>
      <c r="B311" s="27"/>
      <c r="C311" s="13"/>
    </row>
    <row r="312" s="2" customFormat="1" ht="12.75">
      <c r="B312" s="20"/>
    </row>
    <row r="313" s="2" customFormat="1" ht="12.75">
      <c r="B313" s="20"/>
    </row>
    <row r="314" s="2" customFormat="1" ht="12.75">
      <c r="B314" s="20"/>
    </row>
    <row r="315" s="2" customFormat="1" ht="12.75">
      <c r="B315" s="20"/>
    </row>
    <row r="316" s="2" customFormat="1" ht="12.75">
      <c r="B316" s="20"/>
    </row>
    <row r="317" s="2" customFormat="1" ht="12.75">
      <c r="B317" s="20"/>
    </row>
    <row r="318" s="2" customFormat="1" ht="12.75">
      <c r="B318" s="20"/>
    </row>
    <row r="319" s="2" customFormat="1" ht="12.75">
      <c r="B319" s="20"/>
    </row>
    <row r="320" s="2" customFormat="1" ht="12.75">
      <c r="B320" s="20"/>
    </row>
    <row r="321" s="2" customFormat="1" ht="12.75">
      <c r="B321" s="20"/>
    </row>
    <row r="322" s="2" customFormat="1" ht="12.75">
      <c r="B322" s="20"/>
    </row>
    <row r="323" s="2" customFormat="1" ht="12.75">
      <c r="B323" s="20"/>
    </row>
    <row r="324" s="2" customFormat="1" ht="12.75">
      <c r="B324" s="20"/>
    </row>
    <row r="325" s="2" customFormat="1" ht="12.75">
      <c r="B325" s="20"/>
    </row>
    <row r="326" s="2" customFormat="1" ht="12.75">
      <c r="B326" s="20"/>
    </row>
    <row r="327" s="2" customFormat="1" ht="12.75">
      <c r="B327" s="20"/>
    </row>
    <row r="328" s="2" customFormat="1" ht="12.75">
      <c r="B328" s="20"/>
    </row>
    <row r="329" s="2" customFormat="1" ht="12.75">
      <c r="B329" s="20"/>
    </row>
    <row r="330" s="2" customFormat="1" ht="12.75">
      <c r="B330" s="20"/>
    </row>
    <row r="331" s="2" customFormat="1" ht="12.75">
      <c r="B331" s="20"/>
    </row>
    <row r="332" s="2" customFormat="1" ht="12.75">
      <c r="B332" s="20"/>
    </row>
    <row r="333" s="2" customFormat="1" ht="12.75">
      <c r="B333" s="20"/>
    </row>
    <row r="334" s="2" customFormat="1" ht="12.75">
      <c r="B334" s="20"/>
    </row>
    <row r="335" s="2" customFormat="1" ht="12.75">
      <c r="B335" s="20"/>
    </row>
    <row r="336" s="2" customFormat="1" ht="12.75">
      <c r="B336" s="20"/>
    </row>
    <row r="337" s="2" customFormat="1" ht="12.75">
      <c r="B337" s="20"/>
    </row>
    <row r="338" s="2" customFormat="1" ht="12.75">
      <c r="B338" s="20"/>
    </row>
    <row r="339" s="2" customFormat="1" ht="12.75">
      <c r="B339" s="20"/>
    </row>
    <row r="340" s="2" customFormat="1" ht="12.75">
      <c r="B340" s="20"/>
    </row>
    <row r="341" s="2" customFormat="1" ht="12.75">
      <c r="B341" s="20"/>
    </row>
    <row r="342" s="2" customFormat="1" ht="12.75">
      <c r="B342" s="20"/>
    </row>
    <row r="343" s="2" customFormat="1" ht="12.75">
      <c r="B343" s="20"/>
    </row>
    <row r="344" s="2" customFormat="1" ht="12.75">
      <c r="B344" s="20"/>
    </row>
    <row r="345" s="2" customFormat="1" ht="12.75">
      <c r="B345" s="20"/>
    </row>
    <row r="346" s="2" customFormat="1" ht="12.75">
      <c r="B346" s="20"/>
    </row>
    <row r="347" s="2" customFormat="1" ht="12.75">
      <c r="B347" s="20"/>
    </row>
    <row r="348" s="2" customFormat="1" ht="12.75">
      <c r="B348" s="20"/>
    </row>
    <row r="349" s="2" customFormat="1" ht="12.75">
      <c r="B349" s="20"/>
    </row>
    <row r="350" s="2" customFormat="1" ht="12.75">
      <c r="B350" s="20"/>
    </row>
    <row r="351" s="2" customFormat="1" ht="12.75">
      <c r="B351" s="20"/>
    </row>
    <row r="352" s="2" customFormat="1" ht="12.75">
      <c r="B352" s="20"/>
    </row>
    <row r="353" s="2" customFormat="1" ht="12.75">
      <c r="B353" s="20"/>
    </row>
    <row r="354" s="2" customFormat="1" ht="12.75">
      <c r="B354" s="20"/>
    </row>
    <row r="355" s="2" customFormat="1" ht="12.75">
      <c r="B355" s="20"/>
    </row>
    <row r="356" s="2" customFormat="1" ht="12.75">
      <c r="B356" s="20"/>
    </row>
    <row r="357" s="2" customFormat="1" ht="12.75">
      <c r="B357" s="20"/>
    </row>
    <row r="358" s="2" customFormat="1" ht="12.75">
      <c r="B358" s="20"/>
    </row>
    <row r="359" s="2" customFormat="1" ht="12.75">
      <c r="B359" s="20"/>
    </row>
    <row r="360" s="2" customFormat="1" ht="12.75">
      <c r="B360" s="20"/>
    </row>
    <row r="361" s="2" customFormat="1" ht="12.75">
      <c r="B361" s="20"/>
    </row>
    <row r="362" s="2" customFormat="1" ht="12.75">
      <c r="B362" s="20"/>
    </row>
    <row r="363" s="2" customFormat="1" ht="12.75">
      <c r="B363" s="20"/>
    </row>
    <row r="364" s="2" customFormat="1" ht="12.75">
      <c r="B364" s="20"/>
    </row>
    <row r="365" s="2" customFormat="1" ht="12.75">
      <c r="B365" s="20"/>
    </row>
    <row r="366" s="2" customFormat="1" ht="12.75">
      <c r="B366" s="20"/>
    </row>
    <row r="367" s="2" customFormat="1" ht="12.75">
      <c r="B367" s="20"/>
    </row>
    <row r="368" s="2" customFormat="1" ht="12.75">
      <c r="B368" s="20"/>
    </row>
    <row r="369" s="2" customFormat="1" ht="12.75">
      <c r="B369" s="20"/>
    </row>
    <row r="370" s="2" customFormat="1" ht="12.75">
      <c r="B370" s="20"/>
    </row>
    <row r="371" s="2" customFormat="1" ht="12.75">
      <c r="B371" s="20"/>
    </row>
    <row r="372" s="2" customFormat="1" ht="12.75">
      <c r="B372" s="20"/>
    </row>
    <row r="373" s="2" customFormat="1" ht="12.75">
      <c r="B373" s="20"/>
    </row>
    <row r="374" s="2" customFormat="1" ht="12.75">
      <c r="B374" s="20"/>
    </row>
    <row r="375" s="2" customFormat="1" ht="12.75">
      <c r="B375" s="20"/>
    </row>
    <row r="376" s="2" customFormat="1" ht="12.75">
      <c r="B376" s="20"/>
    </row>
    <row r="377" s="2" customFormat="1" ht="12.75">
      <c r="B377" s="20"/>
    </row>
    <row r="378" s="2" customFormat="1" ht="12.75">
      <c r="B378" s="20"/>
    </row>
    <row r="379" s="2" customFormat="1" ht="12.75">
      <c r="B379" s="20"/>
    </row>
    <row r="380" s="2" customFormat="1" ht="12.75">
      <c r="B380" s="20"/>
    </row>
    <row r="381" s="2" customFormat="1" ht="12.75">
      <c r="B381" s="20"/>
    </row>
    <row r="382" s="2" customFormat="1" ht="12.75">
      <c r="B382" s="20"/>
    </row>
    <row r="383" s="2" customFormat="1" ht="12.75">
      <c r="B383" s="20"/>
    </row>
    <row r="384" s="2" customFormat="1" ht="12.75">
      <c r="B384" s="20"/>
    </row>
    <row r="385" s="2" customFormat="1" ht="12.75">
      <c r="B385" s="20"/>
    </row>
    <row r="386" s="2" customFormat="1" ht="12.75">
      <c r="B386" s="20"/>
    </row>
    <row r="387" s="2" customFormat="1" ht="12.75">
      <c r="B387" s="20"/>
    </row>
    <row r="388" s="2" customFormat="1" ht="12.75">
      <c r="B388" s="20"/>
    </row>
    <row r="389" s="2" customFormat="1" ht="12.75">
      <c r="B389" s="20"/>
    </row>
    <row r="390" s="2" customFormat="1" ht="12.75">
      <c r="B390" s="20"/>
    </row>
    <row r="391" s="2" customFormat="1" ht="12.75">
      <c r="B391" s="20"/>
    </row>
    <row r="392" s="2" customFormat="1" ht="12.75">
      <c r="B392" s="20"/>
    </row>
    <row r="393" s="2" customFormat="1" ht="12.75">
      <c r="B393" s="20"/>
    </row>
    <row r="394" s="2" customFormat="1" ht="12.75">
      <c r="B394" s="20"/>
    </row>
    <row r="395" s="2" customFormat="1" ht="12.75">
      <c r="B395" s="20"/>
    </row>
    <row r="396" s="2" customFormat="1" ht="12.75">
      <c r="B396" s="20"/>
    </row>
    <row r="397" s="2" customFormat="1" ht="12.75">
      <c r="B397" s="20"/>
    </row>
    <row r="398" s="2" customFormat="1" ht="12.75">
      <c r="B398" s="20"/>
    </row>
    <row r="399" s="2" customFormat="1" ht="12.75">
      <c r="B399" s="20"/>
    </row>
    <row r="400" s="2" customFormat="1" ht="12.75">
      <c r="B400" s="20"/>
    </row>
    <row r="401" s="2" customFormat="1" ht="12.75">
      <c r="B401" s="20"/>
    </row>
    <row r="402" s="2" customFormat="1" ht="12.75">
      <c r="B402" s="20"/>
    </row>
    <row r="403" s="2" customFormat="1" ht="12.75">
      <c r="B403" s="20"/>
    </row>
    <row r="404" s="2" customFormat="1" ht="12.75">
      <c r="B404" s="20"/>
    </row>
    <row r="405" s="2" customFormat="1" ht="12.75">
      <c r="B405" s="20"/>
    </row>
    <row r="406" s="2" customFormat="1" ht="12.75">
      <c r="B406" s="20"/>
    </row>
    <row r="407" s="2" customFormat="1" ht="12.75">
      <c r="B407" s="20"/>
    </row>
    <row r="408" s="2" customFormat="1" ht="12.75">
      <c r="B408" s="20"/>
    </row>
    <row r="409" s="2" customFormat="1" ht="12.75">
      <c r="B409" s="20"/>
    </row>
    <row r="410" s="2" customFormat="1" ht="12.75">
      <c r="B410" s="20"/>
    </row>
    <row r="411" s="2" customFormat="1" ht="12.75">
      <c r="B411" s="20"/>
    </row>
    <row r="412" s="2" customFormat="1" ht="12.75">
      <c r="B412" s="20"/>
    </row>
    <row r="413" s="2" customFormat="1" ht="12.75">
      <c r="B413" s="20"/>
    </row>
    <row r="414" s="2" customFormat="1" ht="12.75">
      <c r="B414" s="20"/>
    </row>
    <row r="415" s="2" customFormat="1" ht="12.75">
      <c r="B415" s="20"/>
    </row>
  </sheetData>
  <sheetProtection/>
  <mergeCells count="5">
    <mergeCell ref="A48:C49"/>
    <mergeCell ref="A101:C102"/>
    <mergeCell ref="A154:C155"/>
    <mergeCell ref="A207:C208"/>
    <mergeCell ref="A260:C26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Máca</cp:lastModifiedBy>
  <cp:lastPrinted>2018-08-17T07:38:07Z</cp:lastPrinted>
  <dcterms:created xsi:type="dcterms:W3CDTF">2009-05-01T16:07:16Z</dcterms:created>
  <dcterms:modified xsi:type="dcterms:W3CDTF">2018-08-17T07:39:07Z</dcterms:modified>
  <cp:category/>
  <cp:version/>
  <cp:contentType/>
  <cp:contentStatus/>
</cp:coreProperties>
</file>