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spssoa.cz\data$\home_adm\smrkozuz\VŘ\2025\Rekonstrukce školní kuchyně\aktuální verze duben 2025\"/>
    </mc:Choice>
  </mc:AlternateContent>
  <xr:revisionPtr revIDLastSave="0" documentId="13_ncr:1_{F138ECC4-9A76-47A7-A463-AAEDD2A6E6A5}" xr6:coauthVersionLast="47" xr6:coauthVersionMax="47" xr10:uidLastSave="{00000000-0000-0000-0000-000000000000}"/>
  <bookViews>
    <workbookView xWindow="-120" yWindow="-120" windowWidth="29040" windowHeight="15840" activeTab="5" xr2:uid="{00000000-000D-0000-FFFF-FFFF00000000}"/>
  </bookViews>
  <sheets>
    <sheet name="Rozpočet - součet" sheetId="2" r:id="rId1"/>
    <sheet name="Krycí list rozpočtu" sheetId="3" r:id="rId2"/>
    <sheet name="Stavební práce" sheetId="1" r:id="rId3"/>
    <sheet name="elektroinstalace" sheetId="5" r:id="rId4"/>
    <sheet name="vzduchotechnika" sheetId="6" r:id="rId5"/>
    <sheet name="technologie" sheetId="7" r:id="rId6"/>
    <sheet name="info k instalaci technologie" sheetId="8"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4" i="7" l="1"/>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89" i="7" s="1"/>
  <c r="H93" i="7" s="1"/>
  <c r="H99" i="7" s="1"/>
  <c r="H14" i="7"/>
  <c r="H13" i="7"/>
  <c r="H12" i="7"/>
  <c r="H11" i="7"/>
  <c r="H10" i="7"/>
  <c r="H9" i="7"/>
  <c r="H8" i="7"/>
  <c r="H7" i="7"/>
  <c r="F44" i="6"/>
  <c r="J44" i="6" s="1"/>
  <c r="J14" i="6"/>
  <c r="J16" i="6"/>
  <c r="J17" i="6"/>
  <c r="J18" i="6"/>
  <c r="J19" i="6"/>
  <c r="J20" i="6"/>
  <c r="J21" i="6"/>
  <c r="J22" i="6"/>
  <c r="J23" i="6"/>
  <c r="J25" i="6"/>
  <c r="J26" i="6"/>
  <c r="J27" i="6"/>
  <c r="J28" i="6"/>
  <c r="J29" i="6"/>
  <c r="J30" i="6"/>
  <c r="J31" i="6"/>
  <c r="J32" i="6"/>
  <c r="J33" i="6"/>
  <c r="J34" i="6"/>
  <c r="J35" i="6"/>
  <c r="J36" i="6"/>
  <c r="J37" i="6"/>
  <c r="J38" i="6"/>
  <c r="J39" i="6"/>
  <c r="F43" i="6"/>
  <c r="J43" i="6" s="1"/>
  <c r="F42" i="6"/>
  <c r="J42" i="6" s="1"/>
  <c r="F41" i="6"/>
  <c r="J41" i="6" s="1"/>
  <c r="F37" i="6"/>
  <c r="F38" i="6"/>
  <c r="F39" i="6"/>
  <c r="F14" i="6"/>
  <c r="F15" i="6"/>
  <c r="J15" i="6" s="1"/>
  <c r="F16" i="6"/>
  <c r="F17" i="6"/>
  <c r="F18" i="6"/>
  <c r="F19" i="6"/>
  <c r="F20" i="6"/>
  <c r="F21" i="6"/>
  <c r="F22" i="6"/>
  <c r="F23" i="6"/>
  <c r="F24" i="6"/>
  <c r="J24" i="6" s="1"/>
  <c r="F25" i="6"/>
  <c r="F26" i="6"/>
  <c r="F27" i="6"/>
  <c r="F28" i="6"/>
  <c r="F29" i="6"/>
  <c r="F30" i="6"/>
  <c r="F31" i="6"/>
  <c r="F32" i="6"/>
  <c r="F33" i="6"/>
  <c r="F34" i="6"/>
  <c r="F35" i="6"/>
  <c r="F36" i="6"/>
  <c r="F13" i="6"/>
  <c r="J13" i="6" s="1"/>
  <c r="D28" i="6"/>
  <c r="I9" i="6"/>
  <c r="C28" i="3"/>
  <c r="G55" i="2"/>
  <c r="L156" i="1"/>
  <c r="I22" i="3"/>
  <c r="F22" i="3"/>
  <c r="C22" i="3"/>
  <c r="I23" i="3" s="1"/>
  <c r="I87" i="5"/>
  <c r="H87" i="5"/>
  <c r="I70" i="5"/>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15" i="2"/>
  <c r="F10" i="2"/>
  <c r="C10" i="2"/>
  <c r="F8" i="2"/>
  <c r="C8" i="2"/>
  <c r="F6" i="2"/>
  <c r="C6" i="2"/>
  <c r="F4" i="2"/>
  <c r="K12" i="6" l="1"/>
  <c r="I8" i="6" s="1"/>
  <c r="G52" i="2"/>
  <c r="H121" i="5"/>
  <c r="H120" i="5"/>
  <c r="I120" i="5" s="1"/>
  <c r="H119" i="5"/>
  <c r="I119" i="5" s="1"/>
  <c r="I118" i="5"/>
  <c r="H118" i="5"/>
  <c r="H117" i="5"/>
  <c r="I117" i="5" s="1"/>
  <c r="H116" i="5"/>
  <c r="I116" i="5" s="1"/>
  <c r="H115" i="5"/>
  <c r="I115" i="5" s="1"/>
  <c r="I114" i="5"/>
  <c r="H114" i="5"/>
  <c r="H113" i="5"/>
  <c r="I113" i="5" s="1"/>
  <c r="H112" i="5"/>
  <c r="I112" i="5" s="1"/>
  <c r="H111" i="5"/>
  <c r="I111" i="5" s="1"/>
  <c r="I110" i="5"/>
  <c r="H110" i="5"/>
  <c r="H109" i="5"/>
  <c r="I109" i="5" s="1"/>
  <c r="H108" i="5"/>
  <c r="I108" i="5" s="1"/>
  <c r="H102" i="5"/>
  <c r="I102" i="5" s="1"/>
  <c r="H101" i="5"/>
  <c r="I101" i="5" s="1"/>
  <c r="I100" i="5"/>
  <c r="H100" i="5"/>
  <c r="I99" i="5"/>
  <c r="H99" i="5"/>
  <c r="H98" i="5"/>
  <c r="I98" i="5" s="1"/>
  <c r="H97" i="5"/>
  <c r="I97" i="5" s="1"/>
  <c r="I94" i="5"/>
  <c r="H94" i="5"/>
  <c r="H93" i="5"/>
  <c r="I93" i="5" s="1"/>
  <c r="H92" i="5"/>
  <c r="I92" i="5" s="1"/>
  <c r="H91" i="5"/>
  <c r="I91" i="5" s="1"/>
  <c r="I90" i="5"/>
  <c r="H90" i="5"/>
  <c r="I89" i="5"/>
  <c r="H89" i="5"/>
  <c r="H88" i="5"/>
  <c r="I88" i="5" s="1"/>
  <c r="H86" i="5"/>
  <c r="I86" i="5" s="1"/>
  <c r="I85" i="5"/>
  <c r="H85" i="5"/>
  <c r="H84" i="5"/>
  <c r="I84" i="5" s="1"/>
  <c r="H83" i="5"/>
  <c r="I83" i="5" s="1"/>
  <c r="H82" i="5"/>
  <c r="I82" i="5" s="1"/>
  <c r="I81" i="5"/>
  <c r="H81" i="5"/>
  <c r="I80" i="5"/>
  <c r="H80" i="5"/>
  <c r="H79" i="5"/>
  <c r="I79" i="5" s="1"/>
  <c r="H78" i="5"/>
  <c r="I78" i="5" s="1"/>
  <c r="I77" i="5"/>
  <c r="H77" i="5"/>
  <c r="H76" i="5"/>
  <c r="I76" i="5" s="1"/>
  <c r="H75" i="5"/>
  <c r="I75" i="5" s="1"/>
  <c r="H74" i="5"/>
  <c r="I74" i="5" s="1"/>
  <c r="I73" i="5"/>
  <c r="H73" i="5"/>
  <c r="I72" i="5"/>
  <c r="H72" i="5"/>
  <c r="H71" i="5"/>
  <c r="I71" i="5" s="1"/>
  <c r="H69" i="5"/>
  <c r="I69" i="5" s="1"/>
  <c r="I68" i="5"/>
  <c r="H68" i="5"/>
  <c r="H67" i="5"/>
  <c r="I67" i="5" s="1"/>
  <c r="I61" i="5"/>
  <c r="H61" i="5"/>
  <c r="H60" i="5"/>
  <c r="I60" i="5" s="1"/>
  <c r="H59" i="5"/>
  <c r="I59" i="5" s="1"/>
  <c r="H58" i="5"/>
  <c r="I58" i="5" s="1"/>
  <c r="I57" i="5"/>
  <c r="H57" i="5"/>
  <c r="H56" i="5"/>
  <c r="I56" i="5" s="1"/>
  <c r="H55" i="5"/>
  <c r="I55" i="5" s="1"/>
  <c r="H54" i="5"/>
  <c r="I54" i="5" s="1"/>
  <c r="I63" i="5" s="1"/>
  <c r="H48" i="5"/>
  <c r="I48" i="5" s="1"/>
  <c r="I47" i="5"/>
  <c r="H47" i="5"/>
  <c r="I46" i="5"/>
  <c r="H46" i="5"/>
  <c r="H45" i="5"/>
  <c r="I45" i="5" s="1"/>
  <c r="H44" i="5"/>
  <c r="I44" i="5" s="1"/>
  <c r="I43" i="5"/>
  <c r="H43" i="5"/>
  <c r="H42" i="5"/>
  <c r="I42" i="5" s="1"/>
  <c r="H41" i="5"/>
  <c r="I41" i="5" s="1"/>
  <c r="H40" i="5"/>
  <c r="I40" i="5" s="1"/>
  <c r="H34" i="5"/>
  <c r="I34" i="5" s="1"/>
  <c r="H33" i="5"/>
  <c r="I33" i="5" s="1"/>
  <c r="I32" i="5"/>
  <c r="H32" i="5"/>
  <c r="H31" i="5"/>
  <c r="I31" i="5" s="1"/>
  <c r="H30" i="5"/>
  <c r="I30" i="5" s="1"/>
  <c r="H29" i="5"/>
  <c r="I29" i="5" s="1"/>
  <c r="I28" i="5"/>
  <c r="H28" i="5"/>
  <c r="H27" i="5"/>
  <c r="I27" i="5" s="1"/>
  <c r="H26" i="5"/>
  <c r="I26" i="5" s="1"/>
  <c r="H25" i="5"/>
  <c r="I25" i="5" s="1"/>
  <c r="I24" i="5"/>
  <c r="H24" i="5"/>
  <c r="H23" i="5"/>
  <c r="I23" i="5" s="1"/>
  <c r="H22" i="5"/>
  <c r="I22" i="5" s="1"/>
  <c r="H21" i="5"/>
  <c r="I21" i="5" s="1"/>
  <c r="I20" i="5"/>
  <c r="H20" i="5"/>
  <c r="H19" i="5"/>
  <c r="I19" i="5" s="1"/>
  <c r="H18" i="5"/>
  <c r="I18" i="5" s="1"/>
  <c r="H17" i="5"/>
  <c r="I17" i="5" s="1"/>
  <c r="I16" i="5"/>
  <c r="H16" i="5"/>
  <c r="H15" i="5"/>
  <c r="I15" i="5" s="1"/>
  <c r="H14" i="5"/>
  <c r="I14" i="5" s="1"/>
  <c r="H9" i="5"/>
  <c r="I9" i="5" s="1"/>
  <c r="H8" i="5"/>
  <c r="I8" i="5" s="1"/>
  <c r="I7" i="5"/>
  <c r="H7" i="5"/>
  <c r="I6" i="5"/>
  <c r="H6" i="5"/>
  <c r="I49" i="5" l="1"/>
  <c r="I122" i="5"/>
  <c r="I11" i="5"/>
  <c r="I36" i="5"/>
  <c r="I104" i="5"/>
  <c r="I124" i="5" l="1"/>
  <c r="I125" i="5" s="1"/>
  <c r="I126" i="5" s="1"/>
  <c r="F10" i="3" l="1"/>
  <c r="C10" i="3"/>
  <c r="F8" i="3"/>
  <c r="C8" i="3"/>
  <c r="F6" i="3"/>
  <c r="C6" i="3"/>
  <c r="F4" i="3"/>
  <c r="AS1" i="1"/>
  <c r="AT1" i="1"/>
  <c r="AU1" i="1"/>
  <c r="L5" i="1"/>
  <c r="AH5" i="1"/>
  <c r="AO5" i="1"/>
  <c r="BH5" i="1" s="1"/>
  <c r="AB5" i="1" s="1"/>
  <c r="AP5" i="1"/>
  <c r="K5" i="1" s="1"/>
  <c r="K4" i="1" s="1"/>
  <c r="BD5" i="1"/>
  <c r="BF5" i="1"/>
  <c r="BJ5" i="1"/>
  <c r="Z5" i="1"/>
  <c r="L7" i="1"/>
  <c r="L6" i="1" s="1"/>
  <c r="Z7" i="1"/>
  <c r="AE7" i="1"/>
  <c r="AJ7" i="1"/>
  <c r="AS6" i="1" s="1"/>
  <c r="AK7" i="1"/>
  <c r="AT6" i="1" s="1"/>
  <c r="AL7" i="1"/>
  <c r="AU6" i="1" s="1"/>
  <c r="AO7" i="1"/>
  <c r="J7" i="1" s="1"/>
  <c r="J6" i="1" s="1"/>
  <c r="AP7" i="1"/>
  <c r="BI7" i="1" s="1"/>
  <c r="BD7" i="1"/>
  <c r="BF7" i="1"/>
  <c r="BH7" i="1"/>
  <c r="AB7" i="1" s="1"/>
  <c r="BJ7" i="1"/>
  <c r="AH7" i="1"/>
  <c r="L10" i="1"/>
  <c r="AL10" i="1" s="1"/>
  <c r="AO10" i="1"/>
  <c r="AP10" i="1"/>
  <c r="BI10" i="1" s="1"/>
  <c r="AC10" i="1" s="1"/>
  <c r="BD10" i="1"/>
  <c r="BF10" i="1"/>
  <c r="BH10" i="1"/>
  <c r="BJ10" i="1"/>
  <c r="L11" i="1"/>
  <c r="AL11" i="1" s="1"/>
  <c r="Z11" i="1"/>
  <c r="AG11" i="1"/>
  <c r="AJ11" i="1"/>
  <c r="AK11" i="1"/>
  <c r="AO11" i="1"/>
  <c r="J11" i="1" s="1"/>
  <c r="AP11" i="1"/>
  <c r="BI11" i="1" s="1"/>
  <c r="AC11" i="1" s="1"/>
  <c r="AW11" i="1"/>
  <c r="BD11" i="1"/>
  <c r="BF11" i="1"/>
  <c r="AE11" i="1"/>
  <c r="BJ11" i="1"/>
  <c r="AH11" i="1"/>
  <c r="L12" i="1"/>
  <c r="AH12" i="1"/>
  <c r="AO12" i="1"/>
  <c r="BH12" i="1" s="1"/>
  <c r="AB12" i="1" s="1"/>
  <c r="AP12" i="1"/>
  <c r="BI12" i="1" s="1"/>
  <c r="AC12" i="1" s="1"/>
  <c r="BD12" i="1"/>
  <c r="BF12" i="1"/>
  <c r="BJ12" i="1"/>
  <c r="Z12" i="1"/>
  <c r="L15" i="1"/>
  <c r="AL15" i="1" s="1"/>
  <c r="Z15" i="1"/>
  <c r="AE15" i="1"/>
  <c r="AJ15" i="1"/>
  <c r="AK15" i="1"/>
  <c r="AO15" i="1"/>
  <c r="J15" i="1" s="1"/>
  <c r="AP15" i="1"/>
  <c r="AX15" i="1" s="1"/>
  <c r="AW15" i="1"/>
  <c r="BD15" i="1"/>
  <c r="BF15" i="1"/>
  <c r="BH15" i="1"/>
  <c r="AB15" i="1" s="1"/>
  <c r="BJ15" i="1"/>
  <c r="AH15" i="1"/>
  <c r="L16" i="1"/>
  <c r="AF16" i="1"/>
  <c r="AK16" i="1"/>
  <c r="AO16" i="1"/>
  <c r="AP16" i="1"/>
  <c r="BD16" i="1"/>
  <c r="BF16" i="1"/>
  <c r="AD16" i="1"/>
  <c r="BJ16" i="1"/>
  <c r="Z16" i="1"/>
  <c r="L17" i="1"/>
  <c r="AL17" i="1" s="1"/>
  <c r="Z17" i="1"/>
  <c r="AJ17" i="1"/>
  <c r="AK17" i="1"/>
  <c r="AO17" i="1"/>
  <c r="AP17" i="1"/>
  <c r="BD17" i="1"/>
  <c r="BF17" i="1"/>
  <c r="BJ17" i="1"/>
  <c r="AH17" i="1"/>
  <c r="L18" i="1"/>
  <c r="AL18" i="1" s="1"/>
  <c r="AF18" i="1"/>
  <c r="AK18" i="1"/>
  <c r="AO18" i="1"/>
  <c r="AW18" i="1" s="1"/>
  <c r="AP18" i="1"/>
  <c r="BI18" i="1" s="1"/>
  <c r="K18" i="1"/>
  <c r="BD18" i="1"/>
  <c r="BF18" i="1"/>
  <c r="AD18" i="1"/>
  <c r="BJ18" i="1"/>
  <c r="Z18" i="1"/>
  <c r="L20" i="1"/>
  <c r="AO20" i="1"/>
  <c r="AP20" i="1"/>
  <c r="AX20" i="1" s="1"/>
  <c r="BD20" i="1"/>
  <c r="BF20" i="1"/>
  <c r="BH20" i="1"/>
  <c r="AB20" i="1" s="1"/>
  <c r="BJ20" i="1"/>
  <c r="L21" i="1"/>
  <c r="AL21" i="1" s="1"/>
  <c r="Z21" i="1"/>
  <c r="AG21" i="1"/>
  <c r="AJ21" i="1"/>
  <c r="AK21" i="1"/>
  <c r="AO21" i="1"/>
  <c r="J21" i="1"/>
  <c r="AP21" i="1"/>
  <c r="AX21" i="1" s="1"/>
  <c r="AW21" i="1"/>
  <c r="BD21" i="1"/>
  <c r="BF21" i="1"/>
  <c r="BH21" i="1"/>
  <c r="AB21" i="1" s="1"/>
  <c r="AE21" i="1"/>
  <c r="BJ21" i="1"/>
  <c r="AH21" i="1"/>
  <c r="L22" i="1"/>
  <c r="AH22" i="1"/>
  <c r="AO22" i="1"/>
  <c r="BH22" i="1" s="1"/>
  <c r="AP22" i="1"/>
  <c r="AX22" i="1" s="1"/>
  <c r="BD22" i="1"/>
  <c r="BF22" i="1"/>
  <c r="BJ22" i="1"/>
  <c r="Z22" i="1"/>
  <c r="L25" i="1"/>
  <c r="AL25" i="1" s="1"/>
  <c r="Z25" i="1"/>
  <c r="AE25" i="1"/>
  <c r="AJ25" i="1"/>
  <c r="AK25" i="1"/>
  <c r="AO25" i="1"/>
  <c r="AP25" i="1"/>
  <c r="AX25" i="1" s="1"/>
  <c r="BD25" i="1"/>
  <c r="BF25" i="1"/>
  <c r="BJ25" i="1"/>
  <c r="AH25" i="1"/>
  <c r="L27" i="1"/>
  <c r="AF27" i="1"/>
  <c r="AK27" i="1"/>
  <c r="AO27" i="1"/>
  <c r="AW27" i="1" s="1"/>
  <c r="AP27" i="1"/>
  <c r="BD27" i="1"/>
  <c r="BF27" i="1"/>
  <c r="AD27" i="1"/>
  <c r="BJ27" i="1"/>
  <c r="Z27" i="1"/>
  <c r="L28" i="1"/>
  <c r="AL28" i="1" s="1"/>
  <c r="Z28" i="1"/>
  <c r="AJ28" i="1"/>
  <c r="AK28" i="1"/>
  <c r="AO28" i="1"/>
  <c r="J28" i="1" s="1"/>
  <c r="AP28" i="1"/>
  <c r="BI28" i="1" s="1"/>
  <c r="BD28" i="1"/>
  <c r="BF28" i="1"/>
  <c r="BJ28" i="1"/>
  <c r="AH28" i="1"/>
  <c r="L30" i="1"/>
  <c r="AF30" i="1"/>
  <c r="AK30" i="1"/>
  <c r="AO30" i="1"/>
  <c r="AW30" i="1" s="1"/>
  <c r="AP30" i="1"/>
  <c r="AX30" i="1" s="1"/>
  <c r="BD30" i="1"/>
  <c r="BF30" i="1"/>
  <c r="AD30" i="1"/>
  <c r="BJ30" i="1"/>
  <c r="Z30" i="1"/>
  <c r="L32" i="1"/>
  <c r="AL32" i="1" s="1"/>
  <c r="Z32" i="1"/>
  <c r="AE32" i="1"/>
  <c r="AJ32" i="1"/>
  <c r="AK32" i="1"/>
  <c r="AT24" i="1" s="1"/>
  <c r="AO32" i="1"/>
  <c r="J32" i="1" s="1"/>
  <c r="AP32" i="1"/>
  <c r="AX32" i="1" s="1"/>
  <c r="BD32" i="1"/>
  <c r="BF32" i="1"/>
  <c r="BJ32" i="1"/>
  <c r="AH32" i="1"/>
  <c r="L33" i="1"/>
  <c r="AF33" i="1"/>
  <c r="AK33" i="1"/>
  <c r="AO33" i="1"/>
  <c r="J33" i="1" s="1"/>
  <c r="AW33" i="1"/>
  <c r="AP33" i="1"/>
  <c r="K33" i="1" s="1"/>
  <c r="AX33" i="1"/>
  <c r="BD33" i="1"/>
  <c r="BF33" i="1"/>
  <c r="AD33" i="1"/>
  <c r="BJ33" i="1"/>
  <c r="Z33" i="1"/>
  <c r="L34" i="1"/>
  <c r="AL34" i="1" s="1"/>
  <c r="Z34" i="1"/>
  <c r="AJ34" i="1"/>
  <c r="AK34" i="1"/>
  <c r="AO34" i="1"/>
  <c r="BH34" i="1" s="1"/>
  <c r="AB34" i="1" s="1"/>
  <c r="AP34" i="1"/>
  <c r="BI34" i="1" s="1"/>
  <c r="AC34" i="1" s="1"/>
  <c r="BD34" i="1"/>
  <c r="BF34" i="1"/>
  <c r="BJ34" i="1"/>
  <c r="AH34" i="1"/>
  <c r="L35" i="1"/>
  <c r="AF35" i="1"/>
  <c r="AK35" i="1"/>
  <c r="AO35" i="1"/>
  <c r="AW35" i="1" s="1"/>
  <c r="AP35" i="1"/>
  <c r="BI35" i="1" s="1"/>
  <c r="AC35" i="1" s="1"/>
  <c r="BD35" i="1"/>
  <c r="BF35" i="1"/>
  <c r="AD35" i="1"/>
  <c r="BJ35" i="1"/>
  <c r="Z35" i="1"/>
  <c r="L37" i="1"/>
  <c r="AL37" i="1" s="1"/>
  <c r="Z37" i="1"/>
  <c r="AG37" i="1"/>
  <c r="AJ37" i="1"/>
  <c r="AK37" i="1"/>
  <c r="AO37" i="1"/>
  <c r="BH37" i="1" s="1"/>
  <c r="AB37" i="1" s="1"/>
  <c r="AP37" i="1"/>
  <c r="AX37" i="1" s="1"/>
  <c r="BD37" i="1"/>
  <c r="BF37" i="1"/>
  <c r="AE37" i="1"/>
  <c r="BJ37" i="1"/>
  <c r="AH37" i="1"/>
  <c r="L38" i="1"/>
  <c r="AL38" i="1" s="1"/>
  <c r="AH38" i="1"/>
  <c r="AO38" i="1"/>
  <c r="BH38" i="1" s="1"/>
  <c r="AP38" i="1"/>
  <c r="BI38" i="1" s="1"/>
  <c r="AC38" i="1" s="1"/>
  <c r="BD38" i="1"/>
  <c r="BF38" i="1"/>
  <c r="BJ38" i="1"/>
  <c r="Z38" i="1"/>
  <c r="L39" i="1"/>
  <c r="Z39" i="1"/>
  <c r="AG39" i="1"/>
  <c r="AJ39" i="1"/>
  <c r="AK39" i="1"/>
  <c r="AL39" i="1"/>
  <c r="AO39" i="1"/>
  <c r="AP39" i="1"/>
  <c r="BI39" i="1" s="1"/>
  <c r="AC39" i="1" s="1"/>
  <c r="AX39" i="1"/>
  <c r="BD39" i="1"/>
  <c r="BF39" i="1"/>
  <c r="AE39" i="1"/>
  <c r="BJ39" i="1"/>
  <c r="AH39" i="1"/>
  <c r="L40" i="1"/>
  <c r="AO40" i="1"/>
  <c r="BH40" i="1" s="1"/>
  <c r="AB40" i="1" s="1"/>
  <c r="AP40" i="1"/>
  <c r="BI40" i="1" s="1"/>
  <c r="AC40" i="1" s="1"/>
  <c r="BD40" i="1"/>
  <c r="BF40" i="1"/>
  <c r="BJ40" i="1"/>
  <c r="L41" i="1"/>
  <c r="AF41" i="1"/>
  <c r="AK41" i="1"/>
  <c r="AO41" i="1"/>
  <c r="BH41" i="1" s="1"/>
  <c r="AB41" i="1" s="1"/>
  <c r="AP41" i="1"/>
  <c r="AX41" i="1" s="1"/>
  <c r="BD41" i="1"/>
  <c r="BF41" i="1"/>
  <c r="AD41" i="1"/>
  <c r="BI41" i="1"/>
  <c r="AC41" i="1" s="1"/>
  <c r="BJ41" i="1"/>
  <c r="Z41" i="1"/>
  <c r="L42" i="1"/>
  <c r="Z42" i="1"/>
  <c r="AE42" i="1"/>
  <c r="AJ42" i="1"/>
  <c r="AK42" i="1"/>
  <c r="AL42" i="1"/>
  <c r="AO42" i="1"/>
  <c r="AP42" i="1"/>
  <c r="BD42" i="1"/>
  <c r="BF42" i="1"/>
  <c r="BJ42" i="1"/>
  <c r="AH42" i="1"/>
  <c r="L43" i="1"/>
  <c r="AF43" i="1"/>
  <c r="AK43" i="1"/>
  <c r="AO43" i="1"/>
  <c r="AP43" i="1"/>
  <c r="BI43" i="1" s="1"/>
  <c r="AC43" i="1" s="1"/>
  <c r="AX43" i="1"/>
  <c r="BD43" i="1"/>
  <c r="BF43" i="1"/>
  <c r="AD43" i="1"/>
  <c r="BJ43" i="1"/>
  <c r="Z43" i="1"/>
  <c r="L45" i="1"/>
  <c r="AL45" i="1" s="1"/>
  <c r="AU44" i="1" s="1"/>
  <c r="Z45" i="1"/>
  <c r="AG45" i="1"/>
  <c r="AJ45" i="1"/>
  <c r="AS44" i="1"/>
  <c r="AK45" i="1"/>
  <c r="AT44" i="1"/>
  <c r="AO45" i="1"/>
  <c r="J45" i="1" s="1"/>
  <c r="J44" i="1" s="1"/>
  <c r="AP45" i="1"/>
  <c r="BI45" i="1" s="1"/>
  <c r="AC45" i="1" s="1"/>
  <c r="BD45" i="1"/>
  <c r="BF45" i="1"/>
  <c r="AE45" i="1"/>
  <c r="BJ45" i="1"/>
  <c r="AH45" i="1"/>
  <c r="L48" i="1"/>
  <c r="AF48" i="1"/>
  <c r="AK48" i="1"/>
  <c r="AT47" i="1" s="1"/>
  <c r="AO48" i="1"/>
  <c r="AW48" i="1" s="1"/>
  <c r="AP48" i="1"/>
  <c r="AX48" i="1" s="1"/>
  <c r="BD48" i="1"/>
  <c r="BF48" i="1"/>
  <c r="AD48" i="1"/>
  <c r="BJ48" i="1"/>
  <c r="Z48" i="1"/>
  <c r="L49" i="1"/>
  <c r="Z49" i="1"/>
  <c r="AE49" i="1"/>
  <c r="AJ49" i="1"/>
  <c r="AK49" i="1"/>
  <c r="AO49" i="1"/>
  <c r="J49" i="1" s="1"/>
  <c r="AP49" i="1"/>
  <c r="AX49" i="1" s="1"/>
  <c r="BD49" i="1"/>
  <c r="BF49" i="1"/>
  <c r="BI49" i="1"/>
  <c r="AC49" i="1" s="1"/>
  <c r="BJ49" i="1"/>
  <c r="AH49" i="1"/>
  <c r="L51" i="1"/>
  <c r="AL51" i="1" s="1"/>
  <c r="AD51" i="1"/>
  <c r="AO51" i="1"/>
  <c r="AP51" i="1"/>
  <c r="K51" i="1" s="1"/>
  <c r="BD51" i="1"/>
  <c r="BF51" i="1"/>
  <c r="BJ51" i="1"/>
  <c r="L52" i="1"/>
  <c r="AL52" i="1" s="1"/>
  <c r="Z52" i="1"/>
  <c r="AG52" i="1"/>
  <c r="AJ52" i="1"/>
  <c r="AK52" i="1"/>
  <c r="AO52" i="1"/>
  <c r="BH52" i="1" s="1"/>
  <c r="AB52" i="1" s="1"/>
  <c r="J52" i="1"/>
  <c r="AP52" i="1"/>
  <c r="BI52" i="1" s="1"/>
  <c r="AC52" i="1" s="1"/>
  <c r="BD52" i="1"/>
  <c r="BF52" i="1"/>
  <c r="AE52" i="1"/>
  <c r="BJ52" i="1"/>
  <c r="AH52" i="1"/>
  <c r="L54" i="1"/>
  <c r="AF54" i="1"/>
  <c r="AK54" i="1"/>
  <c r="AO54" i="1"/>
  <c r="AP54" i="1"/>
  <c r="BI54" i="1" s="1"/>
  <c r="AC54" i="1" s="1"/>
  <c r="BD54" i="1"/>
  <c r="BF54" i="1"/>
  <c r="BH54" i="1"/>
  <c r="AB54" i="1" s="1"/>
  <c r="AD54" i="1"/>
  <c r="BJ54" i="1"/>
  <c r="Z54" i="1"/>
  <c r="L56" i="1"/>
  <c r="AL56" i="1" s="1"/>
  <c r="Z56" i="1"/>
  <c r="AJ56" i="1"/>
  <c r="AK56" i="1"/>
  <c r="AO56" i="1"/>
  <c r="AW56" i="1" s="1"/>
  <c r="AP56" i="1"/>
  <c r="BD56" i="1"/>
  <c r="BF56" i="1"/>
  <c r="BJ56" i="1"/>
  <c r="AH56" i="1"/>
  <c r="L58" i="1"/>
  <c r="AF58" i="1"/>
  <c r="AK58" i="1"/>
  <c r="AO58" i="1"/>
  <c r="AP58" i="1"/>
  <c r="BI58" i="1" s="1"/>
  <c r="AC58" i="1" s="1"/>
  <c r="BD58" i="1"/>
  <c r="BF58" i="1"/>
  <c r="AD58" i="1"/>
  <c r="BJ58" i="1"/>
  <c r="Z58" i="1"/>
  <c r="L60" i="1"/>
  <c r="AL60" i="1" s="1"/>
  <c r="Z60" i="1"/>
  <c r="AE60" i="1"/>
  <c r="AJ60" i="1"/>
  <c r="AK60" i="1"/>
  <c r="AO60" i="1"/>
  <c r="J60" i="1" s="1"/>
  <c r="AP60" i="1"/>
  <c r="AX60" i="1" s="1"/>
  <c r="BD60" i="1"/>
  <c r="BF60" i="1"/>
  <c r="BI60" i="1"/>
  <c r="AC60" i="1" s="1"/>
  <c r="BJ60" i="1"/>
  <c r="AH60" i="1"/>
  <c r="L62" i="1"/>
  <c r="AF62" i="1"/>
  <c r="AK62" i="1"/>
  <c r="AO62" i="1"/>
  <c r="AW62" i="1" s="1"/>
  <c r="AP62" i="1"/>
  <c r="AX62" i="1" s="1"/>
  <c r="BD62" i="1"/>
  <c r="BF62" i="1"/>
  <c r="AD62" i="1"/>
  <c r="BJ62" i="1"/>
  <c r="Z62" i="1"/>
  <c r="L63" i="1"/>
  <c r="AL63" i="1" s="1"/>
  <c r="Z63" i="1"/>
  <c r="AJ63" i="1"/>
  <c r="AK63" i="1"/>
  <c r="AO63" i="1"/>
  <c r="AP63" i="1"/>
  <c r="AX63" i="1" s="1"/>
  <c r="BD63" i="1"/>
  <c r="BF63" i="1"/>
  <c r="BI63" i="1"/>
  <c r="BJ63" i="1"/>
  <c r="AH63" i="1"/>
  <c r="L64" i="1"/>
  <c r="AF64" i="1"/>
  <c r="AK64" i="1"/>
  <c r="AO64" i="1"/>
  <c r="AW64" i="1" s="1"/>
  <c r="AP64" i="1"/>
  <c r="BI64" i="1" s="1"/>
  <c r="AC64" i="1" s="1"/>
  <c r="K64" i="1"/>
  <c r="BD64" i="1"/>
  <c r="BF64" i="1"/>
  <c r="AD64" i="1"/>
  <c r="BJ64" i="1"/>
  <c r="Z64" i="1"/>
  <c r="L65" i="1"/>
  <c r="AL65" i="1" s="1"/>
  <c r="Z65" i="1"/>
  <c r="AE65" i="1"/>
  <c r="AJ65" i="1"/>
  <c r="AK65" i="1"/>
  <c r="AO65" i="1"/>
  <c r="AW65" i="1" s="1"/>
  <c r="AP65" i="1"/>
  <c r="BD65" i="1"/>
  <c r="BF65" i="1"/>
  <c r="BJ65" i="1"/>
  <c r="AH65" i="1"/>
  <c r="L67" i="1"/>
  <c r="AD67" i="1"/>
  <c r="AO67" i="1"/>
  <c r="AP67" i="1"/>
  <c r="BI67" i="1" s="1"/>
  <c r="AC67" i="1" s="1"/>
  <c r="BD67" i="1"/>
  <c r="BF67" i="1"/>
  <c r="BH67" i="1"/>
  <c r="AB67" i="1" s="1"/>
  <c r="BJ67" i="1"/>
  <c r="L68" i="1"/>
  <c r="AL68" i="1" s="1"/>
  <c r="Z68" i="1"/>
  <c r="AG68" i="1"/>
  <c r="AJ68" i="1"/>
  <c r="AK68" i="1"/>
  <c r="AO68" i="1"/>
  <c r="J68" i="1" s="1"/>
  <c r="AP68" i="1"/>
  <c r="BD68" i="1"/>
  <c r="BF68" i="1"/>
  <c r="AE68" i="1"/>
  <c r="BJ68" i="1"/>
  <c r="AH68" i="1"/>
  <c r="L69" i="1"/>
  <c r="AL69" i="1" s="1"/>
  <c r="AH69" i="1"/>
  <c r="AO69" i="1"/>
  <c r="AP69" i="1"/>
  <c r="K69" i="1" s="1"/>
  <c r="BD69" i="1"/>
  <c r="BF69" i="1"/>
  <c r="BJ69" i="1"/>
  <c r="Z69" i="1"/>
  <c r="L70" i="1"/>
  <c r="AL70" i="1" s="1"/>
  <c r="Z70" i="1"/>
  <c r="AG70" i="1"/>
  <c r="AJ70" i="1"/>
  <c r="AK70" i="1"/>
  <c r="AO70" i="1"/>
  <c r="AP70" i="1"/>
  <c r="BI70" i="1" s="1"/>
  <c r="AC70" i="1" s="1"/>
  <c r="BD70" i="1"/>
  <c r="BF70" i="1"/>
  <c r="AE70" i="1"/>
  <c r="BJ70" i="1"/>
  <c r="AH70" i="1"/>
  <c r="L72" i="1"/>
  <c r="AF72" i="1"/>
  <c r="AK72" i="1"/>
  <c r="AO72" i="1"/>
  <c r="AP72" i="1"/>
  <c r="K72" i="1"/>
  <c r="AX72" i="1"/>
  <c r="BD72" i="1"/>
  <c r="BF72" i="1"/>
  <c r="AD72" i="1"/>
  <c r="BI72" i="1"/>
  <c r="AC72" i="1" s="1"/>
  <c r="BJ72" i="1"/>
  <c r="Z72" i="1"/>
  <c r="L74" i="1"/>
  <c r="Z74" i="1"/>
  <c r="AE74" i="1"/>
  <c r="AJ74" i="1"/>
  <c r="AK74" i="1"/>
  <c r="AO74" i="1"/>
  <c r="J74" i="1" s="1"/>
  <c r="AP74" i="1"/>
  <c r="BD74" i="1"/>
  <c r="BF74" i="1"/>
  <c r="BJ74" i="1"/>
  <c r="AH74" i="1"/>
  <c r="L75" i="1"/>
  <c r="AF75" i="1"/>
  <c r="AK75" i="1"/>
  <c r="AO75" i="1"/>
  <c r="J75" i="1" s="1"/>
  <c r="AP75" i="1"/>
  <c r="K75" i="1" s="1"/>
  <c r="AX75" i="1"/>
  <c r="BD75" i="1"/>
  <c r="BF75" i="1"/>
  <c r="AD75" i="1"/>
  <c r="BJ75" i="1"/>
  <c r="Z75" i="1"/>
  <c r="L77" i="1"/>
  <c r="Z77" i="1"/>
  <c r="AJ77" i="1"/>
  <c r="AK77" i="1"/>
  <c r="AL77" i="1"/>
  <c r="AO77" i="1"/>
  <c r="AP77" i="1"/>
  <c r="K77" i="1" s="1"/>
  <c r="BD77" i="1"/>
  <c r="BF77" i="1"/>
  <c r="BJ77" i="1"/>
  <c r="AH77" i="1"/>
  <c r="L79" i="1"/>
  <c r="AF79" i="1"/>
  <c r="AK79" i="1"/>
  <c r="AO79" i="1"/>
  <c r="BH79" i="1" s="1"/>
  <c r="AB79" i="1" s="1"/>
  <c r="AP79" i="1"/>
  <c r="AX79" i="1" s="1"/>
  <c r="BD79" i="1"/>
  <c r="BF79" i="1"/>
  <c r="AD79" i="1"/>
  <c r="BJ79" i="1"/>
  <c r="Z79" i="1"/>
  <c r="L82" i="1"/>
  <c r="AL82" i="1" s="1"/>
  <c r="Z82" i="1"/>
  <c r="AG82" i="1"/>
  <c r="AJ82" i="1"/>
  <c r="AK82" i="1"/>
  <c r="AO82" i="1"/>
  <c r="J82" i="1" s="1"/>
  <c r="AP82" i="1"/>
  <c r="BI82" i="1" s="1"/>
  <c r="AC82" i="1" s="1"/>
  <c r="BD82" i="1"/>
  <c r="BF82" i="1"/>
  <c r="AE82" i="1"/>
  <c r="BJ82" i="1"/>
  <c r="AH82" i="1"/>
  <c r="L84" i="1"/>
  <c r="AH84" i="1"/>
  <c r="AO84" i="1"/>
  <c r="AP84" i="1"/>
  <c r="K84" i="1" s="1"/>
  <c r="BD84" i="1"/>
  <c r="BF84" i="1"/>
  <c r="BJ84" i="1"/>
  <c r="Z84" i="1"/>
  <c r="L86" i="1"/>
  <c r="Z86" i="1"/>
  <c r="AG86" i="1"/>
  <c r="AJ86" i="1"/>
  <c r="AK86" i="1"/>
  <c r="AL86" i="1"/>
  <c r="AO86" i="1"/>
  <c r="AW86" i="1" s="1"/>
  <c r="AV86" i="1" s="1"/>
  <c r="AP86" i="1"/>
  <c r="AX86" i="1" s="1"/>
  <c r="BD86" i="1"/>
  <c r="BF86" i="1"/>
  <c r="AE86" i="1"/>
  <c r="BJ86" i="1"/>
  <c r="AH86" i="1"/>
  <c r="L87" i="1"/>
  <c r="AD87" i="1"/>
  <c r="AO87" i="1"/>
  <c r="BH87" i="1" s="1"/>
  <c r="AP87" i="1"/>
  <c r="AX87" i="1" s="1"/>
  <c r="BD87" i="1"/>
  <c r="BF87" i="1"/>
  <c r="BJ87" i="1"/>
  <c r="L88" i="1"/>
  <c r="AL88" i="1" s="1"/>
  <c r="Z88" i="1"/>
  <c r="AG88" i="1"/>
  <c r="AJ88" i="1"/>
  <c r="AK88" i="1"/>
  <c r="AO88" i="1"/>
  <c r="J88" i="1" s="1"/>
  <c r="AP88" i="1"/>
  <c r="AX88" i="1" s="1"/>
  <c r="BD88" i="1"/>
  <c r="BF88" i="1"/>
  <c r="AE88" i="1"/>
  <c r="BJ88" i="1"/>
  <c r="AH88" i="1"/>
  <c r="L91" i="1"/>
  <c r="L90" i="1" s="1"/>
  <c r="AJ91" i="1"/>
  <c r="AS90" i="1" s="1"/>
  <c r="AK91" i="1"/>
  <c r="AT90" i="1" s="1"/>
  <c r="AO91" i="1"/>
  <c r="BH91" i="1" s="1"/>
  <c r="AB91" i="1" s="1"/>
  <c r="AP91" i="1"/>
  <c r="AX91" i="1" s="1"/>
  <c r="BD91" i="1"/>
  <c r="BF91" i="1"/>
  <c r="AD91" i="1"/>
  <c r="BJ91" i="1"/>
  <c r="Z91" i="1"/>
  <c r="L94" i="1"/>
  <c r="AH94" i="1"/>
  <c r="AO94" i="1"/>
  <c r="AP94" i="1"/>
  <c r="K94" i="1" s="1"/>
  <c r="K93" i="1" s="1"/>
  <c r="BD94" i="1"/>
  <c r="BF94" i="1"/>
  <c r="BH94" i="1"/>
  <c r="BJ94" i="1"/>
  <c r="Z94" i="1"/>
  <c r="L96" i="1"/>
  <c r="AL96" i="1" s="1"/>
  <c r="AU95" i="1" s="1"/>
  <c r="Z96" i="1"/>
  <c r="AE96" i="1"/>
  <c r="AJ96" i="1"/>
  <c r="AS95" i="1" s="1"/>
  <c r="AK96" i="1"/>
  <c r="AT95" i="1" s="1"/>
  <c r="AO96" i="1"/>
  <c r="J96" i="1" s="1"/>
  <c r="J95" i="1" s="1"/>
  <c r="AP96" i="1"/>
  <c r="BI96" i="1" s="1"/>
  <c r="BD96" i="1"/>
  <c r="BF96" i="1"/>
  <c r="BJ96" i="1"/>
  <c r="AH96" i="1"/>
  <c r="L98" i="1"/>
  <c r="AO98" i="1"/>
  <c r="BH98" i="1" s="1"/>
  <c r="AB98" i="1" s="1"/>
  <c r="AP98" i="1"/>
  <c r="K98" i="1" s="1"/>
  <c r="BD98" i="1"/>
  <c r="BF98" i="1"/>
  <c r="BJ98" i="1"/>
  <c r="Z98" i="1"/>
  <c r="L99" i="1"/>
  <c r="AL99" i="1" s="1"/>
  <c r="Z99" i="1"/>
  <c r="AG99" i="1"/>
  <c r="AJ99" i="1"/>
  <c r="AK99" i="1"/>
  <c r="AO99" i="1"/>
  <c r="AP99" i="1"/>
  <c r="AX99" i="1" s="1"/>
  <c r="BD99" i="1"/>
  <c r="BF99" i="1"/>
  <c r="BI99" i="1"/>
  <c r="AC99" i="1" s="1"/>
  <c r="AE99" i="1"/>
  <c r="BJ99" i="1"/>
  <c r="AH99" i="1"/>
  <c r="J101" i="1"/>
  <c r="L102" i="1"/>
  <c r="L101" i="1" s="1"/>
  <c r="AB102" i="1"/>
  <c r="AF102" i="1"/>
  <c r="AK102" i="1"/>
  <c r="AT101" i="1" s="1"/>
  <c r="AO102" i="1"/>
  <c r="J102" i="1" s="1"/>
  <c r="AP102" i="1"/>
  <c r="BI102" i="1" s="1"/>
  <c r="BD102" i="1"/>
  <c r="BF102" i="1"/>
  <c r="AD102" i="1"/>
  <c r="AC102" i="1"/>
  <c r="BJ102" i="1"/>
  <c r="Z102" i="1" s="1"/>
  <c r="L104" i="1"/>
  <c r="AL104" i="1" s="1"/>
  <c r="Z104" i="1"/>
  <c r="AG104" i="1"/>
  <c r="AJ104" i="1"/>
  <c r="AK104" i="1"/>
  <c r="AO104" i="1"/>
  <c r="J104" i="1" s="1"/>
  <c r="AP104" i="1"/>
  <c r="BD104" i="1"/>
  <c r="BF104" i="1"/>
  <c r="AE104" i="1"/>
  <c r="BJ104" i="1"/>
  <c r="AH104" i="1"/>
  <c r="L106" i="1"/>
  <c r="AO106" i="1"/>
  <c r="BH106" i="1" s="1"/>
  <c r="AB106" i="1" s="1"/>
  <c r="AP106" i="1"/>
  <c r="BI106" i="1" s="1"/>
  <c r="AC106" i="1" s="1"/>
  <c r="BD106" i="1"/>
  <c r="BF106" i="1"/>
  <c r="BJ106" i="1"/>
  <c r="Z106" i="1"/>
  <c r="L107" i="1"/>
  <c r="AL107" i="1" s="1"/>
  <c r="Z107" i="1"/>
  <c r="AG107" i="1"/>
  <c r="AJ107" i="1"/>
  <c r="AK107" i="1"/>
  <c r="AO107" i="1"/>
  <c r="J107" i="1" s="1"/>
  <c r="AP107" i="1"/>
  <c r="BD107" i="1"/>
  <c r="BF107" i="1"/>
  <c r="AE107" i="1"/>
  <c r="BJ107" i="1"/>
  <c r="AH107" i="1"/>
  <c r="L108" i="1"/>
  <c r="AH108" i="1"/>
  <c r="AO108" i="1"/>
  <c r="BH108" i="1" s="1"/>
  <c r="AP108" i="1"/>
  <c r="K108" i="1" s="1"/>
  <c r="BD108" i="1"/>
  <c r="BF108" i="1"/>
  <c r="BJ108" i="1"/>
  <c r="Z108" i="1"/>
  <c r="L109" i="1"/>
  <c r="AL109" i="1" s="1"/>
  <c r="Z109" i="1"/>
  <c r="AG109" i="1"/>
  <c r="AJ109" i="1"/>
  <c r="AK109" i="1"/>
  <c r="AO109" i="1"/>
  <c r="BH109" i="1" s="1"/>
  <c r="AB109" i="1" s="1"/>
  <c r="AP109" i="1"/>
  <c r="AX109" i="1" s="1"/>
  <c r="AW109" i="1"/>
  <c r="BD109" i="1"/>
  <c r="BF109" i="1"/>
  <c r="AE109" i="1"/>
  <c r="BJ109" i="1"/>
  <c r="AH109" i="1"/>
  <c r="L110" i="1"/>
  <c r="AO110" i="1"/>
  <c r="AP110" i="1"/>
  <c r="K110" i="1" s="1"/>
  <c r="BD110" i="1"/>
  <c r="BF110" i="1"/>
  <c r="BJ110" i="1"/>
  <c r="Z110" i="1"/>
  <c r="L111" i="1"/>
  <c r="AL111" i="1" s="1"/>
  <c r="Z111" i="1"/>
  <c r="AG111" i="1"/>
  <c r="AJ111" i="1"/>
  <c r="AK111" i="1"/>
  <c r="AO111" i="1"/>
  <c r="BH111" i="1" s="1"/>
  <c r="AB111" i="1" s="1"/>
  <c r="AP111" i="1"/>
  <c r="AX111" i="1" s="1"/>
  <c r="BD111" i="1"/>
  <c r="BF111" i="1"/>
  <c r="AE111" i="1"/>
  <c r="BJ111" i="1"/>
  <c r="AH111" i="1"/>
  <c r="L113" i="1"/>
  <c r="AH113" i="1"/>
  <c r="AO113" i="1"/>
  <c r="AP113" i="1"/>
  <c r="K113" i="1" s="1"/>
  <c r="BD113" i="1"/>
  <c r="BF113" i="1"/>
  <c r="BH113" i="1"/>
  <c r="BJ113" i="1"/>
  <c r="Z113" i="1"/>
  <c r="L114" i="1"/>
  <c r="AL114" i="1" s="1"/>
  <c r="Z114" i="1"/>
  <c r="AG114" i="1"/>
  <c r="AJ114" i="1"/>
  <c r="AK114" i="1"/>
  <c r="AO114" i="1"/>
  <c r="BH114" i="1" s="1"/>
  <c r="AB114" i="1" s="1"/>
  <c r="AP114" i="1"/>
  <c r="AW114" i="1"/>
  <c r="BD114" i="1"/>
  <c r="BF114" i="1"/>
  <c r="AE114" i="1"/>
  <c r="BJ114" i="1"/>
  <c r="AH114" i="1"/>
  <c r="L115" i="1"/>
  <c r="AL115" i="1" s="1"/>
  <c r="AO115" i="1"/>
  <c r="BH115" i="1" s="1"/>
  <c r="AB115" i="1" s="1"/>
  <c r="AP115" i="1"/>
  <c r="BD115" i="1"/>
  <c r="BF115" i="1"/>
  <c r="BJ115" i="1"/>
  <c r="Z115" i="1"/>
  <c r="L116" i="1"/>
  <c r="AL116" i="1" s="1"/>
  <c r="Z116" i="1"/>
  <c r="AG116" i="1"/>
  <c r="AJ116" i="1"/>
  <c r="AK116" i="1"/>
  <c r="AO116" i="1"/>
  <c r="AP116" i="1"/>
  <c r="BD116" i="1"/>
  <c r="BF116" i="1"/>
  <c r="AE116" i="1"/>
  <c r="BJ116" i="1"/>
  <c r="AH116" i="1"/>
  <c r="L117" i="1"/>
  <c r="AH117" i="1"/>
  <c r="AO117" i="1"/>
  <c r="BH117" i="1" s="1"/>
  <c r="AB117" i="1" s="1"/>
  <c r="AP117" i="1"/>
  <c r="BI117" i="1" s="1"/>
  <c r="AC117" i="1" s="1"/>
  <c r="K117" i="1"/>
  <c r="BD117" i="1"/>
  <c r="BF117" i="1"/>
  <c r="BJ117" i="1"/>
  <c r="Z117" i="1"/>
  <c r="L118" i="1"/>
  <c r="AL118" i="1" s="1"/>
  <c r="Z118" i="1"/>
  <c r="AG118" i="1"/>
  <c r="AJ118" i="1"/>
  <c r="AK118" i="1"/>
  <c r="AO118" i="1"/>
  <c r="AW118" i="1" s="1"/>
  <c r="AP118" i="1"/>
  <c r="AX118" i="1" s="1"/>
  <c r="BD118" i="1"/>
  <c r="BF118" i="1"/>
  <c r="AE118" i="1"/>
  <c r="BJ118" i="1"/>
  <c r="AH118" i="1"/>
  <c r="L119" i="1"/>
  <c r="AO119" i="1"/>
  <c r="J119" i="1" s="1"/>
  <c r="AP119" i="1"/>
  <c r="AX119" i="1" s="1"/>
  <c r="K119" i="1"/>
  <c r="BD119" i="1"/>
  <c r="BF119" i="1"/>
  <c r="BJ119" i="1"/>
  <c r="Z119" i="1"/>
  <c r="L120" i="1"/>
  <c r="AL120" i="1" s="1"/>
  <c r="Z120" i="1"/>
  <c r="AG120" i="1"/>
  <c r="AJ120" i="1"/>
  <c r="AK120" i="1"/>
  <c r="AO120" i="1"/>
  <c r="AW120" i="1" s="1"/>
  <c r="AP120" i="1"/>
  <c r="BD120" i="1"/>
  <c r="BF120" i="1"/>
  <c r="BI120" i="1"/>
  <c r="AC120" i="1" s="1"/>
  <c r="AE120" i="1"/>
  <c r="BJ120" i="1"/>
  <c r="AH120" i="1"/>
  <c r="L121" i="1"/>
  <c r="AH121" i="1"/>
  <c r="AO121" i="1"/>
  <c r="BH121" i="1" s="1"/>
  <c r="AB121" i="1" s="1"/>
  <c r="AP121" i="1"/>
  <c r="AX121" i="1" s="1"/>
  <c r="BD121" i="1"/>
  <c r="BF121" i="1"/>
  <c r="BJ121" i="1"/>
  <c r="Z121" i="1"/>
  <c r="L123" i="1"/>
  <c r="AL123" i="1" s="1"/>
  <c r="Z123" i="1"/>
  <c r="AG123" i="1"/>
  <c r="AJ123" i="1"/>
  <c r="AK123" i="1"/>
  <c r="AO123" i="1"/>
  <c r="AP123" i="1"/>
  <c r="BD123" i="1"/>
  <c r="BF123" i="1"/>
  <c r="AE123" i="1"/>
  <c r="BJ123" i="1"/>
  <c r="AH123" i="1"/>
  <c r="L124" i="1"/>
  <c r="AO124" i="1"/>
  <c r="BH124" i="1" s="1"/>
  <c r="AB124" i="1" s="1"/>
  <c r="AP124" i="1"/>
  <c r="K124" i="1" s="1"/>
  <c r="BD124" i="1"/>
  <c r="BF124" i="1"/>
  <c r="BJ124" i="1"/>
  <c r="Z124" i="1"/>
  <c r="L126" i="1"/>
  <c r="AL126" i="1" s="1"/>
  <c r="Z126" i="1"/>
  <c r="AG126" i="1"/>
  <c r="AJ126" i="1"/>
  <c r="AK126" i="1"/>
  <c r="AO126" i="1"/>
  <c r="AP126" i="1"/>
  <c r="BD126" i="1"/>
  <c r="BF126" i="1"/>
  <c r="AE126" i="1"/>
  <c r="BJ126" i="1"/>
  <c r="AH126" i="1"/>
  <c r="L129" i="1"/>
  <c r="AF129" i="1"/>
  <c r="AK129" i="1"/>
  <c r="AO129" i="1"/>
  <c r="J129" i="1" s="1"/>
  <c r="AP129" i="1"/>
  <c r="K129" i="1" s="1"/>
  <c r="BD129" i="1"/>
  <c r="BF129" i="1"/>
  <c r="AD129" i="1"/>
  <c r="BJ129" i="1"/>
  <c r="Z129" i="1"/>
  <c r="L130" i="1"/>
  <c r="AL130" i="1" s="1"/>
  <c r="Z130" i="1"/>
  <c r="AJ130" i="1"/>
  <c r="AK130" i="1"/>
  <c r="AO130" i="1"/>
  <c r="J130" i="1" s="1"/>
  <c r="AP130" i="1"/>
  <c r="BI130" i="1" s="1"/>
  <c r="BD130" i="1"/>
  <c r="BF130" i="1"/>
  <c r="BH130" i="1"/>
  <c r="AB130" i="1" s="1"/>
  <c r="BJ130" i="1"/>
  <c r="AH130" i="1"/>
  <c r="L131" i="1"/>
  <c r="AL131" i="1" s="1"/>
  <c r="AF131" i="1"/>
  <c r="AK131" i="1"/>
  <c r="AO131" i="1"/>
  <c r="BH131" i="1" s="1"/>
  <c r="AB131" i="1" s="1"/>
  <c r="AP131" i="1"/>
  <c r="BD131" i="1"/>
  <c r="BF131" i="1"/>
  <c r="AD131" i="1"/>
  <c r="BJ131" i="1"/>
  <c r="Z131" i="1"/>
  <c r="L132" i="1"/>
  <c r="AL132" i="1" s="1"/>
  <c r="Z132" i="1"/>
  <c r="AE132" i="1"/>
  <c r="AJ132" i="1"/>
  <c r="AK132" i="1"/>
  <c r="AO132" i="1"/>
  <c r="AP132" i="1"/>
  <c r="BD132" i="1"/>
  <c r="BF132" i="1"/>
  <c r="BJ132" i="1"/>
  <c r="AH132" i="1"/>
  <c r="L133" i="1"/>
  <c r="AL133" i="1" s="1"/>
  <c r="AF133" i="1"/>
  <c r="AK133" i="1"/>
  <c r="AO133" i="1"/>
  <c r="AP133" i="1"/>
  <c r="BI133" i="1" s="1"/>
  <c r="AC133" i="1" s="1"/>
  <c r="K133" i="1"/>
  <c r="BD133" i="1"/>
  <c r="BF133" i="1"/>
  <c r="AD133" i="1"/>
  <c r="BJ133" i="1"/>
  <c r="Z133" i="1"/>
  <c r="L134" i="1"/>
  <c r="AL134" i="1" s="1"/>
  <c r="Z134" i="1"/>
  <c r="AJ134" i="1"/>
  <c r="AK134" i="1"/>
  <c r="AO134" i="1"/>
  <c r="AP134" i="1"/>
  <c r="BI134" i="1" s="1"/>
  <c r="AC134" i="1" s="1"/>
  <c r="BD134" i="1"/>
  <c r="BF134" i="1"/>
  <c r="BJ134" i="1"/>
  <c r="AH134" i="1"/>
  <c r="L135" i="1"/>
  <c r="AF135" i="1"/>
  <c r="AK135" i="1"/>
  <c r="AO135" i="1"/>
  <c r="J135" i="1" s="1"/>
  <c r="AP135" i="1"/>
  <c r="K135" i="1" s="1"/>
  <c r="BD135" i="1"/>
  <c r="BF135" i="1"/>
  <c r="AD135" i="1"/>
  <c r="BJ135" i="1"/>
  <c r="Z135" i="1"/>
  <c r="L136" i="1"/>
  <c r="AL136" i="1" s="1"/>
  <c r="Z136" i="1"/>
  <c r="AE136" i="1"/>
  <c r="AJ136" i="1"/>
  <c r="AK136" i="1"/>
  <c r="AO136" i="1"/>
  <c r="BH136" i="1" s="1"/>
  <c r="AB136" i="1" s="1"/>
  <c r="AP136" i="1"/>
  <c r="AX136" i="1" s="1"/>
  <c r="BD136" i="1"/>
  <c r="BF136" i="1"/>
  <c r="BJ136" i="1"/>
  <c r="AH136" i="1"/>
  <c r="L137" i="1"/>
  <c r="AF137" i="1"/>
  <c r="AK137" i="1"/>
  <c r="AO137" i="1"/>
  <c r="J137" i="1" s="1"/>
  <c r="AP137" i="1"/>
  <c r="BI137" i="1" s="1"/>
  <c r="AC137" i="1" s="1"/>
  <c r="BD137" i="1"/>
  <c r="BF137" i="1"/>
  <c r="AD137" i="1"/>
  <c r="BJ137" i="1"/>
  <c r="Z137" i="1"/>
  <c r="L138" i="1"/>
  <c r="AL138" i="1" s="1"/>
  <c r="Z138" i="1"/>
  <c r="AJ138" i="1"/>
  <c r="AK138" i="1"/>
  <c r="AO138" i="1"/>
  <c r="J138" i="1" s="1"/>
  <c r="AP138" i="1"/>
  <c r="BD138" i="1"/>
  <c r="BF138" i="1"/>
  <c r="BH138" i="1"/>
  <c r="AB138" i="1" s="1"/>
  <c r="BJ138" i="1"/>
  <c r="AH138" i="1"/>
  <c r="L139" i="1"/>
  <c r="AF139" i="1"/>
  <c r="AK139" i="1"/>
  <c r="AO139" i="1"/>
  <c r="BH139" i="1" s="1"/>
  <c r="AB139" i="1" s="1"/>
  <c r="AP139" i="1"/>
  <c r="BI139" i="1" s="1"/>
  <c r="AC139" i="1" s="1"/>
  <c r="AX139" i="1"/>
  <c r="BD139" i="1"/>
  <c r="BF139" i="1"/>
  <c r="AD139" i="1"/>
  <c r="BJ139" i="1"/>
  <c r="Z139" i="1"/>
  <c r="L140" i="1"/>
  <c r="AL140" i="1" s="1"/>
  <c r="Z140" i="1"/>
  <c r="AE140" i="1"/>
  <c r="AJ140" i="1"/>
  <c r="AK140" i="1"/>
  <c r="AO140" i="1"/>
  <c r="J140" i="1" s="1"/>
  <c r="AP140" i="1"/>
  <c r="BI140" i="1" s="1"/>
  <c r="BD140" i="1"/>
  <c r="BF140" i="1"/>
  <c r="BJ140" i="1"/>
  <c r="AH140" i="1"/>
  <c r="L141" i="1"/>
  <c r="AF141" i="1"/>
  <c r="AK141" i="1"/>
  <c r="AO141" i="1"/>
  <c r="AP141" i="1"/>
  <c r="K141" i="1" s="1"/>
  <c r="BD141" i="1"/>
  <c r="BF141" i="1"/>
  <c r="AD141" i="1"/>
  <c r="BI141" i="1"/>
  <c r="AC141" i="1" s="1"/>
  <c r="BJ141" i="1"/>
  <c r="Z141" i="1"/>
  <c r="L142" i="1"/>
  <c r="AL142" i="1" s="1"/>
  <c r="Z142" i="1"/>
  <c r="AJ142" i="1"/>
  <c r="AK142" i="1"/>
  <c r="AO142" i="1"/>
  <c r="J142" i="1" s="1"/>
  <c r="AP142" i="1"/>
  <c r="AX142" i="1" s="1"/>
  <c r="BD142" i="1"/>
  <c r="BF142" i="1"/>
  <c r="BJ142" i="1"/>
  <c r="AH142" i="1"/>
  <c r="L145" i="1"/>
  <c r="AH145" i="1"/>
  <c r="AO145" i="1"/>
  <c r="BH145" i="1" s="1"/>
  <c r="AP145" i="1"/>
  <c r="AX145" i="1" s="1"/>
  <c r="BD145" i="1"/>
  <c r="BF145" i="1"/>
  <c r="AC145" i="1"/>
  <c r="BJ145" i="1"/>
  <c r="Z145" i="1" s="1"/>
  <c r="L146" i="1"/>
  <c r="AL146" i="1" s="1"/>
  <c r="AC146" i="1"/>
  <c r="AG146" i="1"/>
  <c r="AJ146" i="1"/>
  <c r="AK146" i="1"/>
  <c r="AO146" i="1"/>
  <c r="J146" i="1" s="1"/>
  <c r="AP146" i="1"/>
  <c r="AX146" i="1" s="1"/>
  <c r="BD146" i="1"/>
  <c r="BF146" i="1"/>
  <c r="AB146" i="1"/>
  <c r="AE146" i="1"/>
  <c r="BJ146" i="1"/>
  <c r="Z146" i="1" s="1"/>
  <c r="AH146" i="1"/>
  <c r="L147" i="1"/>
  <c r="AO147" i="1"/>
  <c r="AP147" i="1"/>
  <c r="AX147" i="1" s="1"/>
  <c r="BD147" i="1"/>
  <c r="BF147" i="1"/>
  <c r="AC147" i="1"/>
  <c r="BJ147" i="1"/>
  <c r="Z147" i="1" s="1"/>
  <c r="L149" i="1"/>
  <c r="AL149" i="1" s="1"/>
  <c r="AC149" i="1"/>
  <c r="AG149" i="1"/>
  <c r="AJ149" i="1"/>
  <c r="AK149" i="1"/>
  <c r="AO149" i="1"/>
  <c r="AP149" i="1"/>
  <c r="BI149" i="1" s="1"/>
  <c r="AX149" i="1"/>
  <c r="BD149" i="1"/>
  <c r="BF149" i="1"/>
  <c r="AB149" i="1"/>
  <c r="AE149" i="1"/>
  <c r="BJ149" i="1"/>
  <c r="Z149" i="1" s="1"/>
  <c r="AH149" i="1"/>
  <c r="L150" i="1"/>
  <c r="AH150" i="1"/>
  <c r="AO150" i="1"/>
  <c r="BH150" i="1" s="1"/>
  <c r="AP150" i="1"/>
  <c r="BI150" i="1" s="1"/>
  <c r="BD150" i="1"/>
  <c r="BF150" i="1"/>
  <c r="AC150" i="1"/>
  <c r="BJ150" i="1"/>
  <c r="Z150" i="1" s="1"/>
  <c r="L151" i="1"/>
  <c r="AC151" i="1"/>
  <c r="AG151" i="1"/>
  <c r="AJ151" i="1"/>
  <c r="AK151" i="1"/>
  <c r="AL151" i="1"/>
  <c r="AO151" i="1"/>
  <c r="AW151" i="1" s="1"/>
  <c r="AP151" i="1"/>
  <c r="BI151" i="1" s="1"/>
  <c r="BD151" i="1"/>
  <c r="BF151" i="1"/>
  <c r="AB151" i="1"/>
  <c r="AE151" i="1"/>
  <c r="BJ151" i="1"/>
  <c r="Z151" i="1" s="1"/>
  <c r="AH151" i="1"/>
  <c r="L152" i="1"/>
  <c r="AO152" i="1"/>
  <c r="BH152" i="1" s="1"/>
  <c r="AP152" i="1"/>
  <c r="BI152" i="1" s="1"/>
  <c r="BD152" i="1"/>
  <c r="BF152" i="1"/>
  <c r="AC152" i="1"/>
  <c r="BJ152" i="1"/>
  <c r="Z152" i="1"/>
  <c r="L153" i="1"/>
  <c r="AL153" i="1" s="1"/>
  <c r="AU144" i="1" s="1"/>
  <c r="AC153" i="1"/>
  <c r="AG153" i="1"/>
  <c r="AJ153" i="1"/>
  <c r="AK153" i="1"/>
  <c r="AO153" i="1"/>
  <c r="AP153" i="1"/>
  <c r="BI153" i="1" s="1"/>
  <c r="BD153" i="1"/>
  <c r="BF153" i="1"/>
  <c r="AB153" i="1"/>
  <c r="AE153" i="1"/>
  <c r="BJ153" i="1"/>
  <c r="Z153" i="1" s="1"/>
  <c r="AH153" i="1"/>
  <c r="L154" i="1"/>
  <c r="AH154" i="1"/>
  <c r="AO154" i="1"/>
  <c r="AP154" i="1"/>
  <c r="K154" i="1" s="1"/>
  <c r="BD154" i="1"/>
  <c r="BF154" i="1"/>
  <c r="AC154" i="1"/>
  <c r="BJ154" i="1"/>
  <c r="Z154" i="1" s="1"/>
  <c r="AL156" i="1"/>
  <c r="AU155" i="1" s="1"/>
  <c r="Z156" i="1"/>
  <c r="AE156" i="1"/>
  <c r="AJ156" i="1"/>
  <c r="AS155" i="1" s="1"/>
  <c r="AK156" i="1"/>
  <c r="AT155" i="1" s="1"/>
  <c r="AO156" i="1"/>
  <c r="J155" i="1" s="1"/>
  <c r="AP156" i="1"/>
  <c r="AX156" i="1" s="1"/>
  <c r="BD156" i="1"/>
  <c r="BF156" i="1"/>
  <c r="AB156" i="1"/>
  <c r="BJ156" i="1"/>
  <c r="AH156" i="1"/>
  <c r="L159" i="1"/>
  <c r="AO159" i="1"/>
  <c r="BH159" i="1" s="1"/>
  <c r="AP159" i="1"/>
  <c r="BI159" i="1" s="1"/>
  <c r="AG159" i="1" s="1"/>
  <c r="K158" i="1"/>
  <c r="AX159" i="1"/>
  <c r="BD159" i="1"/>
  <c r="BF159" i="1"/>
  <c r="AC159" i="1"/>
  <c r="BJ159" i="1"/>
  <c r="Z159" i="1"/>
  <c r="L162" i="1"/>
  <c r="AL162" i="1" s="1"/>
  <c r="Z162" i="1"/>
  <c r="AJ162" i="1"/>
  <c r="AK162" i="1"/>
  <c r="AO162" i="1"/>
  <c r="AW162" i="1" s="1"/>
  <c r="AP162" i="1"/>
  <c r="BD162" i="1"/>
  <c r="BF162" i="1"/>
  <c r="AB162" i="1"/>
  <c r="BJ162" i="1"/>
  <c r="AH162" i="1"/>
  <c r="L164" i="1"/>
  <c r="AB164" i="1"/>
  <c r="AF164" i="1"/>
  <c r="AK164" i="1"/>
  <c r="AO164" i="1"/>
  <c r="AP164" i="1"/>
  <c r="BD164" i="1"/>
  <c r="BF164" i="1"/>
  <c r="AC164" i="1"/>
  <c r="BJ164" i="1"/>
  <c r="Z164" i="1"/>
  <c r="L166" i="1"/>
  <c r="AL166" i="1" s="1"/>
  <c r="Z166" i="1"/>
  <c r="AJ166" i="1"/>
  <c r="AK166" i="1"/>
  <c r="AO166" i="1"/>
  <c r="J166" i="1" s="1"/>
  <c r="AP166" i="1"/>
  <c r="AX166" i="1" s="1"/>
  <c r="AW166" i="1"/>
  <c r="BD166" i="1"/>
  <c r="BF166" i="1"/>
  <c r="BH166" i="1"/>
  <c r="AB166" i="1"/>
  <c r="BJ166" i="1"/>
  <c r="AH166" i="1"/>
  <c r="L168" i="1"/>
  <c r="AB168" i="1"/>
  <c r="AF168" i="1"/>
  <c r="AK168" i="1"/>
  <c r="AO168" i="1"/>
  <c r="J168" i="1" s="1"/>
  <c r="AP168" i="1"/>
  <c r="K168" i="1" s="1"/>
  <c r="BD168" i="1"/>
  <c r="BF168" i="1"/>
  <c r="AD168" i="1"/>
  <c r="AC168" i="1"/>
  <c r="BJ168" i="1"/>
  <c r="Z168" i="1" s="1"/>
  <c r="L170" i="1"/>
  <c r="AL170" i="1" s="1"/>
  <c r="Z170" i="1"/>
  <c r="AC170" i="1"/>
  <c r="AG170" i="1"/>
  <c r="AJ170" i="1"/>
  <c r="AK170" i="1"/>
  <c r="AO170" i="1"/>
  <c r="AP170" i="1"/>
  <c r="BI170" i="1" s="1"/>
  <c r="AE170" i="1" s="1"/>
  <c r="BD170" i="1"/>
  <c r="BF170" i="1"/>
  <c r="AB170" i="1"/>
  <c r="BJ170" i="1"/>
  <c r="AH170" i="1"/>
  <c r="L171" i="1"/>
  <c r="AO171" i="1"/>
  <c r="BH171" i="1" s="1"/>
  <c r="AP171" i="1"/>
  <c r="BI171" i="1" s="1"/>
  <c r="AE171" i="1" s="1"/>
  <c r="BD171" i="1"/>
  <c r="BF171" i="1"/>
  <c r="AC171" i="1"/>
  <c r="BJ171" i="1"/>
  <c r="Z171" i="1"/>
  <c r="L172" i="1"/>
  <c r="AL172" i="1" s="1"/>
  <c r="Z172" i="1"/>
  <c r="AC172" i="1"/>
  <c r="AG172" i="1"/>
  <c r="AJ172" i="1"/>
  <c r="AK172" i="1"/>
  <c r="AO172" i="1"/>
  <c r="J172" i="1" s="1"/>
  <c r="AP172" i="1"/>
  <c r="BD172" i="1"/>
  <c r="BF172" i="1"/>
  <c r="AB172" i="1"/>
  <c r="BJ172" i="1"/>
  <c r="AH172" i="1"/>
  <c r="L173" i="1"/>
  <c r="AL173" i="1" s="1"/>
  <c r="AH173" i="1"/>
  <c r="AO173" i="1"/>
  <c r="J173" i="1" s="1"/>
  <c r="AP173" i="1"/>
  <c r="BI173" i="1" s="1"/>
  <c r="AE173" i="1" s="1"/>
  <c r="BD173" i="1"/>
  <c r="BF173" i="1"/>
  <c r="AC173" i="1"/>
  <c r="BJ173" i="1"/>
  <c r="Z173" i="1"/>
  <c r="L174" i="1"/>
  <c r="AL174" i="1" s="1"/>
  <c r="Z174" i="1"/>
  <c r="AC174" i="1"/>
  <c r="AG174" i="1"/>
  <c r="AJ174" i="1"/>
  <c r="AK174" i="1"/>
  <c r="AO174" i="1"/>
  <c r="AP174" i="1"/>
  <c r="BD174" i="1"/>
  <c r="BF174" i="1"/>
  <c r="AB174" i="1"/>
  <c r="BJ174" i="1"/>
  <c r="AH174" i="1"/>
  <c r="L175" i="1"/>
  <c r="AO175" i="1"/>
  <c r="AP175" i="1"/>
  <c r="AX175" i="1" s="1"/>
  <c r="BD175" i="1"/>
  <c r="BF175" i="1"/>
  <c r="BH175" i="1"/>
  <c r="AD175" i="1" s="1"/>
  <c r="AC175" i="1"/>
  <c r="BJ175" i="1"/>
  <c r="Z175" i="1"/>
  <c r="L176" i="1"/>
  <c r="AL176" i="1" s="1"/>
  <c r="Z176" i="1"/>
  <c r="AC176" i="1"/>
  <c r="AG176" i="1"/>
  <c r="AJ176" i="1"/>
  <c r="AK176" i="1"/>
  <c r="AO176" i="1"/>
  <c r="BH176" i="1" s="1"/>
  <c r="AP176" i="1"/>
  <c r="AX176" i="1" s="1"/>
  <c r="BD176" i="1"/>
  <c r="BF176" i="1"/>
  <c r="AB176" i="1"/>
  <c r="BJ176" i="1"/>
  <c r="AH176" i="1"/>
  <c r="L177" i="1"/>
  <c r="AH177" i="1"/>
  <c r="AO177" i="1"/>
  <c r="BH177" i="1" s="1"/>
  <c r="AD177" i="1" s="1"/>
  <c r="AP177" i="1"/>
  <c r="K177" i="1" s="1"/>
  <c r="BD177" i="1"/>
  <c r="BF177" i="1"/>
  <c r="BI177" i="1"/>
  <c r="AC177" i="1"/>
  <c r="BJ177" i="1"/>
  <c r="Z177" i="1"/>
  <c r="L178" i="1"/>
  <c r="AL178" i="1" s="1"/>
  <c r="Z178" i="1"/>
  <c r="AC178" i="1"/>
  <c r="AG178" i="1"/>
  <c r="AJ178" i="1"/>
  <c r="AK178" i="1"/>
  <c r="AO178" i="1"/>
  <c r="AP178" i="1"/>
  <c r="AX178" i="1" s="1"/>
  <c r="BD178" i="1"/>
  <c r="BF178" i="1"/>
  <c r="AB178" i="1"/>
  <c r="BJ178" i="1"/>
  <c r="AH178" i="1"/>
  <c r="L180" i="1"/>
  <c r="AL180" i="1" s="1"/>
  <c r="AH180" i="1"/>
  <c r="AO180" i="1"/>
  <c r="AP180" i="1"/>
  <c r="BD180" i="1"/>
  <c r="BF180" i="1"/>
  <c r="AB180" i="1"/>
  <c r="BJ180" i="1"/>
  <c r="Z180" i="1"/>
  <c r="L181" i="1"/>
  <c r="AB181" i="1"/>
  <c r="AF181" i="1"/>
  <c r="AK181" i="1"/>
  <c r="AO181" i="1"/>
  <c r="BH181" i="1" s="1"/>
  <c r="AD181" i="1" s="1"/>
  <c r="AP181" i="1"/>
  <c r="AX181" i="1"/>
  <c r="BD181" i="1"/>
  <c r="BF181" i="1"/>
  <c r="AC181" i="1"/>
  <c r="BJ181" i="1"/>
  <c r="Z181" i="1"/>
  <c r="L182" i="1"/>
  <c r="AL182" i="1" s="1"/>
  <c r="Z182" i="1"/>
  <c r="AJ182" i="1"/>
  <c r="AK182" i="1"/>
  <c r="AO182" i="1"/>
  <c r="J182" i="1" s="1"/>
  <c r="AP182" i="1"/>
  <c r="AX182" i="1" s="1"/>
  <c r="BD182" i="1"/>
  <c r="BF182" i="1"/>
  <c r="AB182" i="1"/>
  <c r="AC182" i="1"/>
  <c r="BJ182" i="1"/>
  <c r="AH182" i="1"/>
  <c r="L183" i="1"/>
  <c r="AB183" i="1"/>
  <c r="AF183" i="1"/>
  <c r="AK183" i="1"/>
  <c r="AO183" i="1"/>
  <c r="BH183" i="1" s="1"/>
  <c r="AD183" i="1" s="1"/>
  <c r="AP183" i="1"/>
  <c r="K183" i="1" s="1"/>
  <c r="BD183" i="1"/>
  <c r="BF183" i="1"/>
  <c r="AC183" i="1"/>
  <c r="BJ183" i="1"/>
  <c r="Z183" i="1"/>
  <c r="L184" i="1"/>
  <c r="AL184" i="1" s="1"/>
  <c r="Z184" i="1"/>
  <c r="AJ184" i="1"/>
  <c r="AK184" i="1"/>
  <c r="AO184" i="1"/>
  <c r="AW184" i="1" s="1"/>
  <c r="AP184" i="1"/>
  <c r="BI184" i="1" s="1"/>
  <c r="BD184" i="1"/>
  <c r="BF184" i="1"/>
  <c r="AB184" i="1"/>
  <c r="AC184" i="1"/>
  <c r="BJ184" i="1"/>
  <c r="AH184" i="1"/>
  <c r="L185" i="1"/>
  <c r="AB185" i="1"/>
  <c r="AF185" i="1"/>
  <c r="AK185" i="1"/>
  <c r="AO185" i="1"/>
  <c r="AP185" i="1"/>
  <c r="BI185" i="1" s="1"/>
  <c r="BD185" i="1"/>
  <c r="BF185" i="1"/>
  <c r="AC185" i="1"/>
  <c r="BJ185" i="1"/>
  <c r="Z185" i="1"/>
  <c r="L186" i="1"/>
  <c r="AL186" i="1" s="1"/>
  <c r="Z186" i="1"/>
  <c r="AJ186" i="1"/>
  <c r="AK186" i="1"/>
  <c r="AO186" i="1"/>
  <c r="AP186" i="1"/>
  <c r="BI186" i="1" s="1"/>
  <c r="AE186" i="1" s="1"/>
  <c r="BD186" i="1"/>
  <c r="BF186" i="1"/>
  <c r="AB186" i="1"/>
  <c r="AC186" i="1"/>
  <c r="BJ186" i="1"/>
  <c r="AH186" i="1"/>
  <c r="L187" i="1"/>
  <c r="AB187" i="1"/>
  <c r="AF187" i="1"/>
  <c r="AK187" i="1"/>
  <c r="AO187" i="1"/>
  <c r="AP187" i="1"/>
  <c r="BD187" i="1"/>
  <c r="BF187" i="1"/>
  <c r="AC187" i="1"/>
  <c r="BJ187" i="1"/>
  <c r="Z187" i="1"/>
  <c r="L188" i="1"/>
  <c r="AL188" i="1" s="1"/>
  <c r="AJ188" i="1"/>
  <c r="AK188" i="1"/>
  <c r="AO188" i="1"/>
  <c r="J188" i="1" s="1"/>
  <c r="AP188" i="1"/>
  <c r="AX188" i="1" s="1"/>
  <c r="BD188" i="1"/>
  <c r="BF188" i="1"/>
  <c r="AB188" i="1"/>
  <c r="AC188" i="1"/>
  <c r="BJ188" i="1"/>
  <c r="Z188" i="1" s="1"/>
  <c r="AH188" i="1"/>
  <c r="L190" i="1"/>
  <c r="AL190" i="1" s="1"/>
  <c r="AO190" i="1"/>
  <c r="AP190" i="1"/>
  <c r="K190" i="1" s="1"/>
  <c r="BD190" i="1"/>
  <c r="BF190" i="1"/>
  <c r="AB190" i="1"/>
  <c r="AC190" i="1"/>
  <c r="BJ190" i="1"/>
  <c r="Z190" i="1"/>
  <c r="L192" i="1"/>
  <c r="AL192" i="1" s="1"/>
  <c r="Z192" i="1"/>
  <c r="AC192" i="1"/>
  <c r="AG192" i="1"/>
  <c r="AJ192" i="1"/>
  <c r="AK192" i="1"/>
  <c r="AO192" i="1"/>
  <c r="AP192" i="1"/>
  <c r="BD192" i="1"/>
  <c r="BF192" i="1"/>
  <c r="AB192" i="1"/>
  <c r="BJ192" i="1"/>
  <c r="AH192" i="1"/>
  <c r="L194" i="1"/>
  <c r="AO194" i="1"/>
  <c r="AW194" i="1" s="1"/>
  <c r="AV194" i="1" s="1"/>
  <c r="AP194" i="1"/>
  <c r="BI194" i="1" s="1"/>
  <c r="AE194" i="1" s="1"/>
  <c r="AX194" i="1"/>
  <c r="BD194" i="1"/>
  <c r="BF194" i="1"/>
  <c r="AB194" i="1"/>
  <c r="AC194" i="1"/>
  <c r="BJ194" i="1"/>
  <c r="Z194" i="1"/>
  <c r="L196" i="1"/>
  <c r="AL196" i="1" s="1"/>
  <c r="Z196" i="1"/>
  <c r="AC196" i="1"/>
  <c r="AG196" i="1"/>
  <c r="AJ196" i="1"/>
  <c r="AK196" i="1"/>
  <c r="AO196" i="1"/>
  <c r="AW196" i="1" s="1"/>
  <c r="AP196" i="1"/>
  <c r="BI196" i="1" s="1"/>
  <c r="AE196" i="1" s="1"/>
  <c r="BD196" i="1"/>
  <c r="BF196" i="1"/>
  <c r="AB196" i="1"/>
  <c r="BJ196" i="1"/>
  <c r="AH196" i="1"/>
  <c r="L197" i="1"/>
  <c r="AO197" i="1"/>
  <c r="AW197" i="1" s="1"/>
  <c r="AP197" i="1"/>
  <c r="BI197" i="1" s="1"/>
  <c r="AE197" i="1" s="1"/>
  <c r="AX197" i="1"/>
  <c r="BD197" i="1"/>
  <c r="BF197" i="1"/>
  <c r="AB197" i="1"/>
  <c r="AC197" i="1"/>
  <c r="BJ197" i="1"/>
  <c r="Z197" i="1"/>
  <c r="L198" i="1"/>
  <c r="AL198" i="1" s="1"/>
  <c r="Z198" i="1"/>
  <c r="AC198" i="1"/>
  <c r="AG198" i="1"/>
  <c r="AJ198" i="1"/>
  <c r="AK198" i="1"/>
  <c r="AO198" i="1"/>
  <c r="AP198" i="1"/>
  <c r="BI198" i="1" s="1"/>
  <c r="AE198" i="1" s="1"/>
  <c r="BD198" i="1"/>
  <c r="BF198" i="1"/>
  <c r="AB198" i="1"/>
  <c r="BJ198" i="1"/>
  <c r="AH198" i="1"/>
  <c r="L199" i="1"/>
  <c r="AO199" i="1"/>
  <c r="AP199" i="1"/>
  <c r="AX199" i="1" s="1"/>
  <c r="BD199" i="1"/>
  <c r="BF199" i="1"/>
  <c r="AB199" i="1"/>
  <c r="AC199" i="1"/>
  <c r="BJ199" i="1"/>
  <c r="Z199" i="1"/>
  <c r="L200" i="1"/>
  <c r="AL200" i="1" s="1"/>
  <c r="Z200" i="1"/>
  <c r="AC200" i="1"/>
  <c r="AG200" i="1"/>
  <c r="AJ200" i="1"/>
  <c r="AK200" i="1"/>
  <c r="AO200" i="1"/>
  <c r="J200" i="1" s="1"/>
  <c r="AP200" i="1"/>
  <c r="BI200" i="1" s="1"/>
  <c r="AE200" i="1" s="1"/>
  <c r="AW200" i="1"/>
  <c r="BD200" i="1"/>
  <c r="BF200" i="1"/>
  <c r="BH200" i="1"/>
  <c r="AB200" i="1"/>
  <c r="BJ200" i="1"/>
  <c r="AH200" i="1"/>
  <c r="L201" i="1"/>
  <c r="AO201" i="1"/>
  <c r="AW201" i="1" s="1"/>
  <c r="AP201" i="1"/>
  <c r="AX201" i="1"/>
  <c r="BD201" i="1"/>
  <c r="BF201" i="1"/>
  <c r="AB201" i="1"/>
  <c r="AC201" i="1"/>
  <c r="BJ201" i="1"/>
  <c r="Z201" i="1"/>
  <c r="L202" i="1"/>
  <c r="AL202" i="1" s="1"/>
  <c r="Z202" i="1"/>
  <c r="AC202" i="1"/>
  <c r="AG202" i="1"/>
  <c r="AJ202" i="1"/>
  <c r="AK202" i="1"/>
  <c r="AO202" i="1"/>
  <c r="AW202" i="1" s="1"/>
  <c r="AP202" i="1"/>
  <c r="BD202" i="1"/>
  <c r="BF202" i="1"/>
  <c r="AB202" i="1"/>
  <c r="BJ202" i="1"/>
  <c r="AH202" i="1"/>
  <c r="L203" i="1"/>
  <c r="AL203" i="1" s="1"/>
  <c r="AO203" i="1"/>
  <c r="AW203" i="1" s="1"/>
  <c r="AP203" i="1"/>
  <c r="BI203" i="1" s="1"/>
  <c r="BD203" i="1"/>
  <c r="BF203" i="1"/>
  <c r="AB203" i="1"/>
  <c r="AC203" i="1"/>
  <c r="BJ203" i="1"/>
  <c r="Z203" i="1"/>
  <c r="L204" i="1"/>
  <c r="AL204" i="1" s="1"/>
  <c r="Z204" i="1"/>
  <c r="AC204" i="1"/>
  <c r="AG204" i="1"/>
  <c r="AJ204" i="1"/>
  <c r="AK204" i="1"/>
  <c r="AO204" i="1"/>
  <c r="AP204" i="1"/>
  <c r="AX204" i="1"/>
  <c r="BD204" i="1"/>
  <c r="BF204" i="1"/>
  <c r="AB204" i="1"/>
  <c r="BJ204" i="1"/>
  <c r="AH204" i="1"/>
  <c r="L205" i="1"/>
  <c r="AO205" i="1"/>
  <c r="BH205" i="1" s="1"/>
  <c r="AD205" i="1" s="1"/>
  <c r="AP205" i="1"/>
  <c r="AX205" i="1" s="1"/>
  <c r="BD205" i="1"/>
  <c r="BF205" i="1"/>
  <c r="AB205" i="1"/>
  <c r="AC205" i="1"/>
  <c r="BJ205" i="1"/>
  <c r="Z205" i="1"/>
  <c r="L206" i="1"/>
  <c r="AL206" i="1" s="1"/>
  <c r="Z206" i="1"/>
  <c r="AC206" i="1"/>
  <c r="AG206" i="1"/>
  <c r="AJ206" i="1"/>
  <c r="AK206" i="1"/>
  <c r="AO206" i="1"/>
  <c r="AW206" i="1" s="1"/>
  <c r="AP206" i="1"/>
  <c r="BI206" i="1" s="1"/>
  <c r="AE206" i="1" s="1"/>
  <c r="BD206" i="1"/>
  <c r="BF206" i="1"/>
  <c r="AB206" i="1"/>
  <c r="BJ206" i="1"/>
  <c r="AH206" i="1"/>
  <c r="L207" i="1"/>
  <c r="AO207" i="1"/>
  <c r="BH207" i="1" s="1"/>
  <c r="AP207" i="1"/>
  <c r="BI207" i="1" s="1"/>
  <c r="BD207" i="1"/>
  <c r="BF207" i="1"/>
  <c r="AB207" i="1"/>
  <c r="AC207" i="1"/>
  <c r="BJ207" i="1"/>
  <c r="Z207" i="1"/>
  <c r="L208" i="1"/>
  <c r="AL208" i="1" s="1"/>
  <c r="Z208" i="1"/>
  <c r="AC208" i="1"/>
  <c r="AG208" i="1"/>
  <c r="AJ208" i="1"/>
  <c r="AK208" i="1"/>
  <c r="AO208" i="1"/>
  <c r="BH208" i="1" s="1"/>
  <c r="AP208" i="1"/>
  <c r="AX208" i="1"/>
  <c r="BD208" i="1"/>
  <c r="BF208" i="1"/>
  <c r="AB208" i="1"/>
  <c r="BI208" i="1"/>
  <c r="AE208" i="1" s="1"/>
  <c r="BJ208" i="1"/>
  <c r="AH208" i="1"/>
  <c r="L209" i="1"/>
  <c r="AO209" i="1"/>
  <c r="AW209" i="1" s="1"/>
  <c r="AP209" i="1"/>
  <c r="K209" i="1" s="1"/>
  <c r="AX209" i="1"/>
  <c r="BD209" i="1"/>
  <c r="BF209" i="1"/>
  <c r="AB209" i="1"/>
  <c r="AC209" i="1"/>
  <c r="BJ209" i="1"/>
  <c r="Z209" i="1"/>
  <c r="L210" i="1"/>
  <c r="AL210" i="1" s="1"/>
  <c r="Z210" i="1"/>
  <c r="AC210" i="1"/>
  <c r="AG210" i="1"/>
  <c r="AJ210" i="1"/>
  <c r="AK210" i="1"/>
  <c r="AO210" i="1"/>
  <c r="J210" i="1" s="1"/>
  <c r="AP210" i="1"/>
  <c r="AX210" i="1" s="1"/>
  <c r="BD210" i="1"/>
  <c r="BF210" i="1"/>
  <c r="BH210" i="1"/>
  <c r="AD210" i="1" s="1"/>
  <c r="AB210" i="1"/>
  <c r="BJ210" i="1"/>
  <c r="AH210" i="1"/>
  <c r="L211" i="1"/>
  <c r="AO211" i="1"/>
  <c r="AP211" i="1"/>
  <c r="BD211" i="1"/>
  <c r="BF211" i="1"/>
  <c r="AB211" i="1"/>
  <c r="AC211" i="1"/>
  <c r="BJ211" i="1"/>
  <c r="Z211" i="1"/>
  <c r="L212" i="1"/>
  <c r="Z212" i="1"/>
  <c r="AC212" i="1"/>
  <c r="AG212" i="1"/>
  <c r="AJ212" i="1"/>
  <c r="AK212" i="1"/>
  <c r="AL212" i="1"/>
  <c r="AO212" i="1"/>
  <c r="AP212" i="1"/>
  <c r="BD212" i="1"/>
  <c r="BF212" i="1"/>
  <c r="AB212" i="1"/>
  <c r="BJ212" i="1"/>
  <c r="AH212" i="1"/>
  <c r="L213" i="1"/>
  <c r="AL213" i="1" s="1"/>
  <c r="AO213" i="1"/>
  <c r="BH213" i="1" s="1"/>
  <c r="AP213" i="1"/>
  <c r="BI213" i="1" s="1"/>
  <c r="BD213" i="1"/>
  <c r="BF213" i="1"/>
  <c r="AB213" i="1"/>
  <c r="AC213" i="1"/>
  <c r="BJ213" i="1"/>
  <c r="Z213" i="1"/>
  <c r="L214" i="1"/>
  <c r="AL214" i="1" s="1"/>
  <c r="Z214" i="1"/>
  <c r="AC214" i="1"/>
  <c r="AG214" i="1"/>
  <c r="AJ214" i="1"/>
  <c r="AK214" i="1"/>
  <c r="AO214" i="1"/>
  <c r="J214" i="1" s="1"/>
  <c r="AP214" i="1"/>
  <c r="AX214" i="1" s="1"/>
  <c r="BD214" i="1"/>
  <c r="BF214" i="1"/>
  <c r="AB214" i="1"/>
  <c r="BI214" i="1"/>
  <c r="AE214" i="1" s="1"/>
  <c r="BJ214" i="1"/>
  <c r="AH214" i="1"/>
  <c r="L215" i="1"/>
  <c r="AL215" i="1" s="1"/>
  <c r="AO215" i="1"/>
  <c r="AW215" i="1"/>
  <c r="AP215" i="1"/>
  <c r="BD215" i="1"/>
  <c r="BF215" i="1"/>
  <c r="BH215" i="1"/>
  <c r="AD215" i="1" s="1"/>
  <c r="AB215" i="1"/>
  <c r="AC215" i="1"/>
  <c r="BJ215" i="1"/>
  <c r="Z215" i="1"/>
  <c r="L216" i="1"/>
  <c r="AL216" i="1" s="1"/>
  <c r="Z216" i="1"/>
  <c r="AC216" i="1"/>
  <c r="AG216" i="1"/>
  <c r="AJ216" i="1"/>
  <c r="AK216" i="1"/>
  <c r="AO216" i="1"/>
  <c r="BH216" i="1" s="1"/>
  <c r="AD216" i="1" s="1"/>
  <c r="AP216" i="1"/>
  <c r="BD216" i="1"/>
  <c r="BF216" i="1"/>
  <c r="AB216" i="1"/>
  <c r="BJ216" i="1"/>
  <c r="AH216" i="1"/>
  <c r="L217" i="1"/>
  <c r="AL217" i="1" s="1"/>
  <c r="AO217" i="1"/>
  <c r="AP217" i="1"/>
  <c r="AX217" i="1" s="1"/>
  <c r="BD217" i="1"/>
  <c r="BF217" i="1"/>
  <c r="AB217" i="1"/>
  <c r="AC217" i="1"/>
  <c r="BJ217" i="1"/>
  <c r="Z217" i="1"/>
  <c r="L218" i="1"/>
  <c r="AL218" i="1" s="1"/>
  <c r="Z218" i="1"/>
  <c r="AC218" i="1"/>
  <c r="AG218" i="1"/>
  <c r="AJ218" i="1"/>
  <c r="AK218" i="1"/>
  <c r="AO218" i="1"/>
  <c r="AP218" i="1"/>
  <c r="AX218" i="1"/>
  <c r="BD218" i="1"/>
  <c r="BF218" i="1"/>
  <c r="AB218" i="1"/>
  <c r="BI218" i="1"/>
  <c r="AE218" i="1" s="1"/>
  <c r="BJ218" i="1"/>
  <c r="AH218" i="1"/>
  <c r="L219" i="1"/>
  <c r="AL219" i="1" s="1"/>
  <c r="AO219" i="1"/>
  <c r="BH219" i="1" s="1"/>
  <c r="AP219" i="1"/>
  <c r="K219" i="1" s="1"/>
  <c r="BD219" i="1"/>
  <c r="BF219" i="1"/>
  <c r="AB219" i="1"/>
  <c r="AC219" i="1"/>
  <c r="BJ219" i="1"/>
  <c r="Z219" i="1"/>
  <c r="L220" i="1"/>
  <c r="AL220" i="1" s="1"/>
  <c r="Z220" i="1"/>
  <c r="AC220" i="1"/>
  <c r="AG220" i="1"/>
  <c r="AJ220" i="1"/>
  <c r="AK220" i="1"/>
  <c r="AO220" i="1"/>
  <c r="BH220" i="1" s="1"/>
  <c r="AD220" i="1" s="1"/>
  <c r="AP220" i="1"/>
  <c r="K220" i="1" s="1"/>
  <c r="BD220" i="1"/>
  <c r="BF220" i="1"/>
  <c r="AB220" i="1"/>
  <c r="BJ220" i="1"/>
  <c r="AH220" i="1"/>
  <c r="L221" i="1"/>
  <c r="AL221" i="1" s="1"/>
  <c r="AO221" i="1"/>
  <c r="AP221" i="1"/>
  <c r="AX221" i="1" s="1"/>
  <c r="BD221" i="1"/>
  <c r="BF221" i="1"/>
  <c r="AB221" i="1"/>
  <c r="AC221" i="1"/>
  <c r="BJ221" i="1"/>
  <c r="Z221" i="1"/>
  <c r="L222" i="1"/>
  <c r="AL222" i="1" s="1"/>
  <c r="Z222" i="1"/>
  <c r="AC222" i="1"/>
  <c r="AG222" i="1"/>
  <c r="AJ222" i="1"/>
  <c r="AK222" i="1"/>
  <c r="AO222" i="1"/>
  <c r="AP222" i="1"/>
  <c r="AX222" i="1" s="1"/>
  <c r="BD222" i="1"/>
  <c r="BF222" i="1"/>
  <c r="AB222" i="1"/>
  <c r="BJ222" i="1"/>
  <c r="AH222" i="1"/>
  <c r="L223" i="1"/>
  <c r="AO223" i="1"/>
  <c r="BH223" i="1" s="1"/>
  <c r="AD223" i="1" s="1"/>
  <c r="AP223" i="1"/>
  <c r="AX223" i="1" s="1"/>
  <c r="BD223" i="1"/>
  <c r="BF223" i="1"/>
  <c r="AB223" i="1"/>
  <c r="AC223" i="1"/>
  <c r="BJ223" i="1"/>
  <c r="Z223" i="1"/>
  <c r="L224" i="1"/>
  <c r="AL224" i="1" s="1"/>
  <c r="Z224" i="1"/>
  <c r="AC224" i="1"/>
  <c r="AG224" i="1"/>
  <c r="AJ224" i="1"/>
  <c r="AK224" i="1"/>
  <c r="AO224" i="1"/>
  <c r="AW224" i="1" s="1"/>
  <c r="AP224" i="1"/>
  <c r="K224" i="1" s="1"/>
  <c r="BD224" i="1"/>
  <c r="BF224" i="1"/>
  <c r="AB224" i="1"/>
  <c r="BJ224" i="1"/>
  <c r="AH224" i="1"/>
  <c r="L225" i="1"/>
  <c r="AO225" i="1"/>
  <c r="AP225" i="1"/>
  <c r="BD225" i="1"/>
  <c r="BF225" i="1"/>
  <c r="AB225" i="1"/>
  <c r="AC225" i="1"/>
  <c r="BJ225" i="1"/>
  <c r="Z225" i="1"/>
  <c r="L226" i="1"/>
  <c r="AL226" i="1" s="1"/>
  <c r="Z226" i="1"/>
  <c r="AC226" i="1"/>
  <c r="AG226" i="1"/>
  <c r="AJ226" i="1"/>
  <c r="AK226" i="1"/>
  <c r="AO226" i="1"/>
  <c r="J226" i="1" s="1"/>
  <c r="AP226" i="1"/>
  <c r="BD226" i="1"/>
  <c r="BF226" i="1"/>
  <c r="BH226" i="1"/>
  <c r="AB226" i="1"/>
  <c r="BJ226" i="1"/>
  <c r="AH226" i="1"/>
  <c r="L227" i="1"/>
  <c r="AL227" i="1" s="1"/>
  <c r="AO227" i="1"/>
  <c r="BH227" i="1" s="1"/>
  <c r="AD227" i="1" s="1"/>
  <c r="AP227" i="1"/>
  <c r="AX227" i="1" s="1"/>
  <c r="BD227" i="1"/>
  <c r="BF227" i="1"/>
  <c r="AB227" i="1"/>
  <c r="AC227" i="1"/>
  <c r="BJ227" i="1"/>
  <c r="Z227" i="1"/>
  <c r="L228" i="1"/>
  <c r="AL228" i="1" s="1"/>
  <c r="Z228" i="1"/>
  <c r="AC228" i="1"/>
  <c r="AG228" i="1"/>
  <c r="AJ228" i="1"/>
  <c r="AK228" i="1"/>
  <c r="AO228" i="1"/>
  <c r="J228" i="1" s="1"/>
  <c r="AP228" i="1"/>
  <c r="BD228" i="1"/>
  <c r="BF228" i="1"/>
  <c r="AB228" i="1"/>
  <c r="BJ228" i="1"/>
  <c r="AH228" i="1"/>
  <c r="L229" i="1"/>
  <c r="AO229" i="1"/>
  <c r="AP229" i="1"/>
  <c r="AX229" i="1" s="1"/>
  <c r="BD229" i="1"/>
  <c r="BF229" i="1"/>
  <c r="AB229" i="1"/>
  <c r="AC229" i="1"/>
  <c r="BJ229" i="1"/>
  <c r="Z229" i="1" s="1"/>
  <c r="L231" i="1"/>
  <c r="AL231" i="1" s="1"/>
  <c r="Z231" i="1"/>
  <c r="AJ231" i="1"/>
  <c r="AK231" i="1"/>
  <c r="AO231" i="1"/>
  <c r="J231" i="1" s="1"/>
  <c r="AP231" i="1"/>
  <c r="K231" i="1" s="1"/>
  <c r="BD231" i="1"/>
  <c r="BF231" i="1"/>
  <c r="AB231" i="1"/>
  <c r="AC231" i="1"/>
  <c r="BJ231" i="1"/>
  <c r="AH231" i="1"/>
  <c r="L232" i="1"/>
  <c r="AB232" i="1"/>
  <c r="AF232" i="1"/>
  <c r="AK232" i="1"/>
  <c r="AO232" i="1"/>
  <c r="J232" i="1" s="1"/>
  <c r="AP232" i="1"/>
  <c r="AX232" i="1" s="1"/>
  <c r="BD232" i="1"/>
  <c r="BF232" i="1"/>
  <c r="AC232" i="1"/>
  <c r="BJ232" i="1"/>
  <c r="Z232" i="1"/>
  <c r="L233" i="1"/>
  <c r="AL233" i="1" s="1"/>
  <c r="Z233" i="1"/>
  <c r="AJ233" i="1"/>
  <c r="AK233" i="1"/>
  <c r="AO233" i="1"/>
  <c r="J233" i="1" s="1"/>
  <c r="AP233" i="1"/>
  <c r="AX233" i="1" s="1"/>
  <c r="AW233" i="1"/>
  <c r="BD233" i="1"/>
  <c r="BF233" i="1"/>
  <c r="BH233" i="1"/>
  <c r="AB233" i="1"/>
  <c r="AC233" i="1"/>
  <c r="BJ233" i="1"/>
  <c r="AH233" i="1"/>
  <c r="L235" i="1"/>
  <c r="AB235" i="1"/>
  <c r="AF235" i="1"/>
  <c r="AK235" i="1"/>
  <c r="AO235" i="1"/>
  <c r="J235" i="1" s="1"/>
  <c r="AP235" i="1"/>
  <c r="K235" i="1" s="1"/>
  <c r="BD235" i="1"/>
  <c r="BF235" i="1"/>
  <c r="AD235" i="1"/>
  <c r="AC235" i="1"/>
  <c r="BJ235" i="1"/>
  <c r="Z235" i="1" s="1"/>
  <c r="L237" i="1"/>
  <c r="AL237" i="1" s="1"/>
  <c r="Z237" i="1"/>
  <c r="AC237" i="1"/>
  <c r="AG237" i="1"/>
  <c r="AJ237" i="1"/>
  <c r="AK237" i="1"/>
  <c r="AO237" i="1"/>
  <c r="BH237" i="1" s="1"/>
  <c r="AD237" i="1" s="1"/>
  <c r="AP237" i="1"/>
  <c r="AX237" i="1" s="1"/>
  <c r="BD237" i="1"/>
  <c r="BF237" i="1"/>
  <c r="AB237" i="1"/>
  <c r="BJ237" i="1"/>
  <c r="AH237" i="1"/>
  <c r="L238" i="1"/>
  <c r="AO238" i="1"/>
  <c r="BH238" i="1" s="1"/>
  <c r="AD238" i="1" s="1"/>
  <c r="AP238" i="1"/>
  <c r="AX238" i="1" s="1"/>
  <c r="BD238" i="1"/>
  <c r="BF238" i="1"/>
  <c r="AB238" i="1"/>
  <c r="AC238" i="1"/>
  <c r="BJ238" i="1"/>
  <c r="Z238" i="1"/>
  <c r="L239" i="1"/>
  <c r="Z239" i="1"/>
  <c r="AC239" i="1"/>
  <c r="AG239" i="1"/>
  <c r="AJ239" i="1"/>
  <c r="AK239" i="1"/>
  <c r="AL239" i="1"/>
  <c r="AO239" i="1"/>
  <c r="BH239" i="1" s="1"/>
  <c r="AP239" i="1"/>
  <c r="BD239" i="1"/>
  <c r="BF239" i="1"/>
  <c r="AB239" i="1"/>
  <c r="BJ239" i="1"/>
  <c r="AH239" i="1"/>
  <c r="L240" i="1"/>
  <c r="AL240" i="1" s="1"/>
  <c r="AO240" i="1"/>
  <c r="AW240" i="1" s="1"/>
  <c r="AP240" i="1"/>
  <c r="AX240" i="1" s="1"/>
  <c r="BD240" i="1"/>
  <c r="BF240" i="1"/>
  <c r="AB240" i="1"/>
  <c r="AC240" i="1"/>
  <c r="BJ240" i="1"/>
  <c r="Z240" i="1"/>
  <c r="L242" i="1"/>
  <c r="AL242" i="1" s="1"/>
  <c r="Z242" i="1"/>
  <c r="AJ242" i="1"/>
  <c r="AK242" i="1"/>
  <c r="AO242" i="1"/>
  <c r="AW242" i="1" s="1"/>
  <c r="AP242" i="1"/>
  <c r="BI242" i="1" s="1"/>
  <c r="AE242" i="1" s="1"/>
  <c r="BD242" i="1"/>
  <c r="BF242" i="1"/>
  <c r="AB242" i="1"/>
  <c r="AC242" i="1"/>
  <c r="BJ242" i="1"/>
  <c r="AH242" i="1"/>
  <c r="L243" i="1"/>
  <c r="AB243" i="1"/>
  <c r="AF243" i="1"/>
  <c r="AK243" i="1"/>
  <c r="AO243" i="1"/>
  <c r="BH243" i="1" s="1"/>
  <c r="AD243" i="1" s="1"/>
  <c r="AP243" i="1"/>
  <c r="K243" i="1" s="1"/>
  <c r="BD243" i="1"/>
  <c r="BF243" i="1"/>
  <c r="AC243" i="1"/>
  <c r="BJ243" i="1"/>
  <c r="Z243" i="1"/>
  <c r="L244" i="1"/>
  <c r="AL244" i="1" s="1"/>
  <c r="Z244" i="1"/>
  <c r="AJ244" i="1"/>
  <c r="AK244" i="1"/>
  <c r="AO244" i="1"/>
  <c r="J244" i="1" s="1"/>
  <c r="AP244" i="1"/>
  <c r="BI244" i="1" s="1"/>
  <c r="BD244" i="1"/>
  <c r="BF244" i="1"/>
  <c r="AB244" i="1"/>
  <c r="AC244" i="1"/>
  <c r="BJ244" i="1"/>
  <c r="AH244" i="1"/>
  <c r="L245" i="1"/>
  <c r="AL245" i="1" s="1"/>
  <c r="AB245" i="1"/>
  <c r="AF245" i="1"/>
  <c r="AK245" i="1"/>
  <c r="AO245" i="1"/>
  <c r="AP245" i="1"/>
  <c r="AX245" i="1" s="1"/>
  <c r="K245" i="1"/>
  <c r="BD245" i="1"/>
  <c r="BF245" i="1"/>
  <c r="AC245" i="1"/>
  <c r="BJ245" i="1"/>
  <c r="Z245" i="1"/>
  <c r="L246" i="1"/>
  <c r="AL246" i="1" s="1"/>
  <c r="Z246" i="1"/>
  <c r="AJ246" i="1"/>
  <c r="AK246" i="1"/>
  <c r="AO246" i="1"/>
  <c r="AP246" i="1"/>
  <c r="BI246" i="1" s="1"/>
  <c r="AE246" i="1" s="1"/>
  <c r="BD246" i="1"/>
  <c r="BF246" i="1"/>
  <c r="AB246" i="1"/>
  <c r="AC246" i="1"/>
  <c r="BJ246" i="1"/>
  <c r="AH246" i="1"/>
  <c r="L247" i="1"/>
  <c r="AB247" i="1"/>
  <c r="AF247" i="1"/>
  <c r="AK247" i="1"/>
  <c r="AO247" i="1"/>
  <c r="AP247" i="1"/>
  <c r="BD247" i="1"/>
  <c r="BF247" i="1"/>
  <c r="AC247" i="1"/>
  <c r="BJ247" i="1"/>
  <c r="Z247" i="1"/>
  <c r="L248" i="1"/>
  <c r="AL248" i="1" s="1"/>
  <c r="AJ248" i="1"/>
  <c r="AK248" i="1"/>
  <c r="AO248" i="1"/>
  <c r="AP248" i="1"/>
  <c r="BD248" i="1"/>
  <c r="BF248" i="1"/>
  <c r="AB248" i="1"/>
  <c r="BI248" i="1"/>
  <c r="AC248" i="1"/>
  <c r="BJ248" i="1"/>
  <c r="Z248" i="1" s="1"/>
  <c r="AH248" i="1"/>
  <c r="L250" i="1"/>
  <c r="AO250" i="1"/>
  <c r="BH250" i="1" s="1"/>
  <c r="AD250" i="1" s="1"/>
  <c r="AW250" i="1"/>
  <c r="AP250" i="1"/>
  <c r="AX250" i="1" s="1"/>
  <c r="BD250" i="1"/>
  <c r="BF250" i="1"/>
  <c r="AB250" i="1"/>
  <c r="AC250" i="1"/>
  <c r="BJ250" i="1"/>
  <c r="Z250" i="1"/>
  <c r="L251" i="1"/>
  <c r="AL251" i="1" s="1"/>
  <c r="Z251" i="1"/>
  <c r="AC251" i="1"/>
  <c r="AG251" i="1"/>
  <c r="AJ251" i="1"/>
  <c r="AK251" i="1"/>
  <c r="AO251" i="1"/>
  <c r="AW251" i="1" s="1"/>
  <c r="AP251" i="1"/>
  <c r="BD251" i="1"/>
  <c r="BF251" i="1"/>
  <c r="AB251" i="1"/>
  <c r="BJ251" i="1"/>
  <c r="AH251" i="1"/>
  <c r="L252" i="1"/>
  <c r="AL252" i="1" s="1"/>
  <c r="AO252" i="1"/>
  <c r="AW252" i="1" s="1"/>
  <c r="AP252" i="1"/>
  <c r="K252" i="1" s="1"/>
  <c r="BD252" i="1"/>
  <c r="BF252" i="1"/>
  <c r="BH252" i="1"/>
  <c r="AD252" i="1" s="1"/>
  <c r="AB252" i="1"/>
  <c r="AC252" i="1"/>
  <c r="BJ252" i="1"/>
  <c r="Z252" i="1"/>
  <c r="L253" i="1"/>
  <c r="Z253" i="1"/>
  <c r="AC253" i="1"/>
  <c r="AG253" i="1"/>
  <c r="AJ253" i="1"/>
  <c r="AK253" i="1"/>
  <c r="AO253" i="1"/>
  <c r="AW253" i="1" s="1"/>
  <c r="AP253" i="1"/>
  <c r="AX253" i="1" s="1"/>
  <c r="BD253" i="1"/>
  <c r="BF253" i="1"/>
  <c r="AB253" i="1"/>
  <c r="BI253" i="1"/>
  <c r="AE253" i="1" s="1"/>
  <c r="BJ253" i="1"/>
  <c r="AH253" i="1"/>
  <c r="L254" i="1"/>
  <c r="AO254" i="1"/>
  <c r="AW254" i="1" s="1"/>
  <c r="AP254" i="1"/>
  <c r="K254" i="1" s="1"/>
  <c r="BD254" i="1"/>
  <c r="BF254" i="1"/>
  <c r="AB254" i="1"/>
  <c r="AC254" i="1"/>
  <c r="BJ254" i="1"/>
  <c r="Z254" i="1"/>
  <c r="L255" i="1"/>
  <c r="AL255" i="1" s="1"/>
  <c r="Z255" i="1"/>
  <c r="AC255" i="1"/>
  <c r="AG255" i="1"/>
  <c r="AJ255" i="1"/>
  <c r="AK255" i="1"/>
  <c r="AO255" i="1"/>
  <c r="J255" i="1" s="1"/>
  <c r="AP255" i="1"/>
  <c r="BI255" i="1" s="1"/>
  <c r="AE255" i="1" s="1"/>
  <c r="BD255" i="1"/>
  <c r="BF255" i="1"/>
  <c r="AB255" i="1"/>
  <c r="BJ255" i="1"/>
  <c r="AH255" i="1"/>
  <c r="L256" i="1"/>
  <c r="AO256" i="1"/>
  <c r="AW256" i="1" s="1"/>
  <c r="AP256" i="1"/>
  <c r="BI256" i="1" s="1"/>
  <c r="AE256" i="1" s="1"/>
  <c r="K256" i="1"/>
  <c r="BD256" i="1"/>
  <c r="BF256" i="1"/>
  <c r="AB256" i="1"/>
  <c r="AC256" i="1"/>
  <c r="BJ256" i="1"/>
  <c r="Z256" i="1"/>
  <c r="L257" i="1"/>
  <c r="AC257" i="1"/>
  <c r="AG257" i="1"/>
  <c r="AJ257" i="1"/>
  <c r="AK257" i="1"/>
  <c r="AL257" i="1"/>
  <c r="AO257" i="1"/>
  <c r="J257" i="1" s="1"/>
  <c r="AP257" i="1"/>
  <c r="AW257" i="1"/>
  <c r="BD257" i="1"/>
  <c r="BF257" i="1"/>
  <c r="AB257" i="1"/>
  <c r="AE257" i="1"/>
  <c r="BJ257" i="1"/>
  <c r="Z257" i="1" s="1"/>
  <c r="AH257" i="1"/>
  <c r="L259" i="1"/>
  <c r="AB259" i="1"/>
  <c r="AF259" i="1"/>
  <c r="AK259" i="1"/>
  <c r="AO259" i="1"/>
  <c r="AP259" i="1"/>
  <c r="K259" i="1" s="1"/>
  <c r="BD259" i="1"/>
  <c r="BF259" i="1"/>
  <c r="AC259" i="1"/>
  <c r="BJ259" i="1"/>
  <c r="Z259" i="1"/>
  <c r="L260" i="1"/>
  <c r="Z260" i="1"/>
  <c r="AJ260" i="1"/>
  <c r="AK260" i="1"/>
  <c r="AO260" i="1"/>
  <c r="J260" i="1" s="1"/>
  <c r="AP260" i="1"/>
  <c r="BD260" i="1"/>
  <c r="BF260" i="1"/>
  <c r="AB260" i="1"/>
  <c r="AC260" i="1"/>
  <c r="BJ260" i="1"/>
  <c r="AH260" i="1"/>
  <c r="L261" i="1"/>
  <c r="AL261" i="1" s="1"/>
  <c r="AB261" i="1"/>
  <c r="AF261" i="1"/>
  <c r="AK261" i="1"/>
  <c r="AO261" i="1"/>
  <c r="J261" i="1" s="1"/>
  <c r="AP261" i="1"/>
  <c r="BI261" i="1" s="1"/>
  <c r="AE261" i="1" s="1"/>
  <c r="BD261" i="1"/>
  <c r="BF261" i="1"/>
  <c r="AC261" i="1"/>
  <c r="BJ261" i="1"/>
  <c r="Z261" i="1"/>
  <c r="L262" i="1"/>
  <c r="AL262" i="1" s="1"/>
  <c r="Z262" i="1"/>
  <c r="AJ262" i="1"/>
  <c r="AK262" i="1"/>
  <c r="AO262" i="1"/>
  <c r="AP262" i="1"/>
  <c r="BI262" i="1" s="1"/>
  <c r="AE262" i="1" s="1"/>
  <c r="BD262" i="1"/>
  <c r="BF262" i="1"/>
  <c r="AB262" i="1"/>
  <c r="AC262" i="1"/>
  <c r="BJ262" i="1"/>
  <c r="AH262" i="1"/>
  <c r="L263" i="1"/>
  <c r="AB263" i="1"/>
  <c r="AF263" i="1"/>
  <c r="AK263" i="1"/>
  <c r="AO263" i="1"/>
  <c r="AP263" i="1"/>
  <c r="BD263" i="1"/>
  <c r="BF263" i="1"/>
  <c r="AC263" i="1"/>
  <c r="BJ263" i="1"/>
  <c r="Z263" i="1"/>
  <c r="L264" i="1"/>
  <c r="AL264" i="1" s="1"/>
  <c r="Z264" i="1"/>
  <c r="AJ264" i="1"/>
  <c r="AK264" i="1"/>
  <c r="AO264" i="1"/>
  <c r="J264" i="1" s="1"/>
  <c r="AP264" i="1"/>
  <c r="BD264" i="1"/>
  <c r="BF264" i="1"/>
  <c r="AB264" i="1"/>
  <c r="AC264" i="1"/>
  <c r="BJ264" i="1"/>
  <c r="AH264" i="1"/>
  <c r="L265" i="1"/>
  <c r="AL265" i="1" s="1"/>
  <c r="AB265" i="1"/>
  <c r="AF265" i="1"/>
  <c r="AK265" i="1"/>
  <c r="AO265" i="1"/>
  <c r="AW265" i="1" s="1"/>
  <c r="AP265" i="1"/>
  <c r="BI265" i="1" s="1"/>
  <c r="AE265" i="1" s="1"/>
  <c r="BD265" i="1"/>
  <c r="BF265" i="1"/>
  <c r="AC265" i="1"/>
  <c r="BJ265" i="1"/>
  <c r="Z265" i="1"/>
  <c r="L266" i="1"/>
  <c r="AL266" i="1" s="1"/>
  <c r="Z266" i="1"/>
  <c r="AJ266" i="1"/>
  <c r="AK266" i="1"/>
  <c r="AO266" i="1"/>
  <c r="J266" i="1" s="1"/>
  <c r="AP266" i="1"/>
  <c r="BI266" i="1" s="1"/>
  <c r="AE266" i="1" s="1"/>
  <c r="BD266" i="1"/>
  <c r="BF266" i="1"/>
  <c r="AB266" i="1"/>
  <c r="AC266" i="1"/>
  <c r="BJ266" i="1"/>
  <c r="AH266" i="1"/>
  <c r="L267" i="1"/>
  <c r="AB267" i="1"/>
  <c r="AF267" i="1"/>
  <c r="AK267" i="1"/>
  <c r="AO267" i="1"/>
  <c r="BH267" i="1" s="1"/>
  <c r="AD267" i="1" s="1"/>
  <c r="AW267" i="1"/>
  <c r="AP267" i="1"/>
  <c r="K267" i="1" s="1"/>
  <c r="BD267" i="1"/>
  <c r="BF267" i="1"/>
  <c r="AC267" i="1"/>
  <c r="BJ267" i="1"/>
  <c r="Z267" i="1"/>
  <c r="L268" i="1"/>
  <c r="AL268" i="1" s="1"/>
  <c r="Z268" i="1"/>
  <c r="AJ268" i="1"/>
  <c r="AK268" i="1"/>
  <c r="AO268" i="1"/>
  <c r="AW268" i="1" s="1"/>
  <c r="AP268" i="1"/>
  <c r="BI268" i="1" s="1"/>
  <c r="AE268" i="1" s="1"/>
  <c r="BD268" i="1"/>
  <c r="BF268" i="1"/>
  <c r="AB268" i="1"/>
  <c r="AC268" i="1"/>
  <c r="BJ268" i="1"/>
  <c r="AH268" i="1"/>
  <c r="L269" i="1"/>
  <c r="AB269" i="1"/>
  <c r="AF269" i="1"/>
  <c r="AK269" i="1"/>
  <c r="AO269" i="1"/>
  <c r="AP269" i="1"/>
  <c r="AX269" i="1" s="1"/>
  <c r="BD269" i="1"/>
  <c r="BF269" i="1"/>
  <c r="AC269" i="1"/>
  <c r="BJ269" i="1"/>
  <c r="Z269" i="1"/>
  <c r="L270" i="1"/>
  <c r="AL270" i="1" s="1"/>
  <c r="Z270" i="1"/>
  <c r="AJ270" i="1"/>
  <c r="AK270" i="1"/>
  <c r="AO270" i="1"/>
  <c r="BH270" i="1" s="1"/>
  <c r="AD270" i="1" s="1"/>
  <c r="AP270" i="1"/>
  <c r="AX270" i="1" s="1"/>
  <c r="BD270" i="1"/>
  <c r="BF270" i="1"/>
  <c r="AB270" i="1"/>
  <c r="BI270" i="1"/>
  <c r="AE270" i="1" s="1"/>
  <c r="AC270" i="1"/>
  <c r="BJ270" i="1"/>
  <c r="AH270" i="1"/>
  <c r="L271" i="1"/>
  <c r="AB271" i="1"/>
  <c r="AF271" i="1"/>
  <c r="AK271" i="1"/>
  <c r="AO271" i="1"/>
  <c r="BH271" i="1" s="1"/>
  <c r="AD271" i="1" s="1"/>
  <c r="AP271" i="1"/>
  <c r="K271" i="1" s="1"/>
  <c r="BD271" i="1"/>
  <c r="BF271" i="1"/>
  <c r="AC271" i="1"/>
  <c r="BJ271" i="1"/>
  <c r="Z271" i="1"/>
  <c r="L272" i="1"/>
  <c r="AL272" i="1" s="1"/>
  <c r="Z272" i="1"/>
  <c r="AJ272" i="1"/>
  <c r="AK272" i="1"/>
  <c r="AO272" i="1"/>
  <c r="BH272" i="1" s="1"/>
  <c r="AD272" i="1" s="1"/>
  <c r="AP272" i="1"/>
  <c r="AX272" i="1" s="1"/>
  <c r="BD272" i="1"/>
  <c r="BF272" i="1"/>
  <c r="AB272" i="1"/>
  <c r="BJ272" i="1"/>
  <c r="AH272" i="1"/>
  <c r="L273" i="1"/>
  <c r="AL273" i="1" s="1"/>
  <c r="AB273" i="1"/>
  <c r="AF273" i="1"/>
  <c r="AK273" i="1"/>
  <c r="AO273" i="1"/>
  <c r="BH273" i="1" s="1"/>
  <c r="AD273" i="1" s="1"/>
  <c r="AW273" i="1"/>
  <c r="AP273" i="1"/>
  <c r="K273" i="1" s="1"/>
  <c r="BD273" i="1"/>
  <c r="BF273" i="1"/>
  <c r="AC273" i="1"/>
  <c r="BJ273" i="1"/>
  <c r="Z273" i="1"/>
  <c r="L274" i="1"/>
  <c r="AL274" i="1" s="1"/>
  <c r="Z274" i="1"/>
  <c r="AJ274" i="1"/>
  <c r="AK274" i="1"/>
  <c r="AO274" i="1"/>
  <c r="AW274" i="1" s="1"/>
  <c r="AP274" i="1"/>
  <c r="AX274" i="1" s="1"/>
  <c r="BD274" i="1"/>
  <c r="BF274" i="1"/>
  <c r="AB274" i="1"/>
  <c r="BI274" i="1"/>
  <c r="AE274" i="1" s="1"/>
  <c r="AC274" i="1"/>
  <c r="BJ274" i="1"/>
  <c r="AH274" i="1"/>
  <c r="L275" i="1"/>
  <c r="AL275" i="1" s="1"/>
  <c r="AB275" i="1"/>
  <c r="AF275" i="1"/>
  <c r="AK275" i="1"/>
  <c r="AO275" i="1"/>
  <c r="AP275" i="1"/>
  <c r="BI275" i="1" s="1"/>
  <c r="AE275" i="1" s="1"/>
  <c r="BD275" i="1"/>
  <c r="BF275" i="1"/>
  <c r="AC275" i="1"/>
  <c r="BJ275" i="1"/>
  <c r="Z275" i="1"/>
  <c r="L276" i="1"/>
  <c r="AL276" i="1" s="1"/>
  <c r="Z276" i="1"/>
  <c r="AJ276" i="1"/>
  <c r="AK276" i="1"/>
  <c r="AO276" i="1"/>
  <c r="AW276" i="1" s="1"/>
  <c r="AP276" i="1"/>
  <c r="BI276" i="1" s="1"/>
  <c r="AE276" i="1" s="1"/>
  <c r="BD276" i="1"/>
  <c r="BF276" i="1"/>
  <c r="AB276" i="1"/>
  <c r="AC276" i="1"/>
  <c r="BJ276" i="1"/>
  <c r="AH276" i="1"/>
  <c r="L277" i="1"/>
  <c r="AB277" i="1"/>
  <c r="AF277" i="1"/>
  <c r="AK277" i="1"/>
  <c r="AO277" i="1"/>
  <c r="J277" i="1" s="1"/>
  <c r="AP277" i="1"/>
  <c r="K277" i="1" s="1"/>
  <c r="BD277" i="1"/>
  <c r="BF277" i="1"/>
  <c r="AC277" i="1"/>
  <c r="BJ277" i="1"/>
  <c r="Z277" i="1"/>
  <c r="L278" i="1"/>
  <c r="Z278" i="1"/>
  <c r="AJ278" i="1"/>
  <c r="AK278" i="1"/>
  <c r="AL278" i="1"/>
  <c r="AO278" i="1"/>
  <c r="BH278" i="1" s="1"/>
  <c r="AD278" i="1" s="1"/>
  <c r="AP278" i="1"/>
  <c r="AW278" i="1"/>
  <c r="BD278" i="1"/>
  <c r="BF278" i="1"/>
  <c r="AB278" i="1"/>
  <c r="AC278" i="1"/>
  <c r="BJ278" i="1"/>
  <c r="AH278" i="1"/>
  <c r="L279" i="1"/>
  <c r="AB279" i="1"/>
  <c r="AF279" i="1"/>
  <c r="AK279" i="1"/>
  <c r="AO279" i="1"/>
  <c r="BH279" i="1" s="1"/>
  <c r="AW279" i="1"/>
  <c r="AP279" i="1"/>
  <c r="BI279" i="1" s="1"/>
  <c r="BD279" i="1"/>
  <c r="BF279" i="1"/>
  <c r="AD279" i="1"/>
  <c r="AC279" i="1"/>
  <c r="BJ279" i="1"/>
  <c r="Z279" i="1" s="1"/>
  <c r="L281" i="1"/>
  <c r="AO281" i="1"/>
  <c r="BH281" i="1" s="1"/>
  <c r="AD281" i="1" s="1"/>
  <c r="AP281" i="1"/>
  <c r="BI281" i="1" s="1"/>
  <c r="BD281" i="1"/>
  <c r="BF281" i="1"/>
  <c r="BJ281" i="1"/>
  <c r="AH281" i="1" s="1"/>
  <c r="L282" i="1"/>
  <c r="AL282" i="1" s="1"/>
  <c r="AO282" i="1"/>
  <c r="AW282" i="1" s="1"/>
  <c r="AP282" i="1"/>
  <c r="BI282" i="1" s="1"/>
  <c r="AE282" i="1" s="1"/>
  <c r="BD282" i="1"/>
  <c r="BF282" i="1"/>
  <c r="AB282" i="1"/>
  <c r="AC282" i="1"/>
  <c r="BJ282" i="1"/>
  <c r="Z282" i="1"/>
  <c r="L284" i="1"/>
  <c r="AL284" i="1" s="1"/>
  <c r="Z284" i="1"/>
  <c r="AC284" i="1"/>
  <c r="AG284" i="1"/>
  <c r="AJ284" i="1"/>
  <c r="AK284" i="1"/>
  <c r="AO284" i="1"/>
  <c r="AW284" i="1" s="1"/>
  <c r="AP284" i="1"/>
  <c r="BI284" i="1" s="1"/>
  <c r="AE284" i="1" s="1"/>
  <c r="BD284" i="1"/>
  <c r="BF284" i="1"/>
  <c r="AB284" i="1"/>
  <c r="BJ284" i="1"/>
  <c r="AH284" i="1"/>
  <c r="L286" i="1"/>
  <c r="AL286" i="1" s="1"/>
  <c r="AO286" i="1"/>
  <c r="AW286" i="1" s="1"/>
  <c r="AP286" i="1"/>
  <c r="AX286" i="1" s="1"/>
  <c r="K286" i="1"/>
  <c r="BD286" i="1"/>
  <c r="BF286" i="1"/>
  <c r="AB286" i="1"/>
  <c r="AC286" i="1"/>
  <c r="BJ286" i="1"/>
  <c r="Z286" i="1"/>
  <c r="L288" i="1"/>
  <c r="AL288" i="1" s="1"/>
  <c r="AC288" i="1"/>
  <c r="AG288" i="1"/>
  <c r="AJ288" i="1"/>
  <c r="AK288" i="1"/>
  <c r="AO288" i="1"/>
  <c r="AW288" i="1" s="1"/>
  <c r="AP288" i="1"/>
  <c r="BD288" i="1"/>
  <c r="BF288" i="1"/>
  <c r="AB288" i="1"/>
  <c r="AE288" i="1"/>
  <c r="BJ288" i="1"/>
  <c r="Z288" i="1" s="1"/>
  <c r="AH288" i="1"/>
  <c r="L290" i="1"/>
  <c r="AL290" i="1" s="1"/>
  <c r="AB290" i="1"/>
  <c r="AF290" i="1"/>
  <c r="AK290" i="1"/>
  <c r="AO290" i="1"/>
  <c r="J290" i="1" s="1"/>
  <c r="AW290" i="1"/>
  <c r="AP290" i="1"/>
  <c r="AX290" i="1" s="1"/>
  <c r="AV290" i="1" s="1"/>
  <c r="BD290" i="1"/>
  <c r="BF290" i="1"/>
  <c r="AC290" i="1"/>
  <c r="BJ290" i="1"/>
  <c r="Z290" i="1"/>
  <c r="L292" i="1"/>
  <c r="AL292" i="1" s="1"/>
  <c r="Z292" i="1"/>
  <c r="AJ292" i="1"/>
  <c r="AK292" i="1"/>
  <c r="AO292" i="1"/>
  <c r="AW292" i="1" s="1"/>
  <c r="AP292" i="1"/>
  <c r="AX292" i="1" s="1"/>
  <c r="BD292" i="1"/>
  <c r="BF292" i="1"/>
  <c r="AB292" i="1"/>
  <c r="AC292" i="1"/>
  <c r="BJ292" i="1"/>
  <c r="AH292" i="1"/>
  <c r="L293" i="1"/>
  <c r="AB293" i="1"/>
  <c r="AF293" i="1"/>
  <c r="AK293" i="1"/>
  <c r="AO293" i="1"/>
  <c r="AP293" i="1"/>
  <c r="AX293" i="1" s="1"/>
  <c r="BD293" i="1"/>
  <c r="BF293" i="1"/>
  <c r="AC293" i="1"/>
  <c r="BJ293" i="1"/>
  <c r="Z293" i="1"/>
  <c r="L294" i="1"/>
  <c r="AL294" i="1" s="1"/>
  <c r="Z294" i="1"/>
  <c r="AJ294" i="1"/>
  <c r="AK294" i="1"/>
  <c r="AO294" i="1"/>
  <c r="AP294" i="1"/>
  <c r="BD294" i="1"/>
  <c r="BF294" i="1"/>
  <c r="AB294" i="1"/>
  <c r="AC294" i="1"/>
  <c r="BJ294" i="1"/>
  <c r="AH294" i="1"/>
  <c r="L295" i="1"/>
  <c r="AL295" i="1" s="1"/>
  <c r="AB295" i="1"/>
  <c r="AF295" i="1"/>
  <c r="AK295" i="1"/>
  <c r="AO295" i="1"/>
  <c r="BH295" i="1" s="1"/>
  <c r="AD295" i="1" s="1"/>
  <c r="AP295" i="1"/>
  <c r="K295" i="1" s="1"/>
  <c r="BD295" i="1"/>
  <c r="BF295" i="1"/>
  <c r="AC295" i="1"/>
  <c r="BJ295" i="1"/>
  <c r="Z295" i="1"/>
  <c r="L297" i="1"/>
  <c r="AL297" i="1" s="1"/>
  <c r="Z297" i="1"/>
  <c r="AJ297" i="1"/>
  <c r="AK297" i="1"/>
  <c r="AO297" i="1"/>
  <c r="AP297" i="1"/>
  <c r="BI297" i="1" s="1"/>
  <c r="AE297" i="1" s="1"/>
  <c r="BD297" i="1"/>
  <c r="BF297" i="1"/>
  <c r="AB297" i="1"/>
  <c r="AC297" i="1"/>
  <c r="BJ297" i="1"/>
  <c r="AH297" i="1"/>
  <c r="L298" i="1"/>
  <c r="AL298" i="1" s="1"/>
  <c r="AB298" i="1"/>
  <c r="AF298" i="1"/>
  <c r="AK298" i="1"/>
  <c r="AO298" i="1"/>
  <c r="BH298" i="1" s="1"/>
  <c r="AD298" i="1" s="1"/>
  <c r="AP298" i="1"/>
  <c r="K298" i="1" s="1"/>
  <c r="BD298" i="1"/>
  <c r="BF298" i="1"/>
  <c r="AC298" i="1"/>
  <c r="BJ298" i="1"/>
  <c r="Z298" i="1"/>
  <c r="L299" i="1"/>
  <c r="AL299" i="1" s="1"/>
  <c r="Z299" i="1"/>
  <c r="AJ299" i="1"/>
  <c r="AK299" i="1"/>
  <c r="AO299" i="1"/>
  <c r="AW299" i="1" s="1"/>
  <c r="AP299" i="1"/>
  <c r="K299" i="1" s="1"/>
  <c r="BD299" i="1"/>
  <c r="BF299" i="1"/>
  <c r="AB299" i="1"/>
  <c r="AC299" i="1"/>
  <c r="BJ299" i="1"/>
  <c r="AH299" i="1"/>
  <c r="L300" i="1"/>
  <c r="AL300" i="1" s="1"/>
  <c r="AB300" i="1"/>
  <c r="AF300" i="1"/>
  <c r="AK300" i="1"/>
  <c r="AO300" i="1"/>
  <c r="BH300" i="1" s="1"/>
  <c r="AD300" i="1" s="1"/>
  <c r="AP300" i="1"/>
  <c r="K300" i="1" s="1"/>
  <c r="BD300" i="1"/>
  <c r="BF300" i="1"/>
  <c r="AC300" i="1"/>
  <c r="BJ300" i="1"/>
  <c r="Z300" i="1"/>
  <c r="L302" i="1"/>
  <c r="AL302" i="1" s="1"/>
  <c r="Z302" i="1"/>
  <c r="AJ302" i="1"/>
  <c r="AK302" i="1"/>
  <c r="AO302" i="1"/>
  <c r="J302" i="1" s="1"/>
  <c r="AP302" i="1"/>
  <c r="AX302" i="1" s="1"/>
  <c r="BD302" i="1"/>
  <c r="BF302" i="1"/>
  <c r="AB302" i="1"/>
  <c r="BI302" i="1"/>
  <c r="AE302" i="1" s="1"/>
  <c r="AC302" i="1"/>
  <c r="BJ302" i="1"/>
  <c r="AH302" i="1"/>
  <c r="L303" i="1"/>
  <c r="AB303" i="1"/>
  <c r="AF303" i="1"/>
  <c r="AK303" i="1"/>
  <c r="AO303" i="1"/>
  <c r="J303" i="1" s="1"/>
  <c r="AP303" i="1"/>
  <c r="BD303" i="1"/>
  <c r="BF303" i="1"/>
  <c r="BH303" i="1"/>
  <c r="AD303" i="1" s="1"/>
  <c r="AC303" i="1"/>
  <c r="BJ303" i="1"/>
  <c r="Z303" i="1"/>
  <c r="L304" i="1"/>
  <c r="AL304" i="1" s="1"/>
  <c r="Z304" i="1"/>
  <c r="AJ304" i="1"/>
  <c r="AK304" i="1"/>
  <c r="AO304" i="1"/>
  <c r="BH304" i="1" s="1"/>
  <c r="AD304" i="1" s="1"/>
  <c r="AP304" i="1"/>
  <c r="BI304" i="1" s="1"/>
  <c r="AE304" i="1" s="1"/>
  <c r="BD304" i="1"/>
  <c r="BF304" i="1"/>
  <c r="AB304" i="1"/>
  <c r="AC304" i="1"/>
  <c r="BJ304" i="1"/>
  <c r="AH304" i="1"/>
  <c r="L305" i="1"/>
  <c r="AL305" i="1" s="1"/>
  <c r="AB305" i="1"/>
  <c r="AF305" i="1"/>
  <c r="AK305" i="1"/>
  <c r="AO305" i="1"/>
  <c r="BH305" i="1" s="1"/>
  <c r="AD305" i="1" s="1"/>
  <c r="AW305" i="1"/>
  <c r="AP305" i="1"/>
  <c r="BD305" i="1"/>
  <c r="BF305" i="1"/>
  <c r="AC305" i="1"/>
  <c r="BJ305" i="1"/>
  <c r="Z305" i="1"/>
  <c r="L306" i="1"/>
  <c r="AL306" i="1" s="1"/>
  <c r="AJ306" i="1"/>
  <c r="AK306" i="1"/>
  <c r="AO306" i="1"/>
  <c r="BH306" i="1" s="1"/>
  <c r="AP306" i="1"/>
  <c r="AX306" i="1" s="1"/>
  <c r="BD306" i="1"/>
  <c r="BF306" i="1"/>
  <c r="AB306" i="1"/>
  <c r="AC306" i="1"/>
  <c r="BJ306" i="1"/>
  <c r="Z306" i="1" s="1"/>
  <c r="AH306" i="1"/>
  <c r="L308" i="1"/>
  <c r="AO308" i="1"/>
  <c r="AP308" i="1"/>
  <c r="BD308" i="1"/>
  <c r="BF308" i="1"/>
  <c r="AB308" i="1"/>
  <c r="AC308" i="1"/>
  <c r="BJ308" i="1"/>
  <c r="Z308" i="1"/>
  <c r="L310" i="1"/>
  <c r="AL310" i="1" s="1"/>
  <c r="Z310" i="1"/>
  <c r="AC310" i="1"/>
  <c r="AG310" i="1"/>
  <c r="AJ310" i="1"/>
  <c r="AK310" i="1"/>
  <c r="AO310" i="1"/>
  <c r="BH310" i="1" s="1"/>
  <c r="AP310" i="1"/>
  <c r="BD310" i="1"/>
  <c r="BF310" i="1"/>
  <c r="AB310" i="1"/>
  <c r="BJ310" i="1"/>
  <c r="AH310" i="1"/>
  <c r="L311" i="1"/>
  <c r="AL311" i="1" s="1"/>
  <c r="AO311" i="1"/>
  <c r="AP311" i="1"/>
  <c r="K311" i="1" s="1"/>
  <c r="BD311" i="1"/>
  <c r="BF311" i="1"/>
  <c r="AB311" i="1"/>
  <c r="AC311" i="1"/>
  <c r="BJ311" i="1"/>
  <c r="Z311" i="1"/>
  <c r="L312" i="1"/>
  <c r="AL312" i="1" s="1"/>
  <c r="Z312" i="1"/>
  <c r="AC312" i="1"/>
  <c r="AG312" i="1"/>
  <c r="AJ312" i="1"/>
  <c r="AK312" i="1"/>
  <c r="AO312" i="1"/>
  <c r="BH312" i="1" s="1"/>
  <c r="AD312" i="1" s="1"/>
  <c r="AP312" i="1"/>
  <c r="BI312" i="1" s="1"/>
  <c r="AE312" i="1" s="1"/>
  <c r="BD312" i="1"/>
  <c r="BF312" i="1"/>
  <c r="AB312" i="1"/>
  <c r="BJ312" i="1"/>
  <c r="AH312" i="1"/>
  <c r="L313" i="1"/>
  <c r="AO313" i="1"/>
  <c r="AP313" i="1"/>
  <c r="BI313" i="1" s="1"/>
  <c r="AE313" i="1" s="1"/>
  <c r="BD313" i="1"/>
  <c r="BF313" i="1"/>
  <c r="AB313" i="1"/>
  <c r="AC313" i="1"/>
  <c r="BJ313" i="1"/>
  <c r="Z313" i="1"/>
  <c r="L314" i="1"/>
  <c r="AL314" i="1" s="1"/>
  <c r="Z314" i="1"/>
  <c r="AC314" i="1"/>
  <c r="AG314" i="1"/>
  <c r="AJ314" i="1"/>
  <c r="AK314" i="1"/>
  <c r="AO314" i="1"/>
  <c r="AP314" i="1"/>
  <c r="AX314" i="1" s="1"/>
  <c r="BD314" i="1"/>
  <c r="BF314" i="1"/>
  <c r="AB314" i="1"/>
  <c r="BI314" i="1"/>
  <c r="AE314" i="1" s="1"/>
  <c r="BJ314" i="1"/>
  <c r="AH314" i="1"/>
  <c r="L315" i="1"/>
  <c r="AL315" i="1" s="1"/>
  <c r="AO315" i="1"/>
  <c r="AW315" i="1" s="1"/>
  <c r="AP315" i="1"/>
  <c r="AX315" i="1" s="1"/>
  <c r="BD315" i="1"/>
  <c r="BF315" i="1"/>
  <c r="AB315" i="1"/>
  <c r="AC315" i="1"/>
  <c r="BJ315" i="1"/>
  <c r="Z315" i="1"/>
  <c r="L316" i="1"/>
  <c r="AL316" i="1" s="1"/>
  <c r="AC316" i="1"/>
  <c r="AG316" i="1"/>
  <c r="AJ316" i="1"/>
  <c r="AK316" i="1"/>
  <c r="AO316" i="1"/>
  <c r="J316" i="1" s="1"/>
  <c r="AP316" i="1"/>
  <c r="BD316" i="1"/>
  <c r="BF316" i="1"/>
  <c r="BH316" i="1"/>
  <c r="AB316" i="1"/>
  <c r="AE316" i="1"/>
  <c r="BJ316" i="1"/>
  <c r="Z316" i="1" s="1"/>
  <c r="AH316" i="1"/>
  <c r="L318" i="1"/>
  <c r="AB318" i="1"/>
  <c r="AF318" i="1"/>
  <c r="AK318" i="1"/>
  <c r="AO318" i="1"/>
  <c r="J318" i="1" s="1"/>
  <c r="AP318" i="1"/>
  <c r="AX318" i="1" s="1"/>
  <c r="BD318" i="1"/>
  <c r="BF318" i="1"/>
  <c r="AC318" i="1"/>
  <c r="BJ318" i="1"/>
  <c r="Z318" i="1"/>
  <c r="L319" i="1"/>
  <c r="AL319" i="1" s="1"/>
  <c r="Z319" i="1"/>
  <c r="AJ319" i="1"/>
  <c r="AK319" i="1"/>
  <c r="AO319" i="1"/>
  <c r="AP319" i="1"/>
  <c r="AX319" i="1" s="1"/>
  <c r="BD319" i="1"/>
  <c r="BF319" i="1"/>
  <c r="AB319" i="1"/>
  <c r="AC319" i="1"/>
  <c r="BJ319" i="1"/>
  <c r="AH319" i="1"/>
  <c r="L320" i="1"/>
  <c r="AB320" i="1"/>
  <c r="AF320" i="1"/>
  <c r="AK320" i="1"/>
  <c r="AO320" i="1"/>
  <c r="AW320" i="1" s="1"/>
  <c r="AP320" i="1"/>
  <c r="BI320" i="1" s="1"/>
  <c r="AE320" i="1" s="1"/>
  <c r="BD320" i="1"/>
  <c r="BF320" i="1"/>
  <c r="AC320" i="1"/>
  <c r="BJ320" i="1"/>
  <c r="Z320" i="1"/>
  <c r="L322" i="1"/>
  <c r="AL322" i="1" s="1"/>
  <c r="Z322" i="1"/>
  <c r="AJ322" i="1"/>
  <c r="AK322" i="1"/>
  <c r="AO322" i="1"/>
  <c r="AW322" i="1" s="1"/>
  <c r="AP322" i="1"/>
  <c r="BD322" i="1"/>
  <c r="BF322" i="1"/>
  <c r="AB322" i="1"/>
  <c r="AC322" i="1"/>
  <c r="BJ322" i="1"/>
  <c r="AH322" i="1"/>
  <c r="L323" i="1"/>
  <c r="AL323" i="1" s="1"/>
  <c r="AB323" i="1"/>
  <c r="AF323" i="1"/>
  <c r="AK323" i="1"/>
  <c r="AO323" i="1"/>
  <c r="BH323" i="1" s="1"/>
  <c r="AD323" i="1" s="1"/>
  <c r="AP323" i="1"/>
  <c r="BI323" i="1" s="1"/>
  <c r="AE323" i="1" s="1"/>
  <c r="BD323" i="1"/>
  <c r="BF323" i="1"/>
  <c r="AC323" i="1"/>
  <c r="BJ323" i="1"/>
  <c r="Z323" i="1"/>
  <c r="L324" i="1"/>
  <c r="AL324" i="1" s="1"/>
  <c r="Z324" i="1"/>
  <c r="AJ324" i="1"/>
  <c r="AK324" i="1"/>
  <c r="AO324" i="1"/>
  <c r="BH324" i="1" s="1"/>
  <c r="AD324" i="1" s="1"/>
  <c r="AP324" i="1"/>
  <c r="K324" i="1" s="1"/>
  <c r="BD324" i="1"/>
  <c r="BF324" i="1"/>
  <c r="AB324" i="1"/>
  <c r="AC324" i="1"/>
  <c r="BJ324" i="1"/>
  <c r="AH324" i="1"/>
  <c r="L326" i="1"/>
  <c r="AO326" i="1"/>
  <c r="BH326" i="1" s="1"/>
  <c r="AD326" i="1" s="1"/>
  <c r="AP326" i="1"/>
  <c r="BD326" i="1"/>
  <c r="BF326" i="1"/>
  <c r="AB326" i="1"/>
  <c r="AC326" i="1"/>
  <c r="BJ326" i="1"/>
  <c r="Z326" i="1"/>
  <c r="L327" i="1"/>
  <c r="AL327" i="1" s="1"/>
  <c r="Z327" i="1"/>
  <c r="AC327" i="1"/>
  <c r="AG327" i="1"/>
  <c r="AJ327" i="1"/>
  <c r="AK327" i="1"/>
  <c r="AO327" i="1"/>
  <c r="AP327" i="1"/>
  <c r="AX327" i="1" s="1"/>
  <c r="BD327" i="1"/>
  <c r="BF327" i="1"/>
  <c r="AB327" i="1"/>
  <c r="BI327" i="1"/>
  <c r="AE327" i="1" s="1"/>
  <c r="BJ327" i="1"/>
  <c r="AH327" i="1"/>
  <c r="L328" i="1"/>
  <c r="L325" i="1" s="1"/>
  <c r="AO328" i="1"/>
  <c r="AP328" i="1"/>
  <c r="BD328" i="1"/>
  <c r="BF328" i="1"/>
  <c r="AB328" i="1"/>
  <c r="AC328" i="1"/>
  <c r="BJ328" i="1"/>
  <c r="Z328" i="1"/>
  <c r="AH328" i="1"/>
  <c r="AJ328" i="1"/>
  <c r="AS325" i="1" s="1"/>
  <c r="AH326" i="1"/>
  <c r="AJ326" i="1"/>
  <c r="AL326" i="1"/>
  <c r="AH315" i="1"/>
  <c r="AJ315" i="1"/>
  <c r="AH313" i="1"/>
  <c r="AJ313" i="1"/>
  <c r="AL313" i="1"/>
  <c r="AH311" i="1"/>
  <c r="AJ311" i="1"/>
  <c r="AH308" i="1"/>
  <c r="AJ308" i="1"/>
  <c r="AL308" i="1"/>
  <c r="AE306" i="1"/>
  <c r="K306" i="1"/>
  <c r="K304" i="1"/>
  <c r="K302" i="1"/>
  <c r="K294" i="1"/>
  <c r="AH286" i="1"/>
  <c r="AJ286" i="1"/>
  <c r="AH282" i="1"/>
  <c r="AJ282" i="1"/>
  <c r="K276" i="1"/>
  <c r="K274" i="1"/>
  <c r="BI272" i="1"/>
  <c r="K272" i="1"/>
  <c r="K270" i="1"/>
  <c r="K268" i="1"/>
  <c r="K266" i="1"/>
  <c r="K262" i="1"/>
  <c r="AH256" i="1"/>
  <c r="AJ256" i="1"/>
  <c r="AL256" i="1"/>
  <c r="AH254" i="1"/>
  <c r="AJ254" i="1"/>
  <c r="AL254" i="1"/>
  <c r="AH252" i="1"/>
  <c r="AJ252" i="1"/>
  <c r="AH250" i="1"/>
  <c r="AJ250" i="1"/>
  <c r="AL250" i="1"/>
  <c r="AE248" i="1"/>
  <c r="K246" i="1"/>
  <c r="AE244" i="1"/>
  <c r="K244" i="1"/>
  <c r="K242" i="1"/>
  <c r="AH240" i="1"/>
  <c r="AJ240" i="1"/>
  <c r="AH238" i="1"/>
  <c r="AJ238" i="1"/>
  <c r="AS236" i="1" s="1"/>
  <c r="AL238" i="1"/>
  <c r="AU236" i="1" s="1"/>
  <c r="K233" i="1"/>
  <c r="AH229" i="1"/>
  <c r="AD229" i="1"/>
  <c r="AJ229" i="1"/>
  <c r="AL229" i="1"/>
  <c r="AH227" i="1"/>
  <c r="AJ227" i="1"/>
  <c r="AH225" i="1"/>
  <c r="AJ225" i="1"/>
  <c r="AL225" i="1"/>
  <c r="AH223" i="1"/>
  <c r="AJ223" i="1"/>
  <c r="AL223" i="1"/>
  <c r="AH221" i="1"/>
  <c r="AJ221" i="1"/>
  <c r="AH219" i="1"/>
  <c r="AD219" i="1"/>
  <c r="AJ219" i="1"/>
  <c r="AH217" i="1"/>
  <c r="AJ217" i="1"/>
  <c r="AH215" i="1"/>
  <c r="AJ215" i="1"/>
  <c r="AH213" i="1"/>
  <c r="AD213" i="1"/>
  <c r="AJ213" i="1"/>
  <c r="AH211" i="1"/>
  <c r="AJ211" i="1"/>
  <c r="AL211" i="1"/>
  <c r="AH209" i="1"/>
  <c r="AJ209" i="1"/>
  <c r="AL209" i="1"/>
  <c r="AH207" i="1"/>
  <c r="AD207" i="1"/>
  <c r="AJ207" i="1"/>
  <c r="AL207" i="1"/>
  <c r="AH205" i="1"/>
  <c r="AJ205" i="1"/>
  <c r="AH203" i="1"/>
  <c r="AJ203" i="1"/>
  <c r="AH201" i="1"/>
  <c r="AJ201" i="1"/>
  <c r="AL201" i="1"/>
  <c r="AH199" i="1"/>
  <c r="AJ199" i="1"/>
  <c r="AL199" i="1"/>
  <c r="AH197" i="1"/>
  <c r="AJ197" i="1"/>
  <c r="AL197" i="1"/>
  <c r="AH194" i="1"/>
  <c r="AJ194" i="1"/>
  <c r="AL194" i="1"/>
  <c r="AH190" i="1"/>
  <c r="AJ190" i="1"/>
  <c r="AE188" i="1"/>
  <c r="K188" i="1"/>
  <c r="K186" i="1"/>
  <c r="AE184" i="1"/>
  <c r="K184" i="1"/>
  <c r="K182" i="1"/>
  <c r="AC180" i="1"/>
  <c r="AG180" i="1"/>
  <c r="K180" i="1"/>
  <c r="AJ177" i="1"/>
  <c r="AL177" i="1"/>
  <c r="AK177" i="1"/>
  <c r="AB175" i="1"/>
  <c r="AF175" i="1"/>
  <c r="AW175" i="1"/>
  <c r="J175" i="1"/>
  <c r="AJ173" i="1"/>
  <c r="AK173" i="1"/>
  <c r="AB171" i="1"/>
  <c r="AF171" i="1"/>
  <c r="AW171" i="1"/>
  <c r="J171" i="1"/>
  <c r="AD171" i="1"/>
  <c r="AC162" i="1"/>
  <c r="AG162" i="1"/>
  <c r="K162" i="1"/>
  <c r="AB159" i="1"/>
  <c r="AF159" i="1"/>
  <c r="AW159" i="1"/>
  <c r="J158" i="1"/>
  <c r="AD159" i="1"/>
  <c r="AJ154" i="1"/>
  <c r="AL154" i="1"/>
  <c r="AK154" i="1"/>
  <c r="AB152" i="1"/>
  <c r="AF152" i="1"/>
  <c r="AW152" i="1"/>
  <c r="J152" i="1"/>
  <c r="AD152" i="1"/>
  <c r="AJ150" i="1"/>
  <c r="AL150" i="1"/>
  <c r="AK150" i="1"/>
  <c r="AB147" i="1"/>
  <c r="AF147" i="1"/>
  <c r="AW147" i="1"/>
  <c r="AD147" i="1"/>
  <c r="AJ145" i="1"/>
  <c r="AL145" i="1"/>
  <c r="L144" i="1"/>
  <c r="AK145" i="1"/>
  <c r="AG142" i="1"/>
  <c r="K142" i="1"/>
  <c r="AG138" i="1"/>
  <c r="AG134" i="1"/>
  <c r="K134" i="1"/>
  <c r="AC130" i="1"/>
  <c r="AG130" i="1"/>
  <c r="K130" i="1"/>
  <c r="AF124" i="1"/>
  <c r="AD124" i="1"/>
  <c r="AJ121" i="1"/>
  <c r="AL121" i="1"/>
  <c r="AK121" i="1"/>
  <c r="AF119" i="1"/>
  <c r="AW119" i="1"/>
  <c r="AD119" i="1"/>
  <c r="AJ117" i="1"/>
  <c r="AL117" i="1"/>
  <c r="AK117" i="1"/>
  <c r="AF115" i="1"/>
  <c r="AW115" i="1"/>
  <c r="J115" i="1"/>
  <c r="AD115" i="1"/>
  <c r="AJ113" i="1"/>
  <c r="AL113" i="1"/>
  <c r="AK113" i="1"/>
  <c r="AF110" i="1"/>
  <c r="J110" i="1"/>
  <c r="AD110" i="1"/>
  <c r="AJ108" i="1"/>
  <c r="AL108" i="1"/>
  <c r="AK108" i="1"/>
  <c r="AF106" i="1"/>
  <c r="AW106" i="1"/>
  <c r="J106" i="1"/>
  <c r="AD106" i="1"/>
  <c r="AF98" i="1"/>
  <c r="AW98" i="1"/>
  <c r="J98" i="1"/>
  <c r="AD98" i="1"/>
  <c r="AJ94" i="1"/>
  <c r="AS93" i="1" s="1"/>
  <c r="AK94" i="1"/>
  <c r="AT93" i="1" s="1"/>
  <c r="AG91" i="1"/>
  <c r="AJ84" i="1"/>
  <c r="AK84" i="1"/>
  <c r="AC63" i="1"/>
  <c r="AG63" i="1"/>
  <c r="AE63" i="1"/>
  <c r="AG56" i="1"/>
  <c r="AE56" i="1"/>
  <c r="AC28" i="1"/>
  <c r="AG28" i="1"/>
  <c r="AE28" i="1"/>
  <c r="AX28" i="1"/>
  <c r="K28" i="1"/>
  <c r="AK328" i="1"/>
  <c r="AF328" i="1"/>
  <c r="K327" i="1"/>
  <c r="AK326" i="1"/>
  <c r="AF326" i="1"/>
  <c r="J326" i="1"/>
  <c r="AG324" i="1"/>
  <c r="AH323" i="1"/>
  <c r="AJ323" i="1"/>
  <c r="AG322" i="1"/>
  <c r="AH320" i="1"/>
  <c r="AJ320" i="1"/>
  <c r="AL320" i="1"/>
  <c r="AG319" i="1"/>
  <c r="AH318" i="1"/>
  <c r="AJ318" i="1"/>
  <c r="AL318" i="1"/>
  <c r="AK315" i="1"/>
  <c r="AF315" i="1"/>
  <c r="K314" i="1"/>
  <c r="AK313" i="1"/>
  <c r="AF313" i="1"/>
  <c r="AK311" i="1"/>
  <c r="AF311" i="1"/>
  <c r="AK308" i="1"/>
  <c r="AF308" i="1"/>
  <c r="AG306" i="1"/>
  <c r="AH305" i="1"/>
  <c r="AJ305" i="1"/>
  <c r="AG304" i="1"/>
  <c r="AH303" i="1"/>
  <c r="AJ303" i="1"/>
  <c r="AL303" i="1"/>
  <c r="AG302" i="1"/>
  <c r="AH300" i="1"/>
  <c r="AJ300" i="1"/>
  <c r="AG299" i="1"/>
  <c r="AH298" i="1"/>
  <c r="AJ298" i="1"/>
  <c r="AG297" i="1"/>
  <c r="AH295" i="1"/>
  <c r="AJ295" i="1"/>
  <c r="AG294" i="1"/>
  <c r="AH293" i="1"/>
  <c r="AJ293" i="1"/>
  <c r="AL293" i="1"/>
  <c r="AG292" i="1"/>
  <c r="AH290" i="1"/>
  <c r="AJ290" i="1"/>
  <c r="AK286" i="1"/>
  <c r="AF286" i="1"/>
  <c r="AK282" i="1"/>
  <c r="AF282" i="1"/>
  <c r="J282" i="1"/>
  <c r="K281" i="1"/>
  <c r="AH279" i="1"/>
  <c r="AJ279" i="1"/>
  <c r="AL279" i="1"/>
  <c r="AG278" i="1"/>
  <c r="AH277" i="1"/>
  <c r="AJ277" i="1"/>
  <c r="AL277" i="1"/>
  <c r="AG276" i="1"/>
  <c r="AH275" i="1"/>
  <c r="AJ275" i="1"/>
  <c r="AG274" i="1"/>
  <c r="AH273" i="1"/>
  <c r="AJ273" i="1"/>
  <c r="AH271" i="1"/>
  <c r="AJ271" i="1"/>
  <c r="AL271" i="1"/>
  <c r="AG270" i="1"/>
  <c r="AH269" i="1"/>
  <c r="AJ269" i="1"/>
  <c r="AL269" i="1"/>
  <c r="AG268" i="1"/>
  <c r="AH267" i="1"/>
  <c r="AJ267" i="1"/>
  <c r="AL267" i="1"/>
  <c r="AG266" i="1"/>
  <c r="AH265" i="1"/>
  <c r="AJ265" i="1"/>
  <c r="AG264" i="1"/>
  <c r="AH263" i="1"/>
  <c r="AJ263" i="1"/>
  <c r="AL263" i="1"/>
  <c r="AG262" i="1"/>
  <c r="AH261" i="1"/>
  <c r="AJ261" i="1"/>
  <c r="AG260" i="1"/>
  <c r="AH259" i="1"/>
  <c r="AJ259" i="1"/>
  <c r="AL259" i="1"/>
  <c r="AK256" i="1"/>
  <c r="AF256" i="1"/>
  <c r="J256" i="1"/>
  <c r="K255" i="1"/>
  <c r="AK254" i="1"/>
  <c r="AF254" i="1"/>
  <c r="K253" i="1"/>
  <c r="AK252" i="1"/>
  <c r="AF252" i="1"/>
  <c r="J252" i="1"/>
  <c r="AK250" i="1"/>
  <c r="AF250" i="1"/>
  <c r="J250" i="1"/>
  <c r="AG248" i="1"/>
  <c r="AH247" i="1"/>
  <c r="AJ247" i="1"/>
  <c r="AL247" i="1"/>
  <c r="AG246" i="1"/>
  <c r="AH245" i="1"/>
  <c r="AJ245" i="1"/>
  <c r="AG244" i="1"/>
  <c r="AH243" i="1"/>
  <c r="AJ243" i="1"/>
  <c r="AL243" i="1"/>
  <c r="AG242" i="1"/>
  <c r="AK240" i="1"/>
  <c r="AF240" i="1"/>
  <c r="J240" i="1"/>
  <c r="K239" i="1"/>
  <c r="AK238" i="1"/>
  <c r="AF238" i="1"/>
  <c r="J238" i="1"/>
  <c r="K237" i="1"/>
  <c r="AH235" i="1"/>
  <c r="AJ235" i="1"/>
  <c r="AL235" i="1"/>
  <c r="AG233" i="1"/>
  <c r="AH232" i="1"/>
  <c r="AJ232" i="1"/>
  <c r="AG231" i="1"/>
  <c r="AK229" i="1"/>
  <c r="AF229" i="1"/>
  <c r="AK227" i="1"/>
  <c r="AF227" i="1"/>
  <c r="K226" i="1"/>
  <c r="AK225" i="1"/>
  <c r="AF225" i="1"/>
  <c r="AK223" i="1"/>
  <c r="AF223" i="1"/>
  <c r="J223" i="1"/>
  <c r="AK221" i="1"/>
  <c r="AF221" i="1"/>
  <c r="AK219" i="1"/>
  <c r="AF219" i="1"/>
  <c r="J219" i="1"/>
  <c r="K218" i="1"/>
  <c r="AK217" i="1"/>
  <c r="AF217" i="1"/>
  <c r="J217" i="1"/>
  <c r="K216" i="1"/>
  <c r="AK215" i="1"/>
  <c r="AF215" i="1"/>
  <c r="J215" i="1"/>
  <c r="K214" i="1"/>
  <c r="AK213" i="1"/>
  <c r="AF213" i="1"/>
  <c r="J213" i="1"/>
  <c r="AK211" i="1"/>
  <c r="AF211" i="1"/>
  <c r="J211" i="1"/>
  <c r="K210" i="1"/>
  <c r="AK209" i="1"/>
  <c r="AF209" i="1"/>
  <c r="K208" i="1"/>
  <c r="AK207" i="1"/>
  <c r="AF207" i="1"/>
  <c r="J207" i="1"/>
  <c r="K206" i="1"/>
  <c r="AK205" i="1"/>
  <c r="AF205" i="1"/>
  <c r="AK203" i="1"/>
  <c r="AF203" i="1"/>
  <c r="J203" i="1"/>
  <c r="K202" i="1"/>
  <c r="AK201" i="1"/>
  <c r="AF201" i="1"/>
  <c r="K200" i="1"/>
  <c r="AK199" i="1"/>
  <c r="AF199" i="1"/>
  <c r="J199" i="1"/>
  <c r="K198" i="1"/>
  <c r="AK197" i="1"/>
  <c r="AF197" i="1"/>
  <c r="J197" i="1"/>
  <c r="K196" i="1"/>
  <c r="AK194" i="1"/>
  <c r="AF194" i="1"/>
  <c r="J194" i="1"/>
  <c r="AK190" i="1"/>
  <c r="AF190" i="1"/>
  <c r="J190" i="1"/>
  <c r="AG188" i="1"/>
  <c r="AH187" i="1"/>
  <c r="AJ187" i="1"/>
  <c r="AL187" i="1"/>
  <c r="AG186" i="1"/>
  <c r="AH185" i="1"/>
  <c r="AJ185" i="1"/>
  <c r="AL185" i="1"/>
  <c r="AG184" i="1"/>
  <c r="AH183" i="1"/>
  <c r="AJ183" i="1"/>
  <c r="AG182" i="1"/>
  <c r="AH181" i="1"/>
  <c r="AJ181" i="1"/>
  <c r="AL181" i="1"/>
  <c r="AJ180" i="1"/>
  <c r="AK180" i="1"/>
  <c r="AB177" i="1"/>
  <c r="AF177" i="1"/>
  <c r="J177" i="1"/>
  <c r="AH175" i="1"/>
  <c r="AJ175" i="1"/>
  <c r="AS169" i="1" s="1"/>
  <c r="AL175" i="1"/>
  <c r="AK175" i="1"/>
  <c r="AB173" i="1"/>
  <c r="AF173" i="1"/>
  <c r="AW173" i="1"/>
  <c r="AH171" i="1"/>
  <c r="AJ171" i="1"/>
  <c r="AL171" i="1"/>
  <c r="AK171" i="1"/>
  <c r="AC166" i="1"/>
  <c r="AG166" i="1"/>
  <c r="AH159" i="1"/>
  <c r="AJ159" i="1"/>
  <c r="AS158" i="1" s="1"/>
  <c r="AL159" i="1"/>
  <c r="AU158" i="1" s="1"/>
  <c r="L158" i="1"/>
  <c r="AK159" i="1"/>
  <c r="AT158" i="1" s="1"/>
  <c r="AC156" i="1"/>
  <c r="K155" i="1"/>
  <c r="AB154" i="1"/>
  <c r="AF154" i="1"/>
  <c r="J154" i="1"/>
  <c r="AD154" i="1"/>
  <c r="AH152" i="1"/>
  <c r="AJ152" i="1"/>
  <c r="AL152" i="1"/>
  <c r="AK152" i="1"/>
  <c r="AB150" i="1"/>
  <c r="AF150" i="1"/>
  <c r="AW150" i="1"/>
  <c r="J150" i="1"/>
  <c r="AD150" i="1"/>
  <c r="AH147" i="1"/>
  <c r="AJ147" i="1"/>
  <c r="AL147" i="1"/>
  <c r="AK147" i="1"/>
  <c r="AB145" i="1"/>
  <c r="AF145" i="1"/>
  <c r="AW145" i="1"/>
  <c r="J145" i="1"/>
  <c r="AD145" i="1"/>
  <c r="AE142" i="1"/>
  <c r="AC140" i="1"/>
  <c r="AG140" i="1"/>
  <c r="K140" i="1"/>
  <c r="AE138" i="1"/>
  <c r="AG136" i="1"/>
  <c r="K136" i="1"/>
  <c r="AE134" i="1"/>
  <c r="AG132" i="1"/>
  <c r="AE130" i="1"/>
  <c r="AH124" i="1"/>
  <c r="AJ124" i="1"/>
  <c r="AL124" i="1"/>
  <c r="AK124" i="1"/>
  <c r="AF121" i="1"/>
  <c r="AW121" i="1"/>
  <c r="BC121" i="1" s="1"/>
  <c r="J121" i="1"/>
  <c r="AD121" i="1"/>
  <c r="AH119" i="1"/>
  <c r="AJ119" i="1"/>
  <c r="AL119" i="1"/>
  <c r="AK119" i="1"/>
  <c r="AF117" i="1"/>
  <c r="AW117" i="1"/>
  <c r="J117" i="1"/>
  <c r="AD117" i="1"/>
  <c r="AH115" i="1"/>
  <c r="AJ115" i="1"/>
  <c r="AK115" i="1"/>
  <c r="AB113" i="1"/>
  <c r="AF113" i="1"/>
  <c r="AW113" i="1"/>
  <c r="J113" i="1"/>
  <c r="AD113" i="1"/>
  <c r="AH110" i="1"/>
  <c r="AJ110" i="1"/>
  <c r="AL110" i="1"/>
  <c r="AK110" i="1"/>
  <c r="AB108" i="1"/>
  <c r="AF108" i="1"/>
  <c r="AW108" i="1"/>
  <c r="J108" i="1"/>
  <c r="AD108" i="1"/>
  <c r="AH106" i="1"/>
  <c r="AJ106" i="1"/>
  <c r="AL106" i="1"/>
  <c r="AK106" i="1"/>
  <c r="AH98" i="1"/>
  <c r="AJ98" i="1"/>
  <c r="AL98" i="1"/>
  <c r="AU97" i="1" s="1"/>
  <c r="L97" i="1"/>
  <c r="AK98" i="1"/>
  <c r="AT97" i="1"/>
  <c r="AC96" i="1"/>
  <c r="AG96" i="1"/>
  <c r="K96" i="1"/>
  <c r="K95" i="1" s="1"/>
  <c r="AB94" i="1"/>
  <c r="AF94" i="1"/>
  <c r="AW94" i="1"/>
  <c r="J94" i="1"/>
  <c r="J93" i="1" s="1"/>
  <c r="AD94" i="1"/>
  <c r="AE91" i="1"/>
  <c r="Z87" i="1"/>
  <c r="AH87" i="1"/>
  <c r="AB87" i="1"/>
  <c r="AF87" i="1"/>
  <c r="AW87" i="1"/>
  <c r="BC87" i="1" s="1"/>
  <c r="J87" i="1"/>
  <c r="AG77" i="1"/>
  <c r="AE77" i="1"/>
  <c r="AJ69" i="1"/>
  <c r="AK69" i="1"/>
  <c r="Z67" i="1"/>
  <c r="AH67" i="1"/>
  <c r="AF67" i="1"/>
  <c r="AW67" i="1"/>
  <c r="J67" i="1"/>
  <c r="K63" i="1"/>
  <c r="K56" i="1"/>
  <c r="Z51" i="1"/>
  <c r="AH51" i="1"/>
  <c r="AF51" i="1"/>
  <c r="J51" i="1"/>
  <c r="J50" i="1" s="1"/>
  <c r="Z40" i="1"/>
  <c r="AH40" i="1"/>
  <c r="AF40" i="1"/>
  <c r="AD40" i="1"/>
  <c r="AW40" i="1"/>
  <c r="J40" i="1"/>
  <c r="AG34" i="1"/>
  <c r="AE34" i="1"/>
  <c r="AX34" i="1"/>
  <c r="AJ22" i="1"/>
  <c r="AL22" i="1"/>
  <c r="AK22" i="1"/>
  <c r="AV21" i="1"/>
  <c r="Z20" i="1"/>
  <c r="AH20" i="1"/>
  <c r="AF20" i="1"/>
  <c r="AD20" i="1"/>
  <c r="AW20" i="1"/>
  <c r="BC20" i="1" s="1"/>
  <c r="J20" i="1"/>
  <c r="AJ12" i="1"/>
  <c r="AL12" i="1"/>
  <c r="AK12" i="1"/>
  <c r="Z10" i="1"/>
  <c r="AH10" i="1"/>
  <c r="AB10" i="1"/>
  <c r="AF10" i="1"/>
  <c r="AD10" i="1"/>
  <c r="AW10" i="1"/>
  <c r="J10" i="1"/>
  <c r="AG328" i="1"/>
  <c r="AF327" i="1"/>
  <c r="AG326" i="1"/>
  <c r="AF324" i="1"/>
  <c r="AG323" i="1"/>
  <c r="AF322" i="1"/>
  <c r="AG320" i="1"/>
  <c r="AF319" i="1"/>
  <c r="AG318" i="1"/>
  <c r="AF316" i="1"/>
  <c r="AD316" i="1"/>
  <c r="AG315" i="1"/>
  <c r="AF314" i="1"/>
  <c r="AG313" i="1"/>
  <c r="AF312" i="1"/>
  <c r="AG311" i="1"/>
  <c r="AF310" i="1"/>
  <c r="AD310" i="1"/>
  <c r="AG308" i="1"/>
  <c r="AF306" i="1"/>
  <c r="AD306" i="1"/>
  <c r="AG305" i="1"/>
  <c r="AF304" i="1"/>
  <c r="AG303" i="1"/>
  <c r="AF302" i="1"/>
  <c r="AG300" i="1"/>
  <c r="AF299" i="1"/>
  <c r="AG298" i="1"/>
  <c r="AF297" i="1"/>
  <c r="AG295" i="1"/>
  <c r="AF294" i="1"/>
  <c r="AG293" i="1"/>
  <c r="AF292" i="1"/>
  <c r="AG290" i="1"/>
  <c r="AF288" i="1"/>
  <c r="AD288" i="1"/>
  <c r="AG286" i="1"/>
  <c r="AF284" i="1"/>
  <c r="AG282" i="1"/>
  <c r="AG279" i="1"/>
  <c r="AE279" i="1"/>
  <c r="AF278" i="1"/>
  <c r="AG277" i="1"/>
  <c r="AF276" i="1"/>
  <c r="AG275" i="1"/>
  <c r="AF274" i="1"/>
  <c r="AG273" i="1"/>
  <c r="AF272" i="1"/>
  <c r="AG271" i="1"/>
  <c r="AF270" i="1"/>
  <c r="AG269" i="1"/>
  <c r="AF268" i="1"/>
  <c r="AG267" i="1"/>
  <c r="AF266" i="1"/>
  <c r="AG265" i="1"/>
  <c r="AF264" i="1"/>
  <c r="AG263" i="1"/>
  <c r="AF262" i="1"/>
  <c r="AG261" i="1"/>
  <c r="AF260" i="1"/>
  <c r="AG259" i="1"/>
  <c r="AF257" i="1"/>
  <c r="AD257" i="1"/>
  <c r="AG256" i="1"/>
  <c r="AF255" i="1"/>
  <c r="AG254" i="1"/>
  <c r="AF253" i="1"/>
  <c r="AG252" i="1"/>
  <c r="AF251" i="1"/>
  <c r="AG250" i="1"/>
  <c r="AF248" i="1"/>
  <c r="AD248" i="1"/>
  <c r="AG247" i="1"/>
  <c r="AF246" i="1"/>
  <c r="AG245" i="1"/>
  <c r="AF244" i="1"/>
  <c r="AG243" i="1"/>
  <c r="AF242" i="1"/>
  <c r="AG240" i="1"/>
  <c r="AF239" i="1"/>
  <c r="AD239" i="1"/>
  <c r="AG238" i="1"/>
  <c r="AF237" i="1"/>
  <c r="AG235" i="1"/>
  <c r="AE235" i="1"/>
  <c r="AF233" i="1"/>
  <c r="AD233" i="1"/>
  <c r="AG232" i="1"/>
  <c r="AF231" i="1"/>
  <c r="AG229" i="1"/>
  <c r="AE229" i="1"/>
  <c r="AF228" i="1"/>
  <c r="AG227" i="1"/>
  <c r="AF226" i="1"/>
  <c r="AD226" i="1"/>
  <c r="AG225" i="1"/>
  <c r="AF224" i="1"/>
  <c r="AG223" i="1"/>
  <c r="AF222" i="1"/>
  <c r="AG221" i="1"/>
  <c r="AF220" i="1"/>
  <c r="AG219" i="1"/>
  <c r="AF218" i="1"/>
  <c r="AG217" i="1"/>
  <c r="AF216" i="1"/>
  <c r="AG215" i="1"/>
  <c r="AF214" i="1"/>
  <c r="AG213" i="1"/>
  <c r="AE213" i="1"/>
  <c r="AF212" i="1"/>
  <c r="AG211" i="1"/>
  <c r="AF210" i="1"/>
  <c r="AG209" i="1"/>
  <c r="AF208" i="1"/>
  <c r="AD208" i="1"/>
  <c r="AG207" i="1"/>
  <c r="AE207" i="1"/>
  <c r="AF206" i="1"/>
  <c r="AG205" i="1"/>
  <c r="AF204" i="1"/>
  <c r="AG203" i="1"/>
  <c r="AE203" i="1"/>
  <c r="AF202" i="1"/>
  <c r="AG201" i="1"/>
  <c r="AF200" i="1"/>
  <c r="AD200" i="1"/>
  <c r="AG199" i="1"/>
  <c r="AF198" i="1"/>
  <c r="AG197" i="1"/>
  <c r="AF196" i="1"/>
  <c r="AG194" i="1"/>
  <c r="AF192" i="1"/>
  <c r="AG190" i="1"/>
  <c r="AF188" i="1"/>
  <c r="AD188" i="1"/>
  <c r="AG187" i="1"/>
  <c r="AF186" i="1"/>
  <c r="AG185" i="1"/>
  <c r="AE185" i="1"/>
  <c r="AF184" i="1"/>
  <c r="AG183" i="1"/>
  <c r="AF182" i="1"/>
  <c r="AG181" i="1"/>
  <c r="AF180" i="1"/>
  <c r="K176" i="1"/>
  <c r="K174" i="1"/>
  <c r="K170" i="1"/>
  <c r="AH168" i="1"/>
  <c r="AJ168" i="1"/>
  <c r="AL168" i="1"/>
  <c r="AV166" i="1"/>
  <c r="AH164" i="1"/>
  <c r="AJ164" i="1"/>
  <c r="AL164" i="1"/>
  <c r="L161" i="1"/>
  <c r="K153" i="1"/>
  <c r="K151" i="1"/>
  <c r="K149" i="1"/>
  <c r="K146" i="1"/>
  <c r="AH141" i="1"/>
  <c r="AJ141" i="1"/>
  <c r="AL141" i="1"/>
  <c r="AH139" i="1"/>
  <c r="AJ139" i="1"/>
  <c r="AL139" i="1"/>
  <c r="AH137" i="1"/>
  <c r="AJ137" i="1"/>
  <c r="AL137" i="1"/>
  <c r="AH135" i="1"/>
  <c r="AJ135" i="1"/>
  <c r="AL135" i="1"/>
  <c r="AH133" i="1"/>
  <c r="AJ133" i="1"/>
  <c r="AH131" i="1"/>
  <c r="AJ131" i="1"/>
  <c r="AH129" i="1"/>
  <c r="AJ129" i="1"/>
  <c r="AS128" i="1" s="1"/>
  <c r="AL129" i="1"/>
  <c r="K126" i="1"/>
  <c r="K123" i="1"/>
  <c r="K116" i="1"/>
  <c r="K114" i="1"/>
  <c r="K111" i="1"/>
  <c r="K107" i="1"/>
  <c r="AH102" i="1"/>
  <c r="AJ102" i="1"/>
  <c r="AS101" i="1" s="1"/>
  <c r="AL102" i="1"/>
  <c r="AU101" i="1" s="1"/>
  <c r="K99" i="1"/>
  <c r="K97" i="1" s="1"/>
  <c r="AJ87" i="1"/>
  <c r="AL87" i="1"/>
  <c r="AK87" i="1"/>
  <c r="AF84" i="1"/>
  <c r="AW84" i="1"/>
  <c r="AD84" i="1"/>
  <c r="AG74" i="1"/>
  <c r="K74" i="1"/>
  <c r="AF69" i="1"/>
  <c r="J69" i="1"/>
  <c r="AD69" i="1"/>
  <c r="AJ67" i="1"/>
  <c r="AS66" i="1" s="1"/>
  <c r="AL67" i="1"/>
  <c r="AK67" i="1"/>
  <c r="AG65" i="1"/>
  <c r="K65" i="1"/>
  <c r="AG60" i="1"/>
  <c r="K60" i="1"/>
  <c r="AJ51" i="1"/>
  <c r="AS50" i="1"/>
  <c r="AK51" i="1"/>
  <c r="AT50" i="1" s="1"/>
  <c r="AG49" i="1"/>
  <c r="K49" i="1"/>
  <c r="AG42" i="1"/>
  <c r="K42" i="1"/>
  <c r="AJ38" i="1"/>
  <c r="AK38" i="1"/>
  <c r="AG17" i="1"/>
  <c r="AE17" i="1"/>
  <c r="AX17" i="1"/>
  <c r="AF178" i="1"/>
  <c r="AG177" i="1"/>
  <c r="AE177" i="1"/>
  <c r="AF176" i="1"/>
  <c r="AD176" i="1"/>
  <c r="AG175" i="1"/>
  <c r="AF174" i="1"/>
  <c r="AG173" i="1"/>
  <c r="AF172" i="1"/>
  <c r="AG171" i="1"/>
  <c r="AF170" i="1"/>
  <c r="AG168" i="1"/>
  <c r="AE168" i="1"/>
  <c r="AF166" i="1"/>
  <c r="AD166" i="1"/>
  <c r="AG164" i="1"/>
  <c r="AF162" i="1"/>
  <c r="AE159" i="1"/>
  <c r="AD156" i="1"/>
  <c r="AG154" i="1"/>
  <c r="AE154" i="1"/>
  <c r="AF153" i="1"/>
  <c r="AD153" i="1"/>
  <c r="AG152" i="1"/>
  <c r="AE152" i="1"/>
  <c r="AF151" i="1"/>
  <c r="AD151" i="1"/>
  <c r="AG150" i="1"/>
  <c r="AE150" i="1"/>
  <c r="AF149" i="1"/>
  <c r="AD149" i="1"/>
  <c r="AG147" i="1"/>
  <c r="AE147" i="1"/>
  <c r="AF146" i="1"/>
  <c r="AD146" i="1"/>
  <c r="AG145" i="1"/>
  <c r="AE145" i="1"/>
  <c r="AF142" i="1"/>
  <c r="AD142" i="1"/>
  <c r="AG141" i="1"/>
  <c r="AE141" i="1"/>
  <c r="AF140" i="1"/>
  <c r="AD140" i="1"/>
  <c r="AG139" i="1"/>
  <c r="AE139" i="1"/>
  <c r="AF138" i="1"/>
  <c r="AD138" i="1"/>
  <c r="AG137" i="1"/>
  <c r="AE137" i="1"/>
  <c r="AF136" i="1"/>
  <c r="AD136" i="1"/>
  <c r="AG135" i="1"/>
  <c r="AE135" i="1"/>
  <c r="AF134" i="1"/>
  <c r="AD134" i="1"/>
  <c r="AG133" i="1"/>
  <c r="AE133" i="1"/>
  <c r="AF132" i="1"/>
  <c r="AD132" i="1"/>
  <c r="AG131" i="1"/>
  <c r="AE131" i="1"/>
  <c r="AF130" i="1"/>
  <c r="AD130" i="1"/>
  <c r="AG129" i="1"/>
  <c r="AE129" i="1"/>
  <c r="AF126" i="1"/>
  <c r="AD126" i="1"/>
  <c r="AG124" i="1"/>
  <c r="AE124" i="1"/>
  <c r="AF123" i="1"/>
  <c r="AD123" i="1"/>
  <c r="AG121" i="1"/>
  <c r="AE121" i="1"/>
  <c r="AF120" i="1"/>
  <c r="AD120" i="1"/>
  <c r="AG119" i="1"/>
  <c r="AE119" i="1"/>
  <c r="AF118" i="1"/>
  <c r="AD118" i="1"/>
  <c r="AG117" i="1"/>
  <c r="AE117" i="1"/>
  <c r="AF116" i="1"/>
  <c r="AD116" i="1"/>
  <c r="AG115" i="1"/>
  <c r="AE115" i="1"/>
  <c r="AF114" i="1"/>
  <c r="AD114" i="1"/>
  <c r="AG113" i="1"/>
  <c r="AE113" i="1"/>
  <c r="AF111" i="1"/>
  <c r="AD111" i="1"/>
  <c r="AG110" i="1"/>
  <c r="AE110" i="1"/>
  <c r="AF109" i="1"/>
  <c r="AD109" i="1"/>
  <c r="AG108" i="1"/>
  <c r="AE108" i="1"/>
  <c r="AF107" i="1"/>
  <c r="AD107" i="1"/>
  <c r="AG106" i="1"/>
  <c r="AE106" i="1"/>
  <c r="AF104" i="1"/>
  <c r="AD104" i="1"/>
  <c r="AG102" i="1"/>
  <c r="AE102" i="1"/>
  <c r="AF99" i="1"/>
  <c r="AD99" i="1"/>
  <c r="AG98" i="1"/>
  <c r="AE98" i="1"/>
  <c r="AF96" i="1"/>
  <c r="AD96" i="1"/>
  <c r="AG94" i="1"/>
  <c r="AE94" i="1"/>
  <c r="AH91" i="1"/>
  <c r="AF91" i="1"/>
  <c r="K88" i="1"/>
  <c r="K82" i="1"/>
  <c r="AH79" i="1"/>
  <c r="AJ79" i="1"/>
  <c r="AL79" i="1"/>
  <c r="AH75" i="1"/>
  <c r="AJ75" i="1"/>
  <c r="AL75" i="1"/>
  <c r="AH72" i="1"/>
  <c r="AJ72" i="1"/>
  <c r="AL72" i="1"/>
  <c r="K70" i="1"/>
  <c r="K68" i="1"/>
  <c r="AH64" i="1"/>
  <c r="AJ64" i="1"/>
  <c r="AL64" i="1"/>
  <c r="AH62" i="1"/>
  <c r="AJ62" i="1"/>
  <c r="AL62" i="1"/>
  <c r="AH58" i="1"/>
  <c r="AJ58" i="1"/>
  <c r="AL58" i="1"/>
  <c r="AH54" i="1"/>
  <c r="AJ54" i="1"/>
  <c r="AL54" i="1"/>
  <c r="K52" i="1"/>
  <c r="BC48" i="1"/>
  <c r="AH48" i="1"/>
  <c r="AJ48" i="1"/>
  <c r="AS47" i="1" s="1"/>
  <c r="AL48" i="1"/>
  <c r="K45" i="1"/>
  <c r="K44" i="1" s="1"/>
  <c r="AH43" i="1"/>
  <c r="AJ43" i="1"/>
  <c r="AL43" i="1"/>
  <c r="J41" i="1"/>
  <c r="AW41" i="1"/>
  <c r="BC41" i="1" s="1"/>
  <c r="AH41" i="1"/>
  <c r="AJ41" i="1"/>
  <c r="AL41" i="1"/>
  <c r="AJ40" i="1"/>
  <c r="AL40" i="1"/>
  <c r="AK40" i="1"/>
  <c r="AB38" i="1"/>
  <c r="AF38" i="1"/>
  <c r="AW38" i="1"/>
  <c r="J38" i="1"/>
  <c r="AD38" i="1"/>
  <c r="L36" i="1"/>
  <c r="AG32" i="1"/>
  <c r="K32" i="1"/>
  <c r="AG25" i="1"/>
  <c r="K25" i="1"/>
  <c r="AB22" i="1"/>
  <c r="AF22" i="1"/>
  <c r="AW22" i="1"/>
  <c r="BC22" i="1" s="1"/>
  <c r="J22" i="1"/>
  <c r="AD22" i="1"/>
  <c r="AJ20" i="1"/>
  <c r="AL20" i="1"/>
  <c r="AK20" i="1"/>
  <c r="AT14" i="1" s="1"/>
  <c r="AJ5" i="1"/>
  <c r="AS4" i="1" s="1"/>
  <c r="AL5" i="1"/>
  <c r="AU4" i="1" s="1"/>
  <c r="L4" i="1"/>
  <c r="AK5" i="1"/>
  <c r="AT4" i="1" s="1"/>
  <c r="AF88" i="1"/>
  <c r="AD88" i="1"/>
  <c r="AG87" i="1"/>
  <c r="AE87" i="1"/>
  <c r="AF86" i="1"/>
  <c r="AD86" i="1"/>
  <c r="AG84" i="1"/>
  <c r="AE84" i="1"/>
  <c r="AF82" i="1"/>
  <c r="AD82" i="1"/>
  <c r="AG79" i="1"/>
  <c r="AE79" i="1"/>
  <c r="AF77" i="1"/>
  <c r="AD77" i="1"/>
  <c r="AG75" i="1"/>
  <c r="AE75" i="1"/>
  <c r="AF74" i="1"/>
  <c r="AD74" i="1"/>
  <c r="AG72" i="1"/>
  <c r="AE72" i="1"/>
  <c r="AF70" i="1"/>
  <c r="AD70" i="1"/>
  <c r="AG69" i="1"/>
  <c r="AE69" i="1"/>
  <c r="AF68" i="1"/>
  <c r="AD68" i="1"/>
  <c r="AG67" i="1"/>
  <c r="AE67" i="1"/>
  <c r="AF65" i="1"/>
  <c r="AD65" i="1"/>
  <c r="AG64" i="1"/>
  <c r="AE64" i="1"/>
  <c r="AF63" i="1"/>
  <c r="AD63" i="1"/>
  <c r="AG62" i="1"/>
  <c r="AE62" i="1"/>
  <c r="AF60" i="1"/>
  <c r="AD60" i="1"/>
  <c r="AG58" i="1"/>
  <c r="AE58" i="1"/>
  <c r="AF56" i="1"/>
  <c r="AD56" i="1"/>
  <c r="AG54" i="1"/>
  <c r="AE54" i="1"/>
  <c r="AF52" i="1"/>
  <c r="AD52" i="1"/>
  <c r="AG51" i="1"/>
  <c r="AE51" i="1"/>
  <c r="AF49" i="1"/>
  <c r="AD49" i="1"/>
  <c r="AG48" i="1"/>
  <c r="AE48" i="1"/>
  <c r="AF45" i="1"/>
  <c r="AD45" i="1"/>
  <c r="AG43" i="1"/>
  <c r="AE43" i="1"/>
  <c r="AF42" i="1"/>
  <c r="AD42" i="1"/>
  <c r="AG41" i="1"/>
  <c r="AE41" i="1"/>
  <c r="K39" i="1"/>
  <c r="K37" i="1"/>
  <c r="AH35" i="1"/>
  <c r="AJ35" i="1"/>
  <c r="AL35" i="1"/>
  <c r="AH33" i="1"/>
  <c r="AJ33" i="1"/>
  <c r="AL33" i="1"/>
  <c r="BC30" i="1"/>
  <c r="AH30" i="1"/>
  <c r="AJ30" i="1"/>
  <c r="AL30" i="1"/>
  <c r="AH27" i="1"/>
  <c r="AJ27" i="1"/>
  <c r="AL27" i="1"/>
  <c r="L24" i="1"/>
  <c r="K21" i="1"/>
  <c r="AC18" i="1"/>
  <c r="AE18" i="1"/>
  <c r="AG18" i="1"/>
  <c r="AG15" i="1"/>
  <c r="K15" i="1"/>
  <c r="AF12" i="1"/>
  <c r="AW12" i="1"/>
  <c r="J12" i="1"/>
  <c r="J9" i="1" s="1"/>
  <c r="AD12" i="1"/>
  <c r="AJ10" i="1"/>
  <c r="AS9" i="1" s="1"/>
  <c r="AK10" i="1"/>
  <c r="AT9" i="1" s="1"/>
  <c r="AC7" i="1"/>
  <c r="AG7" i="1"/>
  <c r="K7" i="1"/>
  <c r="K6" i="1" s="1"/>
  <c r="AF5" i="1"/>
  <c r="AW5" i="1"/>
  <c r="J5" i="1"/>
  <c r="J4" i="1" s="1"/>
  <c r="AD5" i="1"/>
  <c r="AG40" i="1"/>
  <c r="AE40" i="1"/>
  <c r="AF39" i="1"/>
  <c r="AD39" i="1"/>
  <c r="AG38" i="1"/>
  <c r="AE38" i="1"/>
  <c r="AF37" i="1"/>
  <c r="AD37" i="1"/>
  <c r="AG35" i="1"/>
  <c r="AE35" i="1"/>
  <c r="AF34" i="1"/>
  <c r="AD34" i="1"/>
  <c r="AG33" i="1"/>
  <c r="AE33" i="1"/>
  <c r="AF32" i="1"/>
  <c r="AD32" i="1"/>
  <c r="AG30" i="1"/>
  <c r="AE30" i="1"/>
  <c r="AF28" i="1"/>
  <c r="AD28" i="1"/>
  <c r="AG27" i="1"/>
  <c r="AE27" i="1"/>
  <c r="AF25" i="1"/>
  <c r="AD25" i="1"/>
  <c r="AG22" i="1"/>
  <c r="AE22" i="1"/>
  <c r="AF21" i="1"/>
  <c r="AD21" i="1"/>
  <c r="AG20" i="1"/>
  <c r="AE20" i="1"/>
  <c r="AH18" i="1"/>
  <c r="AJ18" i="1"/>
  <c r="AH16" i="1"/>
  <c r="AJ16" i="1"/>
  <c r="AL16" i="1"/>
  <c r="AV15" i="1"/>
  <c r="K11" i="1"/>
  <c r="AF17" i="1"/>
  <c r="AD17" i="1"/>
  <c r="AG16" i="1"/>
  <c r="AE16" i="1"/>
  <c r="AF15" i="1"/>
  <c r="AD15" i="1"/>
  <c r="AG12" i="1"/>
  <c r="AE12" i="1"/>
  <c r="AF11" i="1"/>
  <c r="AD11" i="1"/>
  <c r="AG10" i="1"/>
  <c r="AE10" i="1"/>
  <c r="AF7" i="1"/>
  <c r="AD7" i="1"/>
  <c r="AG5" i="1"/>
  <c r="AE5" i="1"/>
  <c r="BC145" i="1"/>
  <c r="AV145" i="1"/>
  <c r="BC119" i="1"/>
  <c r="AV119" i="1"/>
  <c r="BC175" i="1"/>
  <c r="AV175" i="1"/>
  <c r="AV87" i="1"/>
  <c r="BC147" i="1"/>
  <c r="AV147" i="1"/>
  <c r="BC159" i="1"/>
  <c r="AV159" i="1"/>
  <c r="AC272" i="1"/>
  <c r="AG272" i="1"/>
  <c r="AE272" i="1"/>
  <c r="BI209" i="1" l="1"/>
  <c r="AE209" i="1" s="1"/>
  <c r="AX134" i="1"/>
  <c r="AU66" i="1"/>
  <c r="AU9" i="1"/>
  <c r="J118" i="1"/>
  <c r="K62" i="1"/>
  <c r="AX35" i="1"/>
  <c r="BC35" i="1" s="1"/>
  <c r="AW232" i="1"/>
  <c r="AV232" i="1" s="1"/>
  <c r="K227" i="1"/>
  <c r="BH32" i="1"/>
  <c r="AB32" i="1" s="1"/>
  <c r="BI237" i="1"/>
  <c r="AE237" i="1" s="1"/>
  <c r="BH235" i="1"/>
  <c r="AW210" i="1"/>
  <c r="AX141" i="1"/>
  <c r="BH107" i="1"/>
  <c r="AB107" i="1" s="1"/>
  <c r="BH88" i="1"/>
  <c r="AB88" i="1" s="1"/>
  <c r="AT71" i="1"/>
  <c r="K43" i="1"/>
  <c r="K40" i="1"/>
  <c r="BI33" i="1"/>
  <c r="AC33" i="1" s="1"/>
  <c r="BI21" i="1"/>
  <c r="AC21" i="1" s="1"/>
  <c r="AS230" i="1"/>
  <c r="AS241" i="1"/>
  <c r="BI48" i="1"/>
  <c r="AC48" i="1" s="1"/>
  <c r="AW32" i="1"/>
  <c r="AV32" i="1" s="1"/>
  <c r="J286" i="1"/>
  <c r="BI311" i="1"/>
  <c r="AE311" i="1" s="1"/>
  <c r="BI306" i="1"/>
  <c r="J265" i="1"/>
  <c r="BI259" i="1"/>
  <c r="AE259" i="1" s="1"/>
  <c r="BI229" i="1"/>
  <c r="J206" i="1"/>
  <c r="AU50" i="1"/>
  <c r="J35" i="1"/>
  <c r="AV41" i="1"/>
  <c r="J324" i="1"/>
  <c r="AW235" i="1"/>
  <c r="BH194" i="1"/>
  <c r="AD194" i="1" s="1"/>
  <c r="BH173" i="1"/>
  <c r="AD173" i="1" s="1"/>
  <c r="AW88" i="1"/>
  <c r="K58" i="1"/>
  <c r="AW52" i="1"/>
  <c r="AT230" i="1"/>
  <c r="BH260" i="1"/>
  <c r="AD260" i="1" s="1"/>
  <c r="AV250" i="1"/>
  <c r="K229" i="1"/>
  <c r="K199" i="1"/>
  <c r="AT161" i="1"/>
  <c r="BC33" i="1"/>
  <c r="BI22" i="1"/>
  <c r="AC22" i="1" s="1"/>
  <c r="BI277" i="1"/>
  <c r="AE277" i="1" s="1"/>
  <c r="AX276" i="1"/>
  <c r="AX133" i="1"/>
  <c r="L95" i="1"/>
  <c r="AU161" i="1"/>
  <c r="BH118" i="1"/>
  <c r="AB118" i="1" s="1"/>
  <c r="BI62" i="1"/>
  <c r="AC62" i="1" s="1"/>
  <c r="L44" i="1"/>
  <c r="AW28" i="1"/>
  <c r="BI269" i="1"/>
  <c r="AE269" i="1" s="1"/>
  <c r="BH261" i="1"/>
  <c r="AD261" i="1" s="1"/>
  <c r="AW208" i="1"/>
  <c r="AV208" i="1" s="1"/>
  <c r="AL91" i="1"/>
  <c r="AU90" i="1" s="1"/>
  <c r="BI69" i="1"/>
  <c r="AC69" i="1" s="1"/>
  <c r="BH35" i="1"/>
  <c r="AB35" i="1" s="1"/>
  <c r="K292" i="1"/>
  <c r="AW239" i="1"/>
  <c r="BI227" i="1"/>
  <c r="AE227" i="1" s="1"/>
  <c r="K145" i="1"/>
  <c r="J64" i="1"/>
  <c r="AV109" i="1"/>
  <c r="BC109" i="1"/>
  <c r="AV62" i="1"/>
  <c r="BC62" i="1"/>
  <c r="AU103" i="1"/>
  <c r="L14" i="1"/>
  <c r="L9" i="1"/>
  <c r="AW177" i="1"/>
  <c r="AS317" i="1"/>
  <c r="AW324" i="1"/>
  <c r="BH302" i="1"/>
  <c r="AD302" i="1" s="1"/>
  <c r="J299" i="1"/>
  <c r="AX279" i="1"/>
  <c r="BC253" i="1"/>
  <c r="AT236" i="1"/>
  <c r="AW223" i="1"/>
  <c r="BI156" i="1"/>
  <c r="AG156" i="1" s="1"/>
  <c r="AX140" i="1"/>
  <c r="K139" i="1"/>
  <c r="BI87" i="1"/>
  <c r="AC87" i="1" s="1"/>
  <c r="J86" i="1"/>
  <c r="AX70" i="1"/>
  <c r="J65" i="1"/>
  <c r="AX45" i="1"/>
  <c r="J34" i="1"/>
  <c r="K318" i="1"/>
  <c r="AW300" i="1"/>
  <c r="K279" i="1"/>
  <c r="AX268" i="1"/>
  <c r="BC268" i="1" s="1"/>
  <c r="J253" i="1"/>
  <c r="AX252" i="1"/>
  <c r="BC252" i="1" s="1"/>
  <c r="AW243" i="1"/>
  <c r="K194" i="1"/>
  <c r="AX11" i="1"/>
  <c r="L66" i="1"/>
  <c r="J227" i="1"/>
  <c r="AS14" i="1"/>
  <c r="BH286" i="1"/>
  <c r="AD286" i="1" s="1"/>
  <c r="AX244" i="1"/>
  <c r="BH203" i="1"/>
  <c r="AD203" i="1" s="1"/>
  <c r="AX198" i="1"/>
  <c r="J183" i="1"/>
  <c r="BI142" i="1"/>
  <c r="AC142" i="1" s="1"/>
  <c r="AW136" i="1"/>
  <c r="AV136" i="1" s="1"/>
  <c r="J114" i="1"/>
  <c r="K87" i="1"/>
  <c r="AW79" i="1"/>
  <c r="BC79" i="1" s="1"/>
  <c r="K48" i="1"/>
  <c r="AW37" i="1"/>
  <c r="K35" i="1"/>
  <c r="BC86" i="1"/>
  <c r="K47" i="1"/>
  <c r="AT66" i="1"/>
  <c r="J124" i="1"/>
  <c r="J298" i="1"/>
  <c r="BI295" i="1"/>
  <c r="AE295" i="1" s="1"/>
  <c r="BH288" i="1"/>
  <c r="K269" i="1"/>
  <c r="BH265" i="1"/>
  <c r="AD265" i="1" s="1"/>
  <c r="J239" i="1"/>
  <c r="AW238" i="1"/>
  <c r="BC238" i="1" s="1"/>
  <c r="BH214" i="1"/>
  <c r="AD214" i="1" s="1"/>
  <c r="BI168" i="1"/>
  <c r="J151" i="1"/>
  <c r="BH142" i="1"/>
  <c r="AB142" i="1" s="1"/>
  <c r="BH68" i="1"/>
  <c r="AB68" i="1" s="1"/>
  <c r="AX67" i="1"/>
  <c r="K86" i="1"/>
  <c r="K178" i="1"/>
  <c r="AW124" i="1"/>
  <c r="AX207" i="1"/>
  <c r="BH137" i="1"/>
  <c r="AB137" i="1" s="1"/>
  <c r="J136" i="1"/>
  <c r="K67" i="1"/>
  <c r="K54" i="1"/>
  <c r="J37" i="1"/>
  <c r="BC21" i="1"/>
  <c r="BH320" i="1"/>
  <c r="AD320" i="1" s="1"/>
  <c r="AX313" i="1"/>
  <c r="AW310" i="1"/>
  <c r="BH255" i="1"/>
  <c r="AD255" i="1" s="1"/>
  <c r="AX203" i="1"/>
  <c r="BI199" i="1"/>
  <c r="AE199" i="1" s="1"/>
  <c r="BI111" i="1"/>
  <c r="AC111" i="1" s="1"/>
  <c r="BI32" i="1"/>
  <c r="AC32" i="1" s="1"/>
  <c r="BI25" i="1"/>
  <c r="AC25" i="1" s="1"/>
  <c r="AT307" i="1"/>
  <c r="BH322" i="1"/>
  <c r="AD322" i="1" s="1"/>
  <c r="AW304" i="1"/>
  <c r="J300" i="1"/>
  <c r="AW281" i="1"/>
  <c r="BI271" i="1"/>
  <c r="AE271" i="1" s="1"/>
  <c r="AX265" i="1"/>
  <c r="BH240" i="1"/>
  <c r="AD240" i="1" s="1"/>
  <c r="AW214" i="1"/>
  <c r="BC214" i="1" s="1"/>
  <c r="K203" i="1"/>
  <c r="AW176" i="1"/>
  <c r="BC176" i="1" s="1"/>
  <c r="AW142" i="1"/>
  <c r="BH119" i="1"/>
  <c r="AB119" i="1" s="1"/>
  <c r="BH104" i="1"/>
  <c r="AB104" i="1" s="1"/>
  <c r="BH96" i="1"/>
  <c r="AB96" i="1" s="1"/>
  <c r="AW68" i="1"/>
  <c r="K22" i="1"/>
  <c r="K66" i="1"/>
  <c r="L50" i="1"/>
  <c r="AL328" i="1"/>
  <c r="J310" i="1"/>
  <c r="BI292" i="1"/>
  <c r="AE292" i="1" s="1"/>
  <c r="J288" i="1"/>
  <c r="K265" i="1"/>
  <c r="AV214" i="1"/>
  <c r="AX186" i="1"/>
  <c r="AW181" i="1"/>
  <c r="BC181" i="1" s="1"/>
  <c r="BI108" i="1"/>
  <c r="AC108" i="1" s="1"/>
  <c r="BI94" i="1"/>
  <c r="AC94" i="1" s="1"/>
  <c r="J79" i="1"/>
  <c r="BI75" i="1"/>
  <c r="AC75" i="1" s="1"/>
  <c r="K109" i="1"/>
  <c r="AT189" i="1"/>
  <c r="BI315" i="1"/>
  <c r="AE315" i="1" s="1"/>
  <c r="K261" i="1"/>
  <c r="BC250" i="1"/>
  <c r="BH228" i="1"/>
  <c r="AD228" i="1" s="1"/>
  <c r="AW137" i="1"/>
  <c r="AU24" i="1"/>
  <c r="J205" i="1"/>
  <c r="BH120" i="1"/>
  <c r="AB120" i="1" s="1"/>
  <c r="BI109" i="1"/>
  <c r="AC109" i="1" s="1"/>
  <c r="AW96" i="1"/>
  <c r="AU53" i="1"/>
  <c r="AS71" i="1"/>
  <c r="J322" i="1"/>
  <c r="AV233" i="1"/>
  <c r="BI178" i="1"/>
  <c r="AE178" i="1" s="1"/>
  <c r="AW130" i="1"/>
  <c r="AX96" i="1"/>
  <c r="BH86" i="1"/>
  <c r="AB86" i="1" s="1"/>
  <c r="BI77" i="1"/>
  <c r="AC77" i="1" s="1"/>
  <c r="K41" i="1"/>
  <c r="BC32" i="1"/>
  <c r="BH299" i="1"/>
  <c r="AD299" i="1" s="1"/>
  <c r="BI293" i="1"/>
  <c r="AE293" i="1" s="1"/>
  <c r="BI252" i="1"/>
  <c r="AE252" i="1" s="1"/>
  <c r="AW228" i="1"/>
  <c r="AX94" i="1"/>
  <c r="BH65" i="1"/>
  <c r="AB65" i="1" s="1"/>
  <c r="K50" i="1"/>
  <c r="L47" i="1"/>
  <c r="K315" i="1"/>
  <c r="AX196" i="1"/>
  <c r="BC196" i="1" s="1"/>
  <c r="AW183" i="1"/>
  <c r="AT128" i="1"/>
  <c r="AS36" i="1"/>
  <c r="K34" i="1"/>
  <c r="BI318" i="1"/>
  <c r="AE318" i="1" s="1"/>
  <c r="AW298" i="1"/>
  <c r="BH282" i="1"/>
  <c r="AD282" i="1" s="1"/>
  <c r="AW277" i="1"/>
  <c r="AX256" i="1"/>
  <c r="AV256" i="1" s="1"/>
  <c r="K223" i="1"/>
  <c r="AW205" i="1"/>
  <c r="BH202" i="1"/>
  <c r="AD202" i="1" s="1"/>
  <c r="J181" i="1"/>
  <c r="BH146" i="1"/>
  <c r="J120" i="1"/>
  <c r="BI98" i="1"/>
  <c r="AC98" i="1" s="1"/>
  <c r="AX77" i="1"/>
  <c r="AX58" i="1"/>
  <c r="AW34" i="1"/>
  <c r="AV34" i="1" s="1"/>
  <c r="BI20" i="1"/>
  <c r="AC20" i="1" s="1"/>
  <c r="BC209" i="1"/>
  <c r="AV209" i="1"/>
  <c r="AT81" i="1"/>
  <c r="AT249" i="1"/>
  <c r="BC290" i="1"/>
  <c r="AW295" i="1"/>
  <c r="BH262" i="1"/>
  <c r="AD262" i="1" s="1"/>
  <c r="AW262" i="1"/>
  <c r="AX212" i="1"/>
  <c r="BI212" i="1"/>
  <c r="AE212" i="1" s="1"/>
  <c r="K212" i="1"/>
  <c r="K205" i="1"/>
  <c r="BH199" i="1"/>
  <c r="AD199" i="1" s="1"/>
  <c r="AW199" i="1"/>
  <c r="BC199" i="1" s="1"/>
  <c r="J185" i="1"/>
  <c r="AW185" i="1"/>
  <c r="J180" i="1"/>
  <c r="AW180" i="1"/>
  <c r="BH180" i="1"/>
  <c r="AD180" i="1" s="1"/>
  <c r="AW70" i="1"/>
  <c r="J70" i="1"/>
  <c r="J66" i="1" s="1"/>
  <c r="BH70" i="1"/>
  <c r="AB70" i="1" s="1"/>
  <c r="AU36" i="1"/>
  <c r="AW25" i="1"/>
  <c r="BH25" i="1"/>
  <c r="AB25" i="1" s="1"/>
  <c r="BC15" i="1"/>
  <c r="AU317" i="1"/>
  <c r="AW245" i="1"/>
  <c r="J245" i="1"/>
  <c r="AX226" i="1"/>
  <c r="BI226" i="1"/>
  <c r="AE226" i="1" s="1"/>
  <c r="AW225" i="1"/>
  <c r="J225" i="1"/>
  <c r="AV181" i="1"/>
  <c r="AX171" i="1"/>
  <c r="AS161" i="1"/>
  <c r="AW153" i="1"/>
  <c r="J153" i="1"/>
  <c r="BH153" i="1"/>
  <c r="J149" i="1"/>
  <c r="BH149" i="1"/>
  <c r="BH110" i="1"/>
  <c r="AB110" i="1" s="1"/>
  <c r="AW110" i="1"/>
  <c r="BI107" i="1"/>
  <c r="AC107" i="1" s="1"/>
  <c r="AX107" i="1"/>
  <c r="K328" i="1"/>
  <c r="BI328" i="1"/>
  <c r="AE328" i="1" s="1"/>
  <c r="AX316" i="1"/>
  <c r="K316" i="1"/>
  <c r="BI316" i="1"/>
  <c r="AX288" i="1"/>
  <c r="AV288" i="1" s="1"/>
  <c r="BI288" i="1"/>
  <c r="BI273" i="1"/>
  <c r="AE273" i="1" s="1"/>
  <c r="AX273" i="1"/>
  <c r="AV273" i="1" s="1"/>
  <c r="AX251" i="1"/>
  <c r="K251" i="1"/>
  <c r="K192" i="1"/>
  <c r="AX192" i="1"/>
  <c r="K171" i="1"/>
  <c r="BI138" i="1"/>
  <c r="AC138" i="1" s="1"/>
  <c r="AX138" i="1"/>
  <c r="K138" i="1"/>
  <c r="BH133" i="1"/>
  <c r="AB133" i="1" s="1"/>
  <c r="AW133" i="1"/>
  <c r="AW99" i="1"/>
  <c r="J99" i="1"/>
  <c r="J97" i="1" s="1"/>
  <c r="BH99" i="1"/>
  <c r="AB99" i="1" s="1"/>
  <c r="AV88" i="1"/>
  <c r="BC88" i="1"/>
  <c r="AT53" i="1"/>
  <c r="J186" i="1"/>
  <c r="AW186" i="1"/>
  <c r="AV186" i="1" s="1"/>
  <c r="BI172" i="1"/>
  <c r="AE172" i="1" s="1"/>
  <c r="K172" i="1"/>
  <c r="AS144" i="1"/>
  <c r="K222" i="1"/>
  <c r="K297" i="1"/>
  <c r="AW312" i="1"/>
  <c r="BI298" i="1"/>
  <c r="AE298" i="1" s="1"/>
  <c r="AX298" i="1"/>
  <c r="BC298" i="1" s="1"/>
  <c r="BI290" i="1"/>
  <c r="AE290" i="1" s="1"/>
  <c r="K290" i="1"/>
  <c r="BC232" i="1"/>
  <c r="K201" i="1"/>
  <c r="BI201" i="1"/>
  <c r="AE201" i="1" s="1"/>
  <c r="J196" i="1"/>
  <c r="BH196" i="1"/>
  <c r="AD196" i="1" s="1"/>
  <c r="BH151" i="1"/>
  <c r="AX74" i="1"/>
  <c r="BI74" i="1"/>
  <c r="AC74" i="1" s="1"/>
  <c r="BH27" i="1"/>
  <c r="AB27" i="1" s="1"/>
  <c r="J27" i="1"/>
  <c r="BH263" i="1"/>
  <c r="AD263" i="1" s="1"/>
  <c r="AW263" i="1"/>
  <c r="BI257" i="1"/>
  <c r="K257" i="1"/>
  <c r="K115" i="1"/>
  <c r="AX115" i="1"/>
  <c r="BI115" i="1"/>
  <c r="AC115" i="1" s="1"/>
  <c r="J254" i="1"/>
  <c r="K91" i="1"/>
  <c r="K90" i="1" s="1"/>
  <c r="K319" i="1"/>
  <c r="AW311" i="1"/>
  <c r="J311" i="1"/>
  <c r="AU307" i="1"/>
  <c r="BI219" i="1"/>
  <c r="AE219" i="1" s="1"/>
  <c r="AW217" i="1"/>
  <c r="BH217" i="1"/>
  <c r="AD217" i="1" s="1"/>
  <c r="BI202" i="1"/>
  <c r="AE202" i="1" s="1"/>
  <c r="AX202" i="1"/>
  <c r="BC201" i="1"/>
  <c r="AW172" i="1"/>
  <c r="BH172" i="1"/>
  <c r="AD172" i="1" s="1"/>
  <c r="AX120" i="1"/>
  <c r="AV120" i="1" s="1"/>
  <c r="K120" i="1"/>
  <c r="AW54" i="1"/>
  <c r="J54" i="1"/>
  <c r="AW45" i="1"/>
  <c r="BH45" i="1"/>
  <c r="AB45" i="1" s="1"/>
  <c r="AX16" i="1"/>
  <c r="K16" i="1"/>
  <c r="BI16" i="1"/>
  <c r="AC16" i="1" s="1"/>
  <c r="BH297" i="1"/>
  <c r="AD297" i="1" s="1"/>
  <c r="AW297" i="1"/>
  <c r="AV20" i="1"/>
  <c r="AS53" i="1"/>
  <c r="L307" i="1"/>
  <c r="AX299" i="1"/>
  <c r="AV299" i="1" s="1"/>
  <c r="BI299" i="1"/>
  <c r="AE299" i="1" s="1"/>
  <c r="J295" i="1"/>
  <c r="J259" i="1"/>
  <c r="AW259" i="1"/>
  <c r="BH259" i="1"/>
  <c r="AD259" i="1" s="1"/>
  <c r="L236" i="1"/>
  <c r="BH201" i="1"/>
  <c r="AD201" i="1" s="1"/>
  <c r="J201" i="1"/>
  <c r="AX154" i="1"/>
  <c r="BI154" i="1"/>
  <c r="AX124" i="1"/>
  <c r="BI124" i="1"/>
  <c r="AC124" i="1" s="1"/>
  <c r="AX104" i="1"/>
  <c r="K104" i="1"/>
  <c r="BI104" i="1"/>
  <c r="AC104" i="1" s="1"/>
  <c r="AW16" i="1"/>
  <c r="BH16" i="1"/>
  <c r="AB16" i="1" s="1"/>
  <c r="J16" i="1"/>
  <c r="BI324" i="1"/>
  <c r="AE324" i="1" s="1"/>
  <c r="AX324" i="1"/>
  <c r="BH315" i="1"/>
  <c r="AD315" i="1" s="1"/>
  <c r="J315" i="1"/>
  <c r="J251" i="1"/>
  <c r="BH251" i="1"/>
  <c r="AD251" i="1" s="1"/>
  <c r="J192" i="1"/>
  <c r="AW192" i="1"/>
  <c r="AU14" i="1"/>
  <c r="AT169" i="1"/>
  <c r="AS189" i="1"/>
  <c r="AU325" i="1"/>
  <c r="AT317" i="1"/>
  <c r="AX300" i="1"/>
  <c r="BC300" i="1" s="1"/>
  <c r="BI300" i="1"/>
  <c r="AE300" i="1" s="1"/>
  <c r="AL281" i="1"/>
  <c r="AU280" i="1" s="1"/>
  <c r="L280" i="1"/>
  <c r="AX275" i="1"/>
  <c r="K275" i="1"/>
  <c r="AX264" i="1"/>
  <c r="K264" i="1"/>
  <c r="BI264" i="1"/>
  <c r="AE264" i="1" s="1"/>
  <c r="AX228" i="1"/>
  <c r="BC228" i="1" s="1"/>
  <c r="BI228" i="1"/>
  <c r="AE228" i="1" s="1"/>
  <c r="K228" i="1"/>
  <c r="BH218" i="1"/>
  <c r="AD218" i="1" s="1"/>
  <c r="J218" i="1"/>
  <c r="AW182" i="1"/>
  <c r="BH182" i="1"/>
  <c r="AD182" i="1" s="1"/>
  <c r="BH154" i="1"/>
  <c r="AW154" i="1"/>
  <c r="AW139" i="1"/>
  <c r="BI131" i="1"/>
  <c r="AC131" i="1" s="1"/>
  <c r="K131" i="1"/>
  <c r="J116" i="1"/>
  <c r="AW116" i="1"/>
  <c r="BH116" i="1"/>
  <c r="AB116" i="1" s="1"/>
  <c r="BH75" i="1"/>
  <c r="AB75" i="1" s="1"/>
  <c r="J63" i="1"/>
  <c r="BH63" i="1"/>
  <c r="AB63" i="1" s="1"/>
  <c r="BH62" i="1"/>
  <c r="AB62" i="1" s="1"/>
  <c r="J62" i="1"/>
  <c r="BI56" i="1"/>
  <c r="AC56" i="1" s="1"/>
  <c r="AX56" i="1"/>
  <c r="AV56" i="1" s="1"/>
  <c r="J306" i="1"/>
  <c r="AW306" i="1"/>
  <c r="BC306" i="1" s="1"/>
  <c r="J263" i="1"/>
  <c r="J242" i="1"/>
  <c r="BH242" i="1"/>
  <c r="AD242" i="1" s="1"/>
  <c r="AW49" i="1"/>
  <c r="BH49" i="1"/>
  <c r="AB49" i="1" s="1"/>
  <c r="AV176" i="1"/>
  <c r="BI326" i="1"/>
  <c r="AE326" i="1" s="1"/>
  <c r="K326" i="1"/>
  <c r="AX326" i="1"/>
  <c r="BC276" i="1"/>
  <c r="AX260" i="1"/>
  <c r="K260" i="1"/>
  <c r="AX219" i="1"/>
  <c r="AL49" i="1"/>
  <c r="AU47" i="1" s="1"/>
  <c r="J270" i="1"/>
  <c r="AW270" i="1"/>
  <c r="BC270" i="1" s="1"/>
  <c r="BH254" i="1"/>
  <c r="AD254" i="1" s="1"/>
  <c r="J224" i="1"/>
  <c r="BH224" i="1"/>
  <c r="AD224" i="1" s="1"/>
  <c r="AX173" i="1"/>
  <c r="K173" i="1"/>
  <c r="AW156" i="1"/>
  <c r="BH156" i="1"/>
  <c r="AF156" i="1" s="1"/>
  <c r="BI132" i="1"/>
  <c r="AC132" i="1" s="1"/>
  <c r="AX132" i="1"/>
  <c r="K132" i="1"/>
  <c r="BH84" i="1"/>
  <c r="AB84" i="1" s="1"/>
  <c r="J84" i="1"/>
  <c r="BI17" i="1"/>
  <c r="AC17" i="1" s="1"/>
  <c r="K17" i="1"/>
  <c r="AV22" i="1"/>
  <c r="K312" i="1"/>
  <c r="AW220" i="1"/>
  <c r="J220" i="1"/>
  <c r="AW219" i="1"/>
  <c r="BC219" i="1" s="1"/>
  <c r="BI204" i="1"/>
  <c r="AE204" i="1" s="1"/>
  <c r="K204" i="1"/>
  <c r="BH178" i="1"/>
  <c r="AD178" i="1" s="1"/>
  <c r="AW178" i="1"/>
  <c r="BI174" i="1"/>
  <c r="AE174" i="1" s="1"/>
  <c r="AX174" i="1"/>
  <c r="AW132" i="1"/>
  <c r="BH132" i="1"/>
  <c r="AB132" i="1" s="1"/>
  <c r="AU128" i="1"/>
  <c r="AX117" i="1"/>
  <c r="BC117" i="1" s="1"/>
  <c r="J17" i="1"/>
  <c r="AW17" i="1"/>
  <c r="AV121" i="1"/>
  <c r="K288" i="1"/>
  <c r="J327" i="1"/>
  <c r="AW327" i="1"/>
  <c r="AV327" i="1" s="1"/>
  <c r="BH327" i="1"/>
  <c r="AD327" i="1" s="1"/>
  <c r="K320" i="1"/>
  <c r="AX320" i="1"/>
  <c r="K308" i="1"/>
  <c r="BI308" i="1"/>
  <c r="AE308" i="1" s="1"/>
  <c r="BI303" i="1"/>
  <c r="AE303" i="1" s="1"/>
  <c r="K303" i="1"/>
  <c r="K284" i="1"/>
  <c r="AX284" i="1"/>
  <c r="AX282" i="1"/>
  <c r="J276" i="1"/>
  <c r="BH276" i="1"/>
  <c r="AD276" i="1" s="1"/>
  <c r="AW271" i="1"/>
  <c r="J271" i="1"/>
  <c r="K248" i="1"/>
  <c r="AX248" i="1"/>
  <c r="BH245" i="1"/>
  <c r="AD245" i="1" s="1"/>
  <c r="K215" i="1"/>
  <c r="AX215" i="1"/>
  <c r="AV215" i="1" s="1"/>
  <c r="BI215" i="1"/>
  <c r="AE215" i="1" s="1"/>
  <c r="BI205" i="1"/>
  <c r="AE205" i="1" s="1"/>
  <c r="BH185" i="1"/>
  <c r="AD185" i="1" s="1"/>
  <c r="BH174" i="1"/>
  <c r="AD174" i="1" s="1"/>
  <c r="AW174" i="1"/>
  <c r="J170" i="1"/>
  <c r="AW170" i="1"/>
  <c r="BH170" i="1"/>
  <c r="AD170" i="1" s="1"/>
  <c r="BC142" i="1"/>
  <c r="AV142" i="1"/>
  <c r="AL94" i="1"/>
  <c r="AU93" i="1" s="1"/>
  <c r="L93" i="1"/>
  <c r="BH69" i="1"/>
  <c r="AB69" i="1" s="1"/>
  <c r="AW69" i="1"/>
  <c r="BC69" i="1" s="1"/>
  <c r="AX51" i="1"/>
  <c r="BI51" i="1"/>
  <c r="AC51" i="1" s="1"/>
  <c r="BI15" i="1"/>
  <c r="AC15" i="1" s="1"/>
  <c r="K53" i="1"/>
  <c r="J236" i="1"/>
  <c r="AS258" i="1"/>
  <c r="AV276" i="1"/>
  <c r="AU289" i="1"/>
  <c r="AX322" i="1"/>
  <c r="BI322" i="1"/>
  <c r="AE322" i="1" s="1"/>
  <c r="K322" i="1"/>
  <c r="AW313" i="1"/>
  <c r="BC313" i="1" s="1"/>
  <c r="BH313" i="1"/>
  <c r="AD313" i="1" s="1"/>
  <c r="J313" i="1"/>
  <c r="AX310" i="1"/>
  <c r="BC310" i="1" s="1"/>
  <c r="BI310" i="1"/>
  <c r="AE310" i="1" s="1"/>
  <c r="K310" i="1"/>
  <c r="AX294" i="1"/>
  <c r="BI294" i="1"/>
  <c r="AE294" i="1" s="1"/>
  <c r="K282" i="1"/>
  <c r="BC279" i="1"/>
  <c r="BI278" i="1"/>
  <c r="AE278" i="1" s="1"/>
  <c r="K278" i="1"/>
  <c r="AX255" i="1"/>
  <c r="BI251" i="1"/>
  <c r="AE251" i="1" s="1"/>
  <c r="AV238" i="1"/>
  <c r="BH206" i="1"/>
  <c r="AD206" i="1" s="1"/>
  <c r="BI192" i="1"/>
  <c r="AE192" i="1" s="1"/>
  <c r="BH184" i="1"/>
  <c r="AD184" i="1" s="1"/>
  <c r="J184" i="1"/>
  <c r="BH147" i="1"/>
  <c r="J147" i="1"/>
  <c r="BH141" i="1"/>
  <c r="AB141" i="1" s="1"/>
  <c r="J141" i="1"/>
  <c r="AW141" i="1"/>
  <c r="BI110" i="1"/>
  <c r="AC110" i="1" s="1"/>
  <c r="L103" i="1"/>
  <c r="BH77" i="1"/>
  <c r="AB77" i="1" s="1"/>
  <c r="AW77" i="1"/>
  <c r="BH51" i="1"/>
  <c r="AB51" i="1" s="1"/>
  <c r="AW51" i="1"/>
  <c r="AS24" i="1"/>
  <c r="J294" i="1"/>
  <c r="AW294" i="1"/>
  <c r="BC294" i="1" s="1"/>
  <c r="BH294" i="1"/>
  <c r="AD294" i="1" s="1"/>
  <c r="BH209" i="1"/>
  <c r="AD209" i="1" s="1"/>
  <c r="J209" i="1"/>
  <c r="BH186" i="1"/>
  <c r="AD186" i="1" s="1"/>
  <c r="BI118" i="1"/>
  <c r="AC118" i="1" s="1"/>
  <c r="K118" i="1"/>
  <c r="AX323" i="1"/>
  <c r="BI267" i="1"/>
  <c r="AE267" i="1" s="1"/>
  <c r="AX267" i="1"/>
  <c r="BC267" i="1" s="1"/>
  <c r="BH257" i="1"/>
  <c r="BH256" i="1"/>
  <c r="AD256" i="1" s="1"/>
  <c r="AT241" i="1"/>
  <c r="L241" i="1"/>
  <c r="BI222" i="1"/>
  <c r="AE222" i="1" s="1"/>
  <c r="K211" i="1"/>
  <c r="AX211" i="1"/>
  <c r="BH192" i="1"/>
  <c r="AD192" i="1" s="1"/>
  <c r="BI180" i="1"/>
  <c r="AE180" i="1" s="1"/>
  <c r="AX180" i="1"/>
  <c r="BH162" i="1"/>
  <c r="AD162" i="1" s="1"/>
  <c r="J162" i="1"/>
  <c r="BI119" i="1"/>
  <c r="AC119" i="1" s="1"/>
  <c r="BI91" i="1"/>
  <c r="AC91" i="1" s="1"/>
  <c r="BH58" i="1"/>
  <c r="AB58" i="1" s="1"/>
  <c r="AW58" i="1"/>
  <c r="AX52" i="1"/>
  <c r="AV52" i="1" s="1"/>
  <c r="J25" i="1"/>
  <c r="AT36" i="1"/>
  <c r="BC34" i="1"/>
  <c r="AS289" i="1"/>
  <c r="BH277" i="1"/>
  <c r="AD277" i="1" s="1"/>
  <c r="AV196" i="1"/>
  <c r="BI176" i="1"/>
  <c r="AE176" i="1" s="1"/>
  <c r="BI146" i="1"/>
  <c r="BI136" i="1"/>
  <c r="AC136" i="1" s="1"/>
  <c r="AW111" i="1"/>
  <c r="AW107" i="1"/>
  <c r="AV107" i="1" s="1"/>
  <c r="BH11" i="1"/>
  <c r="AB11" i="1" s="1"/>
  <c r="AS81" i="1"/>
  <c r="AT325" i="1"/>
  <c r="L317" i="1"/>
  <c r="BI286" i="1"/>
  <c r="AE286" i="1" s="1"/>
  <c r="BI250" i="1"/>
  <c r="AE250" i="1" s="1"/>
  <c r="BH232" i="1"/>
  <c r="AD232" i="1" s="1"/>
  <c r="BH231" i="1"/>
  <c r="AD231" i="1" s="1"/>
  <c r="BI223" i="1"/>
  <c r="AE223" i="1" s="1"/>
  <c r="BH197" i="1"/>
  <c r="AD197" i="1" s="1"/>
  <c r="BI175" i="1"/>
  <c r="AE175" i="1" s="1"/>
  <c r="BH135" i="1"/>
  <c r="AB135" i="1" s="1"/>
  <c r="BH129" i="1"/>
  <c r="AB129" i="1" s="1"/>
  <c r="BI121" i="1"/>
  <c r="AC121" i="1" s="1"/>
  <c r="BI113" i="1"/>
  <c r="AC113" i="1" s="1"/>
  <c r="AX40" i="1"/>
  <c r="BC40" i="1" s="1"/>
  <c r="BH33" i="1"/>
  <c r="AB33" i="1" s="1"/>
  <c r="BI30" i="1"/>
  <c r="AC30" i="1" s="1"/>
  <c r="AX18" i="1"/>
  <c r="BC18" i="1" s="1"/>
  <c r="AT144" i="1"/>
  <c r="AS307" i="1"/>
  <c r="AW260" i="1"/>
  <c r="BC260" i="1" s="1"/>
  <c r="J230" i="1"/>
  <c r="K197" i="1"/>
  <c r="K175" i="1"/>
  <c r="L155" i="1"/>
  <c r="L330" i="1" s="1"/>
  <c r="AW135" i="1"/>
  <c r="AW129" i="1"/>
  <c r="K121" i="1"/>
  <c r="AX113" i="1"/>
  <c r="AV113" i="1" s="1"/>
  <c r="AX82" i="1"/>
  <c r="L53" i="1"/>
  <c r="K30" i="1"/>
  <c r="BC194" i="1"/>
  <c r="AV79" i="1"/>
  <c r="AV33" i="1"/>
  <c r="AT258" i="1"/>
  <c r="BC233" i="1"/>
  <c r="AV30" i="1"/>
  <c r="AS97" i="1"/>
  <c r="K166" i="1"/>
  <c r="AV223" i="1"/>
  <c r="AX98" i="1"/>
  <c r="AX69" i="1"/>
  <c r="AX38" i="1"/>
  <c r="BC38" i="1" s="1"/>
  <c r="K20" i="1"/>
  <c r="AW7" i="1"/>
  <c r="AS103" i="1"/>
  <c r="BC327" i="1"/>
  <c r="K293" i="1"/>
  <c r="K289" i="1" s="1"/>
  <c r="AT289" i="1"/>
  <c r="AV253" i="1"/>
  <c r="AX246" i="1"/>
  <c r="J237" i="1"/>
  <c r="K147" i="1"/>
  <c r="AW138" i="1"/>
  <c r="AW104" i="1"/>
  <c r="J91" i="1"/>
  <c r="J90" i="1" s="1"/>
  <c r="K38" i="1"/>
  <c r="K36" i="1" s="1"/>
  <c r="AW316" i="1"/>
  <c r="AU241" i="1"/>
  <c r="AT103" i="1"/>
  <c r="J305" i="1"/>
  <c r="J279" i="1"/>
  <c r="BH264" i="1"/>
  <c r="AD264" i="1" s="1"/>
  <c r="BH64" i="1"/>
  <c r="AB64" i="1" s="1"/>
  <c r="BC299" i="1"/>
  <c r="BC324" i="1"/>
  <c r="AV324" i="1"/>
  <c r="BC274" i="1"/>
  <c r="AV274" i="1"/>
  <c r="AV265" i="1"/>
  <c r="BC265" i="1"/>
  <c r="AL253" i="1"/>
  <c r="AU249" i="1" s="1"/>
  <c r="L249" i="1"/>
  <c r="AL84" i="1"/>
  <c r="AU81" i="1" s="1"/>
  <c r="L81" i="1"/>
  <c r="BC320" i="1"/>
  <c r="AV320" i="1"/>
  <c r="AX126" i="1"/>
  <c r="BI126" i="1"/>
  <c r="AC126" i="1" s="1"/>
  <c r="AV118" i="1"/>
  <c r="BC118" i="1"/>
  <c r="K305" i="1"/>
  <c r="AX305" i="1"/>
  <c r="BC305" i="1" s="1"/>
  <c r="BI305" i="1"/>
  <c r="AE305" i="1" s="1"/>
  <c r="AV284" i="1"/>
  <c r="BC284" i="1"/>
  <c r="AW275" i="1"/>
  <c r="BH275" i="1"/>
  <c r="AD275" i="1" s="1"/>
  <c r="J275" i="1"/>
  <c r="AW221" i="1"/>
  <c r="BH221" i="1"/>
  <c r="AD221" i="1" s="1"/>
  <c r="J221" i="1"/>
  <c r="AS249" i="1"/>
  <c r="BC240" i="1"/>
  <c r="AV240" i="1"/>
  <c r="BC282" i="1"/>
  <c r="AV282" i="1"/>
  <c r="J248" i="1"/>
  <c r="AW248" i="1"/>
  <c r="BH248" i="1"/>
  <c r="BH222" i="1"/>
  <c r="AD222" i="1" s="1"/>
  <c r="J222" i="1"/>
  <c r="AW222" i="1"/>
  <c r="AL183" i="1"/>
  <c r="AU169" i="1" s="1"/>
  <c r="L169" i="1"/>
  <c r="J314" i="1"/>
  <c r="AW314" i="1"/>
  <c r="BH314" i="1"/>
  <c r="AD314" i="1" s="1"/>
  <c r="AV279" i="1"/>
  <c r="AV268" i="1"/>
  <c r="BC251" i="1"/>
  <c r="AV251" i="1"/>
  <c r="AW229" i="1"/>
  <c r="J229" i="1"/>
  <c r="BH229" i="1"/>
  <c r="K187" i="1"/>
  <c r="AX187" i="1"/>
  <c r="BI187" i="1"/>
  <c r="AE187" i="1" s="1"/>
  <c r="J198" i="1"/>
  <c r="AW198" i="1"/>
  <c r="BH198" i="1"/>
  <c r="AD198" i="1" s="1"/>
  <c r="BC292" i="1"/>
  <c r="AV292" i="1"/>
  <c r="AV286" i="1"/>
  <c r="AW269" i="1"/>
  <c r="BH269" i="1"/>
  <c r="AD269" i="1" s="1"/>
  <c r="J269" i="1"/>
  <c r="AL205" i="1"/>
  <c r="AU189" i="1" s="1"/>
  <c r="L189" i="1"/>
  <c r="BC315" i="1"/>
  <c r="AV315" i="1"/>
  <c r="AW293" i="1"/>
  <c r="BH293" i="1"/>
  <c r="AD293" i="1" s="1"/>
  <c r="J293" i="1"/>
  <c r="AW328" i="1"/>
  <c r="J328" i="1"/>
  <c r="BH328" i="1"/>
  <c r="AD328" i="1" s="1"/>
  <c r="AG281" i="1"/>
  <c r="AE281" i="1"/>
  <c r="K263" i="1"/>
  <c r="AX263" i="1"/>
  <c r="BC263" i="1" s="1"/>
  <c r="BI263" i="1"/>
  <c r="AE263" i="1" s="1"/>
  <c r="J319" i="1"/>
  <c r="AW319" i="1"/>
  <c r="BH319" i="1"/>
  <c r="AD319" i="1" s="1"/>
  <c r="L289" i="1"/>
  <c r="AL260" i="1"/>
  <c r="AU258" i="1" s="1"/>
  <c r="L258" i="1"/>
  <c r="K225" i="1"/>
  <c r="BI225" i="1"/>
  <c r="AE225" i="1" s="1"/>
  <c r="AX225" i="1"/>
  <c r="BC225" i="1" s="1"/>
  <c r="AW308" i="1"/>
  <c r="J308" i="1"/>
  <c r="BH308" i="1"/>
  <c r="AD308" i="1" s="1"/>
  <c r="AL232" i="1"/>
  <c r="AU230" i="1" s="1"/>
  <c r="L230" i="1"/>
  <c r="AV322" i="1"/>
  <c r="BC322" i="1"/>
  <c r="K247" i="1"/>
  <c r="K241" i="1" s="1"/>
  <c r="AX247" i="1"/>
  <c r="BI247" i="1"/>
  <c r="AE247" i="1" s="1"/>
  <c r="AV228" i="1"/>
  <c r="BH266" i="1"/>
  <c r="AD266" i="1" s="1"/>
  <c r="BI260" i="1"/>
  <c r="AE260" i="1" s="1"/>
  <c r="AW247" i="1"/>
  <c r="BH247" i="1"/>
  <c r="AD247" i="1" s="1"/>
  <c r="AW187" i="1"/>
  <c r="BH187" i="1"/>
  <c r="AD187" i="1" s="1"/>
  <c r="J187" i="1"/>
  <c r="K164" i="1"/>
  <c r="K161" i="1" s="1"/>
  <c r="AX164" i="1"/>
  <c r="BI164" i="1"/>
  <c r="AE164" i="1" s="1"/>
  <c r="J134" i="1"/>
  <c r="AW134" i="1"/>
  <c r="BH134" i="1"/>
  <c r="AB134" i="1" s="1"/>
  <c r="J126" i="1"/>
  <c r="AW126" i="1"/>
  <c r="BH126" i="1"/>
  <c r="AB126" i="1" s="1"/>
  <c r="J320" i="1"/>
  <c r="AW318" i="1"/>
  <c r="K313" i="1"/>
  <c r="AX312" i="1"/>
  <c r="BH311" i="1"/>
  <c r="AD311" i="1" s="1"/>
  <c r="AX304" i="1"/>
  <c r="J292" i="1"/>
  <c r="BC286" i="1"/>
  <c r="J284" i="1"/>
  <c r="AX281" i="1"/>
  <c r="J274" i="1"/>
  <c r="AW272" i="1"/>
  <c r="J268" i="1"/>
  <c r="AX262" i="1"/>
  <c r="AX257" i="1"/>
  <c r="BI254" i="1"/>
  <c r="AE254" i="1" s="1"/>
  <c r="BH253" i="1"/>
  <c r="AD253" i="1" s="1"/>
  <c r="J246" i="1"/>
  <c r="AW246" i="1"/>
  <c r="AW244" i="1"/>
  <c r="BI238" i="1"/>
  <c r="AE238" i="1" s="1"/>
  <c r="BI233" i="1"/>
  <c r="AE233" i="1" s="1"/>
  <c r="AW227" i="1"/>
  <c r="BC223" i="1"/>
  <c r="AV197" i="1"/>
  <c r="BC197" i="1"/>
  <c r="BC166" i="1"/>
  <c r="AW164" i="1"/>
  <c r="BH164" i="1"/>
  <c r="AD164" i="1" s="1"/>
  <c r="J164" i="1"/>
  <c r="J161" i="1" s="1"/>
  <c r="AX65" i="1"/>
  <c r="AV65" i="1" s="1"/>
  <c r="BI65" i="1"/>
  <c r="AC65" i="1" s="1"/>
  <c r="AW43" i="1"/>
  <c r="BH43" i="1"/>
  <c r="AB43" i="1" s="1"/>
  <c r="J43" i="1"/>
  <c r="AW326" i="1"/>
  <c r="K323" i="1"/>
  <c r="J312" i="1"/>
  <c r="J304" i="1"/>
  <c r="AX303" i="1"/>
  <c r="AX297" i="1"/>
  <c r="J281" i="1"/>
  <c r="AX278" i="1"/>
  <c r="AV278" i="1" s="1"/>
  <c r="J262" i="1"/>
  <c r="AX261" i="1"/>
  <c r="AW255" i="1"/>
  <c r="BI243" i="1"/>
  <c r="AE243" i="1" s="1"/>
  <c r="AX243" i="1"/>
  <c r="BC243" i="1" s="1"/>
  <c r="AW237" i="1"/>
  <c r="BC96" i="1"/>
  <c r="AL74" i="1"/>
  <c r="AU71" i="1" s="1"/>
  <c r="L71" i="1"/>
  <c r="AX311" i="1"/>
  <c r="BC311" i="1" s="1"/>
  <c r="AW266" i="1"/>
  <c r="AX239" i="1"/>
  <c r="BI239" i="1"/>
  <c r="AE239" i="1" s="1"/>
  <c r="J212" i="1"/>
  <c r="AW212" i="1"/>
  <c r="BH212" i="1"/>
  <c r="AD212" i="1" s="1"/>
  <c r="AV199" i="1"/>
  <c r="AW323" i="1"/>
  <c r="BI319" i="1"/>
  <c r="AE319" i="1" s="1"/>
  <c r="J297" i="1"/>
  <c r="AX295" i="1"/>
  <c r="J278" i="1"/>
  <c r="AX277" i="1"/>
  <c r="J272" i="1"/>
  <c r="AX271" i="1"/>
  <c r="AX266" i="1"/>
  <c r="J247" i="1"/>
  <c r="AX242" i="1"/>
  <c r="AV242" i="1" s="1"/>
  <c r="AX114" i="1"/>
  <c r="BI114" i="1"/>
  <c r="AC114" i="1" s="1"/>
  <c r="K79" i="1"/>
  <c r="K71" i="1" s="1"/>
  <c r="BI79" i="1"/>
  <c r="AC79" i="1" s="1"/>
  <c r="AW303" i="1"/>
  <c r="AW302" i="1"/>
  <c r="AW261" i="1"/>
  <c r="AX254" i="1"/>
  <c r="AV254" i="1" s="1"/>
  <c r="BI235" i="1"/>
  <c r="AX235" i="1"/>
  <c r="AW211" i="1"/>
  <c r="BH211" i="1"/>
  <c r="AD211" i="1" s="1"/>
  <c r="AX123" i="1"/>
  <c r="BI123" i="1"/>
  <c r="AC123" i="1" s="1"/>
  <c r="AX68" i="1"/>
  <c r="BI68" i="1"/>
  <c r="AC68" i="1" s="1"/>
  <c r="K240" i="1"/>
  <c r="BI240" i="1"/>
  <c r="AE240" i="1" s="1"/>
  <c r="K238" i="1"/>
  <c r="J123" i="1"/>
  <c r="AW123" i="1"/>
  <c r="BH123" i="1"/>
  <c r="AB123" i="1" s="1"/>
  <c r="BI220" i="1"/>
  <c r="AE220" i="1" s="1"/>
  <c r="AX220" i="1"/>
  <c r="AX216" i="1"/>
  <c r="BI216" i="1"/>
  <c r="AE216" i="1" s="1"/>
  <c r="J204" i="1"/>
  <c r="AW204" i="1"/>
  <c r="BH204" i="1"/>
  <c r="AD204" i="1" s="1"/>
  <c r="K181" i="1"/>
  <c r="BI181" i="1"/>
  <c r="AE181" i="1" s="1"/>
  <c r="L128" i="1"/>
  <c r="AX328" i="1"/>
  <c r="AX308" i="1"/>
  <c r="AX259" i="1"/>
  <c r="K232" i="1"/>
  <c r="K230" i="1" s="1"/>
  <c r="BI232" i="1"/>
  <c r="AE232" i="1" s="1"/>
  <c r="AW231" i="1"/>
  <c r="AW218" i="1"/>
  <c r="J216" i="1"/>
  <c r="AW216" i="1"/>
  <c r="K213" i="1"/>
  <c r="AX213" i="1"/>
  <c r="BH318" i="1"/>
  <c r="AD318" i="1" s="1"/>
  <c r="BH292" i="1"/>
  <c r="AD292" i="1" s="1"/>
  <c r="BH284" i="1"/>
  <c r="AD284" i="1" s="1"/>
  <c r="BH274" i="1"/>
  <c r="AD274" i="1" s="1"/>
  <c r="J273" i="1"/>
  <c r="BH268" i="1"/>
  <c r="AD268" i="1" s="1"/>
  <c r="J267" i="1"/>
  <c r="AW264" i="1"/>
  <c r="BI245" i="1"/>
  <c r="AE245" i="1" s="1"/>
  <c r="J243" i="1"/>
  <c r="AX231" i="1"/>
  <c r="BI231" i="1"/>
  <c r="AE231" i="1" s="1"/>
  <c r="BH225" i="1"/>
  <c r="AD225" i="1" s="1"/>
  <c r="BC215" i="1"/>
  <c r="AW213" i="1"/>
  <c r="AV203" i="1"/>
  <c r="BC203" i="1"/>
  <c r="AX116" i="1"/>
  <c r="BI116" i="1"/>
  <c r="AC116" i="1" s="1"/>
  <c r="AX42" i="1"/>
  <c r="BI42" i="1"/>
  <c r="AC42" i="1" s="1"/>
  <c r="J323" i="1"/>
  <c r="BH246" i="1"/>
  <c r="AD246" i="1" s="1"/>
  <c r="AW226" i="1"/>
  <c r="J42" i="1"/>
  <c r="AW42" i="1"/>
  <c r="BH42" i="1"/>
  <c r="AB42" i="1" s="1"/>
  <c r="AX224" i="1"/>
  <c r="BC224" i="1" s="1"/>
  <c r="BI224" i="1"/>
  <c r="AE224" i="1" s="1"/>
  <c r="AW190" i="1"/>
  <c r="BH190" i="1"/>
  <c r="AD190" i="1" s="1"/>
  <c r="BC162" i="1"/>
  <c r="BH290" i="1"/>
  <c r="AD290" i="1" s="1"/>
  <c r="K250" i="1"/>
  <c r="K249" i="1" s="1"/>
  <c r="BH244" i="1"/>
  <c r="AD244" i="1" s="1"/>
  <c r="K217" i="1"/>
  <c r="BI217" i="1"/>
  <c r="AE217" i="1" s="1"/>
  <c r="BC205" i="1"/>
  <c r="AV205" i="1"/>
  <c r="AX162" i="1"/>
  <c r="AV162" i="1" s="1"/>
  <c r="BI162" i="1"/>
  <c r="AE162" i="1" s="1"/>
  <c r="AW72" i="1"/>
  <c r="BH72" i="1"/>
  <c r="AB72" i="1" s="1"/>
  <c r="J72" i="1"/>
  <c r="BI221" i="1"/>
  <c r="AE221" i="1" s="1"/>
  <c r="K221" i="1"/>
  <c r="BC217" i="1"/>
  <c r="AV217" i="1"/>
  <c r="AV48" i="1"/>
  <c r="J39" i="1"/>
  <c r="AW39" i="1"/>
  <c r="BH39" i="1"/>
  <c r="AB39" i="1" s="1"/>
  <c r="K27" i="1"/>
  <c r="AX27" i="1"/>
  <c r="BC27" i="1" s="1"/>
  <c r="BI27" i="1"/>
  <c r="AC27" i="1" s="1"/>
  <c r="J202" i="1"/>
  <c r="AX185" i="1"/>
  <c r="BI183" i="1"/>
  <c r="AE183" i="1" s="1"/>
  <c r="J178" i="1"/>
  <c r="AX177" i="1"/>
  <c r="AX172" i="1"/>
  <c r="AX170" i="1"/>
  <c r="BH168" i="1"/>
  <c r="BI166" i="1"/>
  <c r="AE166" i="1" s="1"/>
  <c r="BI147" i="1"/>
  <c r="BI145" i="1"/>
  <c r="AX137" i="1"/>
  <c r="BI135" i="1"/>
  <c r="AC135" i="1" s="1"/>
  <c r="J132" i="1"/>
  <c r="BI129" i="1"/>
  <c r="AC129" i="1" s="1"/>
  <c r="J111" i="1"/>
  <c r="AX110" i="1"/>
  <c r="J109" i="1"/>
  <c r="AX108" i="1"/>
  <c r="AW91" i="1"/>
  <c r="BH74" i="1"/>
  <c r="AB74" i="1" s="1"/>
  <c r="AX64" i="1"/>
  <c r="BC64" i="1" s="1"/>
  <c r="J56" i="1"/>
  <c r="AX54" i="1"/>
  <c r="BC54" i="1" s="1"/>
  <c r="J30" i="1"/>
  <c r="AX7" i="1"/>
  <c r="AV7" i="1" s="1"/>
  <c r="J208" i="1"/>
  <c r="BI190" i="1"/>
  <c r="AE190" i="1" s="1"/>
  <c r="BI188" i="1"/>
  <c r="K185" i="1"/>
  <c r="J176" i="1"/>
  <c r="J174" i="1"/>
  <c r="AX153" i="1"/>
  <c r="AX151" i="1"/>
  <c r="AW149" i="1"/>
  <c r="AW146" i="1"/>
  <c r="K137" i="1"/>
  <c r="AX131" i="1"/>
  <c r="AX106" i="1"/>
  <c r="BI88" i="1"/>
  <c r="AC88" i="1" s="1"/>
  <c r="BI86" i="1"/>
  <c r="AC86" i="1" s="1"/>
  <c r="J77" i="1"/>
  <c r="AV201" i="1"/>
  <c r="K106" i="1"/>
  <c r="AW63" i="1"/>
  <c r="AX12" i="1"/>
  <c r="AX10" i="1"/>
  <c r="BI5" i="1"/>
  <c r="AC5" i="1" s="1"/>
  <c r="BI211" i="1"/>
  <c r="AE211" i="1" s="1"/>
  <c r="BI210" i="1"/>
  <c r="AE210" i="1" s="1"/>
  <c r="BH188" i="1"/>
  <c r="BI182" i="1"/>
  <c r="AE182" i="1" s="1"/>
  <c r="AX152" i="1"/>
  <c r="AX150" i="1"/>
  <c r="BH140" i="1"/>
  <c r="AB140" i="1" s="1"/>
  <c r="AX102" i="1"/>
  <c r="BH60" i="1"/>
  <c r="AB60" i="1" s="1"/>
  <c r="BH48" i="1"/>
  <c r="AB48" i="1" s="1"/>
  <c r="J48" i="1"/>
  <c r="J47" i="1" s="1"/>
  <c r="BH30" i="1"/>
  <c r="AB30" i="1" s="1"/>
  <c r="K12" i="1"/>
  <c r="K10" i="1"/>
  <c r="K207" i="1"/>
  <c r="AX206" i="1"/>
  <c r="AX200" i="1"/>
  <c r="AX184" i="1"/>
  <c r="AX168" i="1"/>
  <c r="K152" i="1"/>
  <c r="K150" i="1"/>
  <c r="J139" i="1"/>
  <c r="J133" i="1"/>
  <c r="AW131" i="1"/>
  <c r="AX130" i="1"/>
  <c r="BH82" i="1"/>
  <c r="AB82" i="1" s="1"/>
  <c r="AW74" i="1"/>
  <c r="J58" i="1"/>
  <c r="BI37" i="1"/>
  <c r="AC37" i="1" s="1"/>
  <c r="J18" i="1"/>
  <c r="K102" i="1"/>
  <c r="K101" i="1" s="1"/>
  <c r="BI84" i="1"/>
  <c r="AC84" i="1" s="1"/>
  <c r="AW75" i="1"/>
  <c r="BH28" i="1"/>
  <c r="AB28" i="1" s="1"/>
  <c r="AX190" i="1"/>
  <c r="AX183" i="1"/>
  <c r="BC183" i="1" s="1"/>
  <c r="AX135" i="1"/>
  <c r="AX129" i="1"/>
  <c r="AX5" i="1"/>
  <c r="BC5" i="1" s="1"/>
  <c r="AW207" i="1"/>
  <c r="AW188" i="1"/>
  <c r="AW168" i="1"/>
  <c r="AW140" i="1"/>
  <c r="AW102" i="1"/>
  <c r="AW82" i="1"/>
  <c r="AW60" i="1"/>
  <c r="BH18" i="1"/>
  <c r="AB18" i="1" s="1"/>
  <c r="AX84" i="1"/>
  <c r="BH56" i="1"/>
  <c r="AB56" i="1" s="1"/>
  <c r="BH17" i="1"/>
  <c r="AB17" i="1" s="1"/>
  <c r="J131" i="1"/>
  <c r="J128" i="1" s="1"/>
  <c r="BH102" i="1"/>
  <c r="AF281" i="1"/>
  <c r="AB281" i="1"/>
  <c r="Z281" i="1"/>
  <c r="AC281" i="1"/>
  <c r="AJ281" i="1"/>
  <c r="AK281" i="1"/>
  <c r="AV300" i="1" l="1"/>
  <c r="AV35" i="1"/>
  <c r="BC271" i="1"/>
  <c r="K317" i="1"/>
  <c r="BC288" i="1"/>
  <c r="BC28" i="1"/>
  <c r="AV28" i="1"/>
  <c r="BC256" i="1"/>
  <c r="BC120" i="1"/>
  <c r="AV210" i="1"/>
  <c r="BC210" i="1"/>
  <c r="BC180" i="1"/>
  <c r="AV295" i="1"/>
  <c r="K144" i="1"/>
  <c r="AV38" i="1"/>
  <c r="AV298" i="1"/>
  <c r="AV252" i="1"/>
  <c r="AV40" i="1"/>
  <c r="AV281" i="1"/>
  <c r="BC208" i="1"/>
  <c r="K280" i="1"/>
  <c r="J280" i="1"/>
  <c r="BC107" i="1"/>
  <c r="AV260" i="1"/>
  <c r="BC273" i="1"/>
  <c r="K236" i="1"/>
  <c r="K325" i="1"/>
  <c r="J14" i="1"/>
  <c r="K14" i="1"/>
  <c r="J249" i="1"/>
  <c r="BC281" i="1"/>
  <c r="AV5" i="1"/>
  <c r="J144" i="1"/>
  <c r="K103" i="1"/>
  <c r="AV297" i="1"/>
  <c r="AV270" i="1"/>
  <c r="AV316" i="1"/>
  <c r="K81" i="1"/>
  <c r="BC67" i="1"/>
  <c r="AV67" i="1"/>
  <c r="BC277" i="1"/>
  <c r="K258" i="1"/>
  <c r="AV313" i="1"/>
  <c r="J24" i="1"/>
  <c r="BC94" i="1"/>
  <c r="AV94" i="1"/>
  <c r="AV96" i="1"/>
  <c r="BC37" i="1"/>
  <c r="AV37" i="1"/>
  <c r="BC11" i="1"/>
  <c r="AV11" i="1"/>
  <c r="K128" i="1"/>
  <c r="J71" i="1"/>
  <c r="BC136" i="1"/>
  <c r="BC113" i="1"/>
  <c r="BC220" i="1"/>
  <c r="J169" i="1"/>
  <c r="J81" i="1"/>
  <c r="K189" i="1"/>
  <c r="AV267" i="1"/>
  <c r="BC77" i="1"/>
  <c r="AV77" i="1"/>
  <c r="BC174" i="1"/>
  <c r="AV174" i="1"/>
  <c r="BC182" i="1"/>
  <c r="AV182" i="1"/>
  <c r="AV171" i="1"/>
  <c r="BC171" i="1"/>
  <c r="AV58" i="1"/>
  <c r="BC58" i="1"/>
  <c r="BC202" i="1"/>
  <c r="AV202" i="1"/>
  <c r="BC99" i="1"/>
  <c r="AV99" i="1"/>
  <c r="AV70" i="1"/>
  <c r="BC70" i="1"/>
  <c r="J258" i="1"/>
  <c r="BC132" i="1"/>
  <c r="AV132" i="1"/>
  <c r="AV133" i="1"/>
  <c r="BC133" i="1"/>
  <c r="BC316" i="1"/>
  <c r="BC186" i="1"/>
  <c r="BC254" i="1"/>
  <c r="BC124" i="1"/>
  <c r="AV124" i="1"/>
  <c r="AV180" i="1"/>
  <c r="BC56" i="1"/>
  <c r="BC52" i="1"/>
  <c r="AV141" i="1"/>
  <c r="BC141" i="1"/>
  <c r="AV192" i="1"/>
  <c r="BC192" i="1"/>
  <c r="BC7" i="1"/>
  <c r="K169" i="1"/>
  <c r="J325" i="1"/>
  <c r="AV306" i="1"/>
  <c r="AV111" i="1"/>
  <c r="BC111" i="1"/>
  <c r="AV294" i="1"/>
  <c r="AV178" i="1"/>
  <c r="BC178" i="1"/>
  <c r="AV220" i="1"/>
  <c r="AV263" i="1"/>
  <c r="AV27" i="1"/>
  <c r="BC156" i="1"/>
  <c r="AV156" i="1"/>
  <c r="BC98" i="1"/>
  <c r="AV98" i="1"/>
  <c r="BC173" i="1"/>
  <c r="AV173" i="1"/>
  <c r="AV245" i="1"/>
  <c r="BC245" i="1"/>
  <c r="AV45" i="1"/>
  <c r="BC45" i="1"/>
  <c r="BC104" i="1"/>
  <c r="AV104" i="1"/>
  <c r="J103" i="1"/>
  <c r="J241" i="1"/>
  <c r="AV310" i="1"/>
  <c r="AV219" i="1"/>
  <c r="BC138" i="1"/>
  <c r="AV138" i="1"/>
  <c r="J289" i="1"/>
  <c r="BC49" i="1"/>
  <c r="AV49" i="1"/>
  <c r="BC295" i="1"/>
  <c r="AV225" i="1"/>
  <c r="AV69" i="1"/>
  <c r="AV18" i="1"/>
  <c r="K307" i="1"/>
  <c r="AV139" i="1"/>
  <c r="BC139" i="1"/>
  <c r="AV117" i="1"/>
  <c r="BC25" i="1"/>
  <c r="AV25" i="1"/>
  <c r="BC17" i="1"/>
  <c r="AV17" i="1"/>
  <c r="BC154" i="1"/>
  <c r="AV154" i="1"/>
  <c r="K24" i="1"/>
  <c r="AV64" i="1"/>
  <c r="J317" i="1"/>
  <c r="BC51" i="1"/>
  <c r="AV51" i="1"/>
  <c r="AV16" i="1"/>
  <c r="BC16" i="1"/>
  <c r="BC115" i="1"/>
  <c r="AV115" i="1"/>
  <c r="BC229" i="1"/>
  <c r="AV229" i="1"/>
  <c r="AV146" i="1"/>
  <c r="BC146" i="1"/>
  <c r="BC91" i="1"/>
  <c r="AV91" i="1"/>
  <c r="AV114" i="1"/>
  <c r="BC114" i="1"/>
  <c r="BC227" i="1"/>
  <c r="AV227" i="1"/>
  <c r="AV126" i="1"/>
  <c r="BC126" i="1"/>
  <c r="BC184" i="1"/>
  <c r="AV184" i="1"/>
  <c r="AV68" i="1"/>
  <c r="BC68" i="1"/>
  <c r="BC255" i="1"/>
  <c r="AV255" i="1"/>
  <c r="BC297" i="1"/>
  <c r="BC242" i="1"/>
  <c r="BC110" i="1"/>
  <c r="AV110" i="1"/>
  <c r="AV226" i="1"/>
  <c r="BC226" i="1"/>
  <c r="AV204" i="1"/>
  <c r="BC204" i="1"/>
  <c r="AV244" i="1"/>
  <c r="BC244" i="1"/>
  <c r="BC312" i="1"/>
  <c r="AV312" i="1"/>
  <c r="BC134" i="1"/>
  <c r="AV134" i="1"/>
  <c r="BC108" i="1"/>
  <c r="AV108" i="1"/>
  <c r="AV206" i="1"/>
  <c r="BC206" i="1"/>
  <c r="AV216" i="1"/>
  <c r="BC216" i="1"/>
  <c r="AV212" i="1"/>
  <c r="BC212" i="1"/>
  <c r="AV43" i="1"/>
  <c r="BC43" i="1"/>
  <c r="BC246" i="1"/>
  <c r="AV246" i="1"/>
  <c r="AV243" i="1"/>
  <c r="AV198" i="1"/>
  <c r="BC198" i="1"/>
  <c r="BC248" i="1"/>
  <c r="AV248" i="1"/>
  <c r="BC221" i="1"/>
  <c r="AV221" i="1"/>
  <c r="AV237" i="1"/>
  <c r="BC237" i="1"/>
  <c r="AV149" i="1"/>
  <c r="BC149" i="1"/>
  <c r="AV318" i="1"/>
  <c r="BC318" i="1"/>
  <c r="BC328" i="1"/>
  <c r="AV328" i="1"/>
  <c r="J189" i="1"/>
  <c r="BC10" i="1"/>
  <c r="AV10" i="1"/>
  <c r="BC60" i="1"/>
  <c r="AV60" i="1"/>
  <c r="K9" i="1"/>
  <c r="BC12" i="1"/>
  <c r="AV12" i="1"/>
  <c r="AV264" i="1"/>
  <c r="BC264" i="1"/>
  <c r="AV218" i="1"/>
  <c r="BC218" i="1"/>
  <c r="BC211" i="1"/>
  <c r="AV211" i="1"/>
  <c r="AV271" i="1"/>
  <c r="AV311" i="1"/>
  <c r="AV185" i="1"/>
  <c r="BC185" i="1"/>
  <c r="AV75" i="1"/>
  <c r="BC75" i="1"/>
  <c r="BC63" i="1"/>
  <c r="AV63" i="1"/>
  <c r="BC231" i="1"/>
  <c r="AV231" i="1"/>
  <c r="AV235" i="1"/>
  <c r="BC235" i="1"/>
  <c r="AV239" i="1"/>
  <c r="BC239" i="1"/>
  <c r="AV314" i="1"/>
  <c r="BC314" i="1"/>
  <c r="BC275" i="1"/>
  <c r="AV275" i="1"/>
  <c r="AV224" i="1"/>
  <c r="AV151" i="1"/>
  <c r="BC151" i="1"/>
  <c r="AV82" i="1"/>
  <c r="BC82" i="1"/>
  <c r="AV102" i="1"/>
  <c r="BC102" i="1"/>
  <c r="AV137" i="1"/>
  <c r="BC137" i="1"/>
  <c r="AV39" i="1"/>
  <c r="BC39" i="1"/>
  <c r="BC266" i="1"/>
  <c r="AV266" i="1"/>
  <c r="BC257" i="1"/>
  <c r="AV257" i="1"/>
  <c r="J307" i="1"/>
  <c r="BC319" i="1"/>
  <c r="AV319" i="1"/>
  <c r="BC269" i="1"/>
  <c r="AV269" i="1"/>
  <c r="BC278" i="1"/>
  <c r="AV304" i="1"/>
  <c r="BC304" i="1"/>
  <c r="AV200" i="1"/>
  <c r="BC200" i="1"/>
  <c r="BC84" i="1"/>
  <c r="AV84" i="1"/>
  <c r="J36" i="1"/>
  <c r="AV262" i="1"/>
  <c r="BC262" i="1"/>
  <c r="BC308" i="1"/>
  <c r="AV308" i="1"/>
  <c r="AV293" i="1"/>
  <c r="BC293" i="1"/>
  <c r="AV153" i="1"/>
  <c r="BC153" i="1"/>
  <c r="BC140" i="1"/>
  <c r="AV140" i="1"/>
  <c r="BC74" i="1"/>
  <c r="AV74" i="1"/>
  <c r="AV168" i="1"/>
  <c r="BC168" i="1"/>
  <c r="AV116" i="1"/>
  <c r="BC116" i="1"/>
  <c r="AV123" i="1"/>
  <c r="BC123" i="1"/>
  <c r="BC261" i="1"/>
  <c r="AV261" i="1"/>
  <c r="AV187" i="1"/>
  <c r="BC187" i="1"/>
  <c r="BC259" i="1"/>
  <c r="AV259" i="1"/>
  <c r="AV302" i="1"/>
  <c r="BC302" i="1"/>
  <c r="AV54" i="1"/>
  <c r="AV164" i="1"/>
  <c r="BC164" i="1"/>
  <c r="AV272" i="1"/>
  <c r="BC272" i="1"/>
  <c r="BC152" i="1"/>
  <c r="AV152" i="1"/>
  <c r="AV72" i="1"/>
  <c r="BC72" i="1"/>
  <c r="BC207" i="1"/>
  <c r="AV207" i="1"/>
  <c r="AV131" i="1"/>
  <c r="BC131" i="1"/>
  <c r="BC303" i="1"/>
  <c r="AV303" i="1"/>
  <c r="AV323" i="1"/>
  <c r="BC323" i="1"/>
  <c r="AV247" i="1"/>
  <c r="BC247" i="1"/>
  <c r="AV177" i="1"/>
  <c r="BC177" i="1"/>
  <c r="BC188" i="1"/>
  <c r="AV188" i="1"/>
  <c r="AV183" i="1"/>
  <c r="BC106" i="1"/>
  <c r="AV106" i="1"/>
  <c r="J53" i="1"/>
  <c r="AV170" i="1"/>
  <c r="BC170" i="1"/>
  <c r="BC190" i="1"/>
  <c r="AV190" i="1"/>
  <c r="BC326" i="1"/>
  <c r="AV326" i="1"/>
  <c r="AV277" i="1"/>
  <c r="AV135" i="1"/>
  <c r="BC135" i="1"/>
  <c r="BC42" i="1"/>
  <c r="AV42" i="1"/>
  <c r="BC130" i="1"/>
  <c r="AV130" i="1"/>
  <c r="AV129" i="1"/>
  <c r="BC129" i="1"/>
  <c r="BC150" i="1"/>
  <c r="AV150" i="1"/>
  <c r="BC172" i="1"/>
  <c r="AV172" i="1"/>
  <c r="BC213" i="1"/>
  <c r="AV213" i="1"/>
  <c r="BC65" i="1"/>
  <c r="AV222" i="1"/>
  <c r="BC222" i="1"/>
  <c r="AV305" i="1"/>
  <c r="AT280" i="1"/>
  <c r="AS280" i="1"/>
</calcChain>
</file>

<file path=xl/sharedStrings.xml><?xml version="1.0" encoding="utf-8"?>
<sst xmlns="http://schemas.openxmlformats.org/spreadsheetml/2006/main" count="3772" uniqueCount="1445">
  <si>
    <t>92</t>
  </si>
  <si>
    <t>972054241R00</t>
  </si>
  <si>
    <t>165</t>
  </si>
  <si>
    <t>Hloubené vykopávky</t>
  </si>
  <si>
    <t>198</t>
  </si>
  <si>
    <t>Připojení příček ke stáv.konst.nastřelenou kotvou</t>
  </si>
  <si>
    <t>286550975</t>
  </si>
  <si>
    <t>162701105R00</t>
  </si>
  <si>
    <t>Projektant</t>
  </si>
  <si>
    <t>722280106R00</t>
  </si>
  <si>
    <t>67</t>
  </si>
  <si>
    <t>209</t>
  </si>
  <si>
    <t>226</t>
  </si>
  <si>
    <t>Malby</t>
  </si>
  <si>
    <t>183</t>
  </si>
  <si>
    <t>899103111RT2</t>
  </si>
  <si>
    <t>103</t>
  </si>
  <si>
    <t>602011131RT3</t>
  </si>
  <si>
    <t>998721101R00</t>
  </si>
  <si>
    <t>Výztuž základových pasů ze svařovaných sítí</t>
  </si>
  <si>
    <t>417320031RAA</t>
  </si>
  <si>
    <t>Vyrovnání podk.samoniv.hmotou inter.</t>
  </si>
  <si>
    <t>722182011R00</t>
  </si>
  <si>
    <t>721176104R00</t>
  </si>
  <si>
    <t>166</t>
  </si>
  <si>
    <t>Ozn.3,4-Dveře vnitřní laminát plné 1-křídlé 800 x 1970 mm</t>
  </si>
  <si>
    <t>228</t>
  </si>
  <si>
    <t>722172962R00</t>
  </si>
  <si>
    <t>Osazení betonových skruží rovných 29/100/9</t>
  </si>
  <si>
    <t>91</t>
  </si>
  <si>
    <t>28655006</t>
  </si>
  <si>
    <t>87</t>
  </si>
  <si>
    <t>728314115R00</t>
  </si>
  <si>
    <t>Podklad z kameniva zpev.cementem SC C8/10 tl.15 cm</t>
  </si>
  <si>
    <t>20</t>
  </si>
  <si>
    <t>Vyzdívka mezi nosníky cihlami pálenými na MC</t>
  </si>
  <si>
    <t>721176135R00</t>
  </si>
  <si>
    <t>998781101R00</t>
  </si>
  <si>
    <t>Přesun hmot pro obklady keramické, výšky do 6 m</t>
  </si>
  <si>
    <t>237</t>
  </si>
  <si>
    <t>Sokl s požlábkem 20 x 20 cm  bílá mat</t>
  </si>
  <si>
    <t>Dodávka</t>
  </si>
  <si>
    <t>Proplach stávající kanalizace</t>
  </si>
  <si>
    <t>642942111RT4</t>
  </si>
  <si>
    <t>3_</t>
  </si>
  <si>
    <t>998767101R00</t>
  </si>
  <si>
    <t>Vybourání kanal.rámů a poklopů plochy nad 0,6 m2</t>
  </si>
  <si>
    <t>167</t>
  </si>
  <si>
    <t>721179325R00</t>
  </si>
  <si>
    <t>Náklady (Kč) - celkem</t>
  </si>
  <si>
    <t>711</t>
  </si>
  <si>
    <t>Zkouška těsnosti kanalizace vodou DN 125 mm</t>
  </si>
  <si>
    <t>72_</t>
  </si>
  <si>
    <t>171</t>
  </si>
  <si>
    <t>147</t>
  </si>
  <si>
    <t>Název stavby:</t>
  </si>
  <si>
    <t>Ostatní materiál</t>
  </si>
  <si>
    <t>Otlučení omítek vnitřních stěn v rozsahu do 100 %</t>
  </si>
  <si>
    <t>Ozn.1-Dveře vchodové plastové sklo 2křídlové 150x197 cm -cena předběžná</t>
  </si>
  <si>
    <t>567122114R00</t>
  </si>
  <si>
    <t>48</t>
  </si>
  <si>
    <t>29</t>
  </si>
  <si>
    <t>Č</t>
  </si>
  <si>
    <t>89_</t>
  </si>
  <si>
    <t>s použitím suché maltové směsi</t>
  </si>
  <si>
    <t>Osazení stojat. obrub.bet. s opěrou,lože z C 12/15</t>
  </si>
  <si>
    <t>311361821R00</t>
  </si>
  <si>
    <t>Poznámka:</t>
  </si>
  <si>
    <t>979990111R00</t>
  </si>
  <si>
    <t>Oprava omítek stropů s rákosem do 5% pl.- hladkých</t>
  </si>
  <si>
    <t>Lokalita:</t>
  </si>
  <si>
    <t>79</t>
  </si>
  <si>
    <t>71</t>
  </si>
  <si>
    <t>16</t>
  </si>
  <si>
    <t>PSV</t>
  </si>
  <si>
    <t>189</t>
  </si>
  <si>
    <t>24</t>
  </si>
  <si>
    <t>Bez pevné podl.</t>
  </si>
  <si>
    <t>597642031</t>
  </si>
  <si>
    <t>Uložení sypaniny na skládku</t>
  </si>
  <si>
    <t>733_</t>
  </si>
  <si>
    <t>Celkem</t>
  </si>
  <si>
    <t>722172963R00</t>
  </si>
  <si>
    <t>Prah dubový dl. 800 mm, š. 150 mm, tl. 20 mm</t>
  </si>
  <si>
    <t>Zařízení staveniště</t>
  </si>
  <si>
    <t>317234410RT2</t>
  </si>
  <si>
    <t>vysekání drážky, dodávka profilů IPE 160</t>
  </si>
  <si>
    <t>Přesun hmot pro vnitřní kanalizaci, výšky do 6 m</t>
  </si>
  <si>
    <t>Izolace z minerální plsti Al 22x20 mm</t>
  </si>
  <si>
    <t>766_</t>
  </si>
  <si>
    <t>1_</t>
  </si>
  <si>
    <t>771411043R00</t>
  </si>
  <si>
    <t>4</t>
  </si>
  <si>
    <t>97</t>
  </si>
  <si>
    <t>121</t>
  </si>
  <si>
    <t>94</t>
  </si>
  <si>
    <t>311112130RT2</t>
  </si>
  <si>
    <t>54914627</t>
  </si>
  <si>
    <t>145</t>
  </si>
  <si>
    <t>564851115R00</t>
  </si>
  <si>
    <t>60</t>
  </si>
  <si>
    <t>vnitřní průměr 22 mm</t>
  </si>
  <si>
    <t>Základní rozpočtové náklady</t>
  </si>
  <si>
    <t>722175126R00</t>
  </si>
  <si>
    <t>Penetrace podkladu univerzální  1x</t>
  </si>
  <si>
    <t>235</t>
  </si>
  <si>
    <t>26</t>
  </si>
  <si>
    <t>6_</t>
  </si>
  <si>
    <t>105</t>
  </si>
  <si>
    <t>73553001VD</t>
  </si>
  <si>
    <t>Trubka D 50 x 3,8 mm délka 5 m PP-H</t>
  </si>
  <si>
    <t>135</t>
  </si>
  <si>
    <t>28655128</t>
  </si>
  <si>
    <t>zeď tloušťky 60 cm</t>
  </si>
  <si>
    <t>342941112R00</t>
  </si>
  <si>
    <t>Konstrukce ze zemin</t>
  </si>
  <si>
    <t>M24</t>
  </si>
  <si>
    <t>Vybourání plastových oken do 4 m2</t>
  </si>
  <si>
    <t>Celkem bez DPH</t>
  </si>
  <si>
    <t>Vybourání otv. zeď cihel. pl.0,09 m2, tl.15cm, MVC</t>
  </si>
  <si>
    <t>122</t>
  </si>
  <si>
    <t>725860180R00</t>
  </si>
  <si>
    <t>Montáž plastového vodovodního potrubí, rovného, polyfuzně svařeného, D 50 mm</t>
  </si>
  <si>
    <t>781670116RA0</t>
  </si>
  <si>
    <t>138</t>
  </si>
  <si>
    <t>2_</t>
  </si>
  <si>
    <t>M21</t>
  </si>
  <si>
    <t>Omítka jednovrstvá hlazená , ručně</t>
  </si>
  <si>
    <t>781419706R00</t>
  </si>
  <si>
    <t>721_</t>
  </si>
  <si>
    <t>762522811R00</t>
  </si>
  <si>
    <t>172</t>
  </si>
  <si>
    <t>722202221R00</t>
  </si>
  <si>
    <t>Potěr ze SMS , ruční zpracování, tl. 15 mm</t>
  </si>
  <si>
    <t>242</t>
  </si>
  <si>
    <t>767990010RAD</t>
  </si>
  <si>
    <t>722290234R00</t>
  </si>
  <si>
    <t>342256253R00</t>
  </si>
  <si>
    <t>223</t>
  </si>
  <si>
    <t>6</t>
  </si>
  <si>
    <t>Rozpočtové náklady v Kč</t>
  </si>
  <si>
    <t>631621117R00</t>
  </si>
  <si>
    <t>Ocelové konstrukce - L 150/150/10</t>
  </si>
  <si>
    <t>68</t>
  </si>
  <si>
    <t>81</t>
  </si>
  <si>
    <t>766661422R00</t>
  </si>
  <si>
    <t>Příčky z cihel plných pálených 290 mm, tl. 140 mm</t>
  </si>
  <si>
    <t>216</t>
  </si>
  <si>
    <t>Přesun hmot pro opravy a údržbu do výšky 6 m</t>
  </si>
  <si>
    <t>764900050RAA</t>
  </si>
  <si>
    <t>B</t>
  </si>
  <si>
    <t>119</t>
  </si>
  <si>
    <t>Demontáž otopných těles panelových dvouřadých, délky do 1500 mm</t>
  </si>
  <si>
    <t>160</t>
  </si>
  <si>
    <t>Náklady na umístění stavby (NUS)</t>
  </si>
  <si>
    <t>894403011R00</t>
  </si>
  <si>
    <t>42</t>
  </si>
  <si>
    <t>231</t>
  </si>
  <si>
    <t>82</t>
  </si>
  <si>
    <t>Montáž</t>
  </si>
  <si>
    <t>721100917R00</t>
  </si>
  <si>
    <t>711212002RT3</t>
  </si>
  <si>
    <t>229</t>
  </si>
  <si>
    <t>Datum, razítko a podpis</t>
  </si>
  <si>
    <t>ZRN celkem</t>
  </si>
  <si>
    <t>968072455R00</t>
  </si>
  <si>
    <t>725100001RA0</t>
  </si>
  <si>
    <t>602016195R00</t>
  </si>
  <si>
    <t>346244381R00</t>
  </si>
  <si>
    <t>28615423.A</t>
  </si>
  <si>
    <t>Stěrka hydroizolační, vč. dodávky HI hmoty</t>
  </si>
  <si>
    <t>722181211RT7</t>
  </si>
  <si>
    <t>17_</t>
  </si>
  <si>
    <t>979082121R00</t>
  </si>
  <si>
    <t>Montáž plastových vodovodních tvarovek, polyfuzně svařovaných, dva spoje, D 25 mm</t>
  </si>
  <si>
    <t>999281105R00</t>
  </si>
  <si>
    <t>931961115R00</t>
  </si>
  <si>
    <t>bednění, výztuž 90 kg/m3-rampa</t>
  </si>
  <si>
    <t>69</t>
  </si>
  <si>
    <t>722174212R00</t>
  </si>
  <si>
    <t>141</t>
  </si>
  <si>
    <t>T kus d 25x20x25 mm PP-H redukovaný</t>
  </si>
  <si>
    <t>274321311R00</t>
  </si>
  <si>
    <t>včetně dodávky poklopu lit. kruhového D 600</t>
  </si>
  <si>
    <t>965081713RT1</t>
  </si>
  <si>
    <t>894402211RT2</t>
  </si>
  <si>
    <t>Tlaková zkouška otopných těles litinových - vodou</t>
  </si>
  <si>
    <t>33</t>
  </si>
  <si>
    <t>78</t>
  </si>
  <si>
    <t>784950030RAA</t>
  </si>
  <si>
    <t>Montáž obkladů stěn, porovin.,tmel, 20x20,30x15 cm</t>
  </si>
  <si>
    <t>722175113R00</t>
  </si>
  <si>
    <t>Koleno d 50 mm 90°  PP-H</t>
  </si>
  <si>
    <t>Překlad nenosný z pórobetonu  100 x 250 x 2000 mm</t>
  </si>
  <si>
    <t>Krycí list slepého rozpočtu</t>
  </si>
  <si>
    <t>771578011R00</t>
  </si>
  <si>
    <t>120</t>
  </si>
  <si>
    <t>63</t>
  </si>
  <si>
    <t>230</t>
  </si>
  <si>
    <t>Potrubí KG odvětrání, D 110 x 3,2 mm</t>
  </si>
  <si>
    <t>28615153</t>
  </si>
  <si>
    <t>Tlaková zkouška vodovodního potrubí DN 50 mm</t>
  </si>
  <si>
    <t>783_</t>
  </si>
  <si>
    <t>Stěny a příčky</t>
  </si>
  <si>
    <t>154</t>
  </si>
  <si>
    <t>192</t>
  </si>
  <si>
    <t>971033331R00</t>
  </si>
  <si>
    <t>77_</t>
  </si>
  <si>
    <t>766695213R00</t>
  </si>
  <si>
    <t>137</t>
  </si>
  <si>
    <t>346971162R00</t>
  </si>
  <si>
    <t>Montáž plastových vodovodních tvarovek, polyfuzně svařovaných, jeden spoj, D 20 mm</t>
  </si>
  <si>
    <t>178</t>
  </si>
  <si>
    <t>Vysávání podlah prům.vysavačem pro pokládku dlažby</t>
  </si>
  <si>
    <t>25</t>
  </si>
  <si>
    <t>195</t>
  </si>
  <si>
    <t>kus</t>
  </si>
  <si>
    <t>Zábradlí nerez anticor z jackelů v.1,0 m</t>
  </si>
  <si>
    <t>28615421.A</t>
  </si>
  <si>
    <t>735151821R00</t>
  </si>
  <si>
    <t>Dodávky</t>
  </si>
  <si>
    <t>219</t>
  </si>
  <si>
    <t>735118110R00</t>
  </si>
  <si>
    <t>soustava</t>
  </si>
  <si>
    <t>Otvor v obkladačce diamant.korunkou prům.do 90 mm</t>
  </si>
  <si>
    <t>962031113R00</t>
  </si>
  <si>
    <t>Výztuž nadzákladových zdí z betonářské oceli B500B (10 505)</t>
  </si>
  <si>
    <t>Vnitrostaveništní doprava suti do 10 m</t>
  </si>
  <si>
    <t>Ostatní mat.</t>
  </si>
  <si>
    <t>941955001R00</t>
  </si>
  <si>
    <t>130</t>
  </si>
  <si>
    <t>781101210RT1</t>
  </si>
  <si>
    <t>781497111R00</t>
  </si>
  <si>
    <t>Cenová</t>
  </si>
  <si>
    <t>Montáž kliky a štítku</t>
  </si>
  <si>
    <t>133</t>
  </si>
  <si>
    <t>273321411R00</t>
  </si>
  <si>
    <t>61143262</t>
  </si>
  <si>
    <t>273351216R00</t>
  </si>
  <si>
    <t>612481211RT8</t>
  </si>
  <si>
    <t>175</t>
  </si>
  <si>
    <t>597623181</t>
  </si>
  <si>
    <t>170</t>
  </si>
  <si>
    <t>HSV prac</t>
  </si>
  <si>
    <t>767_</t>
  </si>
  <si>
    <t>631621116R00</t>
  </si>
  <si>
    <t>139</t>
  </si>
  <si>
    <t>vnitřní průměr 28 mm</t>
  </si>
  <si>
    <t>129</t>
  </si>
  <si>
    <t>Montáž vchodových 2kř dveří plastových</t>
  </si>
  <si>
    <t>151</t>
  </si>
  <si>
    <t>Příplatek za dalších započatých 1000 m nad 6000 m</t>
  </si>
  <si>
    <t>611421231R00</t>
  </si>
  <si>
    <t>Oprava maleb z malířských směsí</t>
  </si>
  <si>
    <t>642942111RZ1</t>
  </si>
  <si>
    <t>13</t>
  </si>
  <si>
    <t>711210020RAA</t>
  </si>
  <si>
    <t>721273150RT1</t>
  </si>
  <si>
    <t>Vsazení odbočky do plastového potrubí polyfuzí včetně T-kusu D 25 mm, PP-H</t>
  </si>
  <si>
    <t>642103021RAC</t>
  </si>
  <si>
    <t>771579791R00</t>
  </si>
  <si>
    <t>722174216R00</t>
  </si>
  <si>
    <t>771579793R00</t>
  </si>
  <si>
    <t>232</t>
  </si>
  <si>
    <t>"M"</t>
  </si>
  <si>
    <t>Konstrukce doplňkové stavební (zámečnické)</t>
  </si>
  <si>
    <t>342256256R00</t>
  </si>
  <si>
    <t>722175116R00</t>
  </si>
  <si>
    <t>998771101R00</t>
  </si>
  <si>
    <t>140</t>
  </si>
  <si>
    <t>97_</t>
  </si>
  <si>
    <t>317940911RAA</t>
  </si>
  <si>
    <t>61187156</t>
  </si>
  <si>
    <t>Čisticí kus HTRE, tlakové odpadní svislé, D 110 mm</t>
  </si>
  <si>
    <t>Izolace návleková  tl. stěny 13 mm</t>
  </si>
  <si>
    <t>Vyčištění budov o výšce podlaží do 4 m</t>
  </si>
  <si>
    <t>Dlaždice keramické 30x30 - dle výběru</t>
  </si>
  <si>
    <t>Výztuž z armovací sklovláknité tkaniny do potěrů</t>
  </si>
  <si>
    <t>180</t>
  </si>
  <si>
    <t>171201201R00</t>
  </si>
  <si>
    <t>Cena/MJ</t>
  </si>
  <si>
    <t>Konec výstavby:</t>
  </si>
  <si>
    <t>Bourání příček ze skleněných tvárnic tl. 15 cm</t>
  </si>
  <si>
    <t>127</t>
  </si>
  <si>
    <t>z plechu pozinkovaného</t>
  </si>
  <si>
    <t>784191101R00</t>
  </si>
  <si>
    <t>Montáž prahů dveří jednokřídlových š. nad 10 cm</t>
  </si>
  <si>
    <t>Kód</t>
  </si>
  <si>
    <t>S</t>
  </si>
  <si>
    <t>43</t>
  </si>
  <si>
    <t>200</t>
  </si>
  <si>
    <t>722280108R00</t>
  </si>
  <si>
    <t>Montáž podlah keram.,hladké, tmel, 30x30 cm</t>
  </si>
  <si>
    <t>979990105R00</t>
  </si>
  <si>
    <t>Poplatek za uložení suti - plast + sklo, skupina odpadu 170904</t>
  </si>
  <si>
    <t>Obklad parapetu, tmel , šířka do 30 cm</t>
  </si>
  <si>
    <t>Ventil přímý PP-H, D 20 mm x 1/2"</t>
  </si>
  <si>
    <t>vnitřní průměr 50 mm</t>
  </si>
  <si>
    <t>783401811R00</t>
  </si>
  <si>
    <t>Bourání parapetů plastových š. do 50 cm</t>
  </si>
  <si>
    <t>221</t>
  </si>
  <si>
    <t>Zazdění okenního otvoru 1,5 m2, omítky</t>
  </si>
  <si>
    <t>Lešení lehké pomocné, výška podlahy do 1,2 m</t>
  </si>
  <si>
    <t>Kladení zámkové dlažby tl. 8 cm do drtě tl. 4 cm</t>
  </si>
  <si>
    <t>MJ</t>
  </si>
  <si>
    <t>965081702R00</t>
  </si>
  <si>
    <t>Koleno d 20 mm 90°  PP-H</t>
  </si>
  <si>
    <t>45</t>
  </si>
  <si>
    <t>28655003</t>
  </si>
  <si>
    <t>40</t>
  </si>
  <si>
    <t>Penetrace stěn</t>
  </si>
  <si>
    <t>Beton podkladní základových pasů prostý C 12/15</t>
  </si>
  <si>
    <t>283772613</t>
  </si>
  <si>
    <t>včetně dodávky zárubně 800 x 1970 x 150 mm</t>
  </si>
  <si>
    <t>9_</t>
  </si>
  <si>
    <t>Dodávka+montáž - dle fy Univers</t>
  </si>
  <si>
    <t>722173983R00</t>
  </si>
  <si>
    <t>Izolace návleková  tl. stěny 6 mm</t>
  </si>
  <si>
    <t>Doplňující konstrukce a práce na pozemních komunikacích a zpevněných plochách</t>
  </si>
  <si>
    <t>Doplňkové náklady</t>
  </si>
  <si>
    <t>224</t>
  </si>
  <si>
    <t>735117110R00</t>
  </si>
  <si>
    <t>Provedení opravy vnitřní kanalizace, potrubí litinové, přechod z litiny na plast, DN 70 mm</t>
  </si>
  <si>
    <t>132</t>
  </si>
  <si>
    <t>Prah dubový dl. 800 mm, š. 100 mm, tl. 20 mm</t>
  </si>
  <si>
    <t>220</t>
  </si>
  <si>
    <t>612421626R00</t>
  </si>
  <si>
    <t>PSV prac</t>
  </si>
  <si>
    <t>HSV</t>
  </si>
  <si>
    <t>Ventil přímý s výpustí d 25 x 3/4" PP-H</t>
  </si>
  <si>
    <t>979990161R00</t>
  </si>
  <si>
    <t>722181213RT9</t>
  </si>
  <si>
    <t>9</t>
  </si>
  <si>
    <t>Bourání dlažeb keramických tl.10 mm, nad 1 m2</t>
  </si>
  <si>
    <t>Sokl s požlábkem vnitřní roh 2,4 x20 cm bílá mat</t>
  </si>
  <si>
    <t>783900020RAB</t>
  </si>
  <si>
    <t>722130901R00</t>
  </si>
  <si>
    <t>143</t>
  </si>
  <si>
    <t>104</t>
  </si>
  <si>
    <t>Různé dokončovací konstrukce a práce inženýrských staveb</t>
  </si>
  <si>
    <t>Montáž mřížky větrací nebo ventilační do d 100 mm</t>
  </si>
  <si>
    <t>783425250R00</t>
  </si>
  <si>
    <t>15</t>
  </si>
  <si>
    <t>Osazení beton. skruží přechodových 60/100/70/9</t>
  </si>
  <si>
    <t>978059531R00</t>
  </si>
  <si>
    <t>95</t>
  </si>
  <si>
    <t>Bourání příček z cihel pálených plných tl. 65 mm</t>
  </si>
  <si>
    <t>ISWORK</t>
  </si>
  <si>
    <t>596215040R00</t>
  </si>
  <si>
    <t>Celkem včetně DPH</t>
  </si>
  <si>
    <t>429727810</t>
  </si>
  <si>
    <t>142</t>
  </si>
  <si>
    <t>156</t>
  </si>
  <si>
    <t>199</t>
  </si>
  <si>
    <t>150</t>
  </si>
  <si>
    <t>S_</t>
  </si>
  <si>
    <t>Zásyp jam,rýh a šachet štěrkopískem</t>
  </si>
  <si>
    <t>973031813R00</t>
  </si>
  <si>
    <t>61143252</t>
  </si>
  <si>
    <t>721176103R00</t>
  </si>
  <si>
    <t>728415121R00</t>
  </si>
  <si>
    <t>766</t>
  </si>
  <si>
    <t>973031842R00</t>
  </si>
  <si>
    <t>Výztuž základových desek ze svařovaných sítí</t>
  </si>
  <si>
    <t>Demontáž otopného žebříku</t>
  </si>
  <si>
    <t>52</t>
  </si>
  <si>
    <t>118</t>
  </si>
  <si>
    <t>penetrační nátěr Primer G</t>
  </si>
  <si>
    <t>51</t>
  </si>
  <si>
    <t>přivzdušňovací ventil HL900, D 50/75/110 mm</t>
  </si>
  <si>
    <t>894401211RT2</t>
  </si>
  <si>
    <t>Ozn.5-Dveře vchodové plastové sklo 2křídlové 150x197 cm -cena předběžná</t>
  </si>
  <si>
    <t>Provedení opravy vnitřní kanalizace, potrubí plastové, vsazení odbočky, D 50 mm</t>
  </si>
  <si>
    <t>227</t>
  </si>
  <si>
    <t>Přesuny sutí</t>
  </si>
  <si>
    <t>721170905R00</t>
  </si>
  <si>
    <t>Mont prac</t>
  </si>
  <si>
    <t>Trubka D 25 x 2,3 mm délka 5 m PP-H</t>
  </si>
  <si>
    <t>Obklady (keramické)</t>
  </si>
  <si>
    <t>44</t>
  </si>
  <si>
    <t>Provedení spoje plastového vodovodního potrubí, elektrotvarovkami, D 25 mm</t>
  </si>
  <si>
    <t>21011111VD</t>
  </si>
  <si>
    <t>642942111RU4</t>
  </si>
  <si>
    <t>78_</t>
  </si>
  <si>
    <t>Dlažba keramická protiskluz. SB 300x300x9 mm</t>
  </si>
  <si>
    <t>Vyvěšení dřevěných a plastových dveřních křídel pl. nad 2 m2</t>
  </si>
  <si>
    <t>Potrubí HT připojovací, D 50 x 1,8 mm</t>
  </si>
  <si>
    <t>721140933R00</t>
  </si>
  <si>
    <t>23</t>
  </si>
  <si>
    <t>733190106R00</t>
  </si>
  <si>
    <t>972054141R00</t>
  </si>
  <si>
    <t>725_</t>
  </si>
  <si>
    <t>781_</t>
  </si>
  <si>
    <t>771575109RU1</t>
  </si>
  <si>
    <t>Montáž tepelné izolace skruží na potrubí přímé, DN 25 mm, lepicí páska</t>
  </si>
  <si>
    <t>767</t>
  </si>
  <si>
    <t>128</t>
  </si>
  <si>
    <t>597813701</t>
  </si>
  <si>
    <t>Překlad nenosný z pórobetonu  150 x 250 x 1200 mm</t>
  </si>
  <si>
    <t>59</t>
  </si>
  <si>
    <t>109</t>
  </si>
  <si>
    <t>t</t>
  </si>
  <si>
    <t>nivelační hmota tl. 3 mm, penetrace-č.016</t>
  </si>
  <si>
    <t>733113114R00</t>
  </si>
  <si>
    <t>117</t>
  </si>
  <si>
    <t>Montáže vzduchotechnických zařízení</t>
  </si>
  <si>
    <t>Redukce D 50/25 PP-H</t>
  </si>
  <si>
    <t>53</t>
  </si>
  <si>
    <t>Zdivo z tvárnic pórobetonových P4-600 HL, tl. 300 mm</t>
  </si>
  <si>
    <t>Konstrukce truhlářské</t>
  </si>
  <si>
    <t>968096002R00</t>
  </si>
  <si>
    <t>99</t>
  </si>
  <si>
    <t>161</t>
  </si>
  <si>
    <t>107</t>
  </si>
  <si>
    <t>243</t>
  </si>
  <si>
    <t>721179324R00</t>
  </si>
  <si>
    <t>Redukce D 25/20 PP-H</t>
  </si>
  <si>
    <t>125</t>
  </si>
  <si>
    <t>54914626</t>
  </si>
  <si>
    <t>Vybourání plastových oken do 2 m2</t>
  </si>
  <si>
    <t>771100010RAA</t>
  </si>
  <si>
    <t>132101110R00</t>
  </si>
  <si>
    <t>JKSO:</t>
  </si>
  <si>
    <t>85</t>
  </si>
  <si>
    <t>64</t>
  </si>
  <si>
    <t>973031844R00</t>
  </si>
  <si>
    <t>Poplatek za uložení suti - sádrokartonové desky, skupina odpadu 170802</t>
  </si>
  <si>
    <t>Lišta hliníková ukončovacích k obkladům</t>
  </si>
  <si>
    <t>Odpojení a připojení těles po nátěru</t>
  </si>
  <si>
    <t>Příplatek k vnitrost. dopravě suti za dalších 5 m</t>
  </si>
  <si>
    <t>Podklad ze štěrkodrti po zhutnění tloušťky 19 cm</t>
  </si>
  <si>
    <t>61187161</t>
  </si>
  <si>
    <t>Demontáž oplechování parapetů</t>
  </si>
  <si>
    <t>Náklady (Kč) - dodávka</t>
  </si>
  <si>
    <t>197</t>
  </si>
  <si>
    <t>Zátka HTM D 50 mm PP</t>
  </si>
  <si>
    <t>2401111VD</t>
  </si>
  <si>
    <t>Provedení spoje plastového vodovodního potrubí, elektrotvarovkami, D 50 mm</t>
  </si>
  <si>
    <t>77</t>
  </si>
  <si>
    <t>233</t>
  </si>
  <si>
    <t>Varianta:</t>
  </si>
  <si>
    <t>DN celkem</t>
  </si>
  <si>
    <t>H99_</t>
  </si>
  <si>
    <t>766660014RA0</t>
  </si>
  <si>
    <t>Vysekání kapes pro zavázání příček tl. 10 cm, MC</t>
  </si>
  <si>
    <t>šachta</t>
  </si>
  <si>
    <t>116</t>
  </si>
  <si>
    <t>GROUPCODE</t>
  </si>
  <si>
    <t>146</t>
  </si>
  <si>
    <t>979990110R00</t>
  </si>
  <si>
    <t>Poplatek za uložení suti - stavební keramika, skupina odpadu 170103</t>
  </si>
  <si>
    <t>182</t>
  </si>
  <si>
    <t>721170909R00</t>
  </si>
  <si>
    <t>Provozní vlivy</t>
  </si>
  <si>
    <t>5</t>
  </si>
  <si>
    <t>Čisticí kus HTRE , tlakové odpadní svislé, D 75 mm</t>
  </si>
  <si>
    <t>Vzduchotechnika - viz samostatný rozpočet (příloha)</t>
  </si>
  <si>
    <t>963016111R00</t>
  </si>
  <si>
    <t>Odstranění nátěru z potrubí DN do 50 mm</t>
  </si>
  <si>
    <t>76_</t>
  </si>
  <si>
    <t>76791116VD</t>
  </si>
  <si>
    <t>Přesun hmot pro vnitřní vodovod, výšky do 6 m</t>
  </si>
  <si>
    <t>203</t>
  </si>
  <si>
    <t>72190000VD</t>
  </si>
  <si>
    <t>Dodávka+montáž</t>
  </si>
  <si>
    <t>Vysekání kapes pro zavázání příček tl. 15 cm</t>
  </si>
  <si>
    <t>Montáž plastových vodovodních tvarovek, polyfuzně svařovaných, dva spoje, D 50 mm</t>
  </si>
  <si>
    <t>144</t>
  </si>
  <si>
    <t>Druh stavby:</t>
  </si>
  <si>
    <t>Odtokový sprchový žlábek dl.120 cm</t>
  </si>
  <si>
    <t>Penetrace podkladu pod obklady</t>
  </si>
  <si>
    <t>Tlaková zkouška potrubí  DN 32</t>
  </si>
  <si>
    <t>Montáž dveří protipožárních 1kříd. nad 80 cm</t>
  </si>
  <si>
    <t>162</t>
  </si>
  <si>
    <t>Podklad z obalovaného kameniva tl. 70 mm</t>
  </si>
  <si>
    <t>784</t>
  </si>
  <si>
    <t>722181213RW6</t>
  </si>
  <si>
    <t>Vybourání otv. stropy ŽB pl. 0,09 m2, tl. 15 cm</t>
  </si>
  <si>
    <t>238</t>
  </si>
  <si>
    <t>96</t>
  </si>
  <si>
    <t>Vybourání kovových dveřních zárubní pl. do 2 m2</t>
  </si>
  <si>
    <t>735169211R00</t>
  </si>
  <si>
    <t>735_</t>
  </si>
  <si>
    <t>728</t>
  </si>
  <si>
    <t>Příplatek za spárovací vodotěsnou hmotu - plošně</t>
  </si>
  <si>
    <t>202</t>
  </si>
  <si>
    <t>968072456R00</t>
  </si>
  <si>
    <t>194</t>
  </si>
  <si>
    <t>včetně výztužné sítě a stěrkového tmelu Cemix</t>
  </si>
  <si>
    <t>783</t>
  </si>
  <si>
    <t>611601203</t>
  </si>
  <si>
    <t>553310043</t>
  </si>
  <si>
    <t>Železobeton základových pasů C 16/20</t>
  </si>
  <si>
    <t>632411115R00</t>
  </si>
  <si>
    <t>Vybourání otv. zeď cihel. pl.4 m2, tl.15 cm, MVC</t>
  </si>
  <si>
    <t>Bourání zdiva z cihel pálených na MVC</t>
  </si>
  <si>
    <t>Příčka z tvárnic pórobetonových tl. 100 mm</t>
  </si>
  <si>
    <t>10</t>
  </si>
  <si>
    <t>212</t>
  </si>
  <si>
    <t>Obklad soklíků s požlábkem porovinových 15x15 cm</t>
  </si>
  <si>
    <t>149</t>
  </si>
  <si>
    <t>58</t>
  </si>
  <si>
    <t>36</t>
  </si>
  <si>
    <t>Dilatace příček od stropu š. do 150 mm, tl.30 mm</t>
  </si>
  <si>
    <t>14</t>
  </si>
  <si>
    <t>968083003R00</t>
  </si>
  <si>
    <t>31</t>
  </si>
  <si>
    <t>Zařizovací předměty</t>
  </si>
  <si>
    <t>84</t>
  </si>
  <si>
    <t>28655002</t>
  </si>
  <si>
    <t>612425931R00</t>
  </si>
  <si>
    <t>KY 81, drát d 8,0 mm, oko 100 x 100 mm - 2x</t>
  </si>
  <si>
    <t>Staveništní přesuny hmot</t>
  </si>
  <si>
    <t>Osazení válcovaných profilů dodatečně</t>
  </si>
  <si>
    <t>Množství</t>
  </si>
  <si>
    <t>Montáž těles otopných litinových článkových</t>
  </si>
  <si>
    <t>5_</t>
  </si>
  <si>
    <t>38</t>
  </si>
  <si>
    <t>Odstranění nátěru ze zábradlí</t>
  </si>
  <si>
    <t>286551401</t>
  </si>
  <si>
    <t>Žaluzie protidešťová PDZM 1200 x 600 mm</t>
  </si>
  <si>
    <t>174</t>
  </si>
  <si>
    <t>95_</t>
  </si>
  <si>
    <t>Vnitřní vodovod</t>
  </si>
  <si>
    <t>Typ skupiny</t>
  </si>
  <si>
    <t>73</t>
  </si>
  <si>
    <t>28655102</t>
  </si>
  <si>
    <t>979990163R00</t>
  </si>
  <si>
    <t>Stěna z tvárnic ztraceného bednění, tl. 300 mm</t>
  </si>
  <si>
    <t>Železobeton základových desek C 25/30</t>
  </si>
  <si>
    <t>Podklad z obalovaného kameniva tl. 60 mm</t>
  </si>
  <si>
    <t>Mřížka kruhová PVC průměr 100 mm</t>
  </si>
  <si>
    <t>61_</t>
  </si>
  <si>
    <t>včetně dodávky skruže TBS-Q 100/25 PS 100/250/90</t>
  </si>
  <si>
    <t>188</t>
  </si>
  <si>
    <t>56</t>
  </si>
  <si>
    <t>766695212R00</t>
  </si>
  <si>
    <t>722_</t>
  </si>
  <si>
    <t>19</t>
  </si>
  <si>
    <t>C</t>
  </si>
  <si>
    <t>M24_</t>
  </si>
  <si>
    <t>Náklady (Kč)</t>
  </si>
  <si>
    <t>721</t>
  </si>
  <si>
    <t>110</t>
  </si>
  <si>
    <t>39</t>
  </si>
  <si>
    <t>30</t>
  </si>
  <si>
    <t>241</t>
  </si>
  <si>
    <t>Ostatní konstrukce a práce na trubním vedení</t>
  </si>
  <si>
    <t>IČO/DIČ:</t>
  </si>
  <si>
    <t>hod</t>
  </si>
  <si>
    <t>Ostatní</t>
  </si>
  <si>
    <t>Montáž plastového vodovodního potrubí, rovného, polyfuzně svařeného, D 25 mm</t>
  </si>
  <si>
    <t>Přesun hmot pro zámečnické konstr., výšky do 6 m</t>
  </si>
  <si>
    <t>86</t>
  </si>
  <si>
    <t>222</t>
  </si>
  <si>
    <t>Montáž dveří jednokřídlových šířky 80 cm</t>
  </si>
  <si>
    <t>55</t>
  </si>
  <si>
    <t>4295330155</t>
  </si>
  <si>
    <t>Odstranění nátěrů z litinových radiátorů</t>
  </si>
  <si>
    <t>Zpracoval:</t>
  </si>
  <si>
    <t>Vodorovné přemístění suti na skládku do 6000 m</t>
  </si>
  <si>
    <t>Omítka vnitřní zdiva, MVC, hladká</t>
  </si>
  <si>
    <t>Vyvěšení dřevěných a plastových okenních křídel pl. nad 1,5 m2</t>
  </si>
  <si>
    <t>76</t>
  </si>
  <si>
    <t>Podkladní vrstvy komunikací, letišť a ploch</t>
  </si>
  <si>
    <t>Příplatek za plochu podlah keram. do 5 m2 jednotl.</t>
  </si>
  <si>
    <t>Vybourání otv. zeď cihel. 0,0225 m2, tl. 60cm, MVC</t>
  </si>
  <si>
    <t>KY 80, drát d 8,0 mm, oko 150 x 150 mm</t>
  </si>
  <si>
    <t>64_</t>
  </si>
  <si>
    <t>998722101R00</t>
  </si>
  <si>
    <t>207</t>
  </si>
  <si>
    <t>Zhotovitel</t>
  </si>
  <si>
    <t>199000002R00</t>
  </si>
  <si>
    <t>dovoz štěrkopísku ze vzdálenosti 10 km-rampa</t>
  </si>
  <si>
    <t>783401812R00</t>
  </si>
  <si>
    <t>RTS I / 2023</t>
  </si>
  <si>
    <t>vč.naložení a složení</t>
  </si>
  <si>
    <t>190</t>
  </si>
  <si>
    <t>979083191R00</t>
  </si>
  <si>
    <t>342241162R00</t>
  </si>
  <si>
    <t>27_</t>
  </si>
  <si>
    <t>2</t>
  </si>
  <si>
    <t>Projektant:</t>
  </si>
  <si>
    <t>ORN celkem</t>
  </si>
  <si>
    <t>Koleno d 25 mm 90°  PP-H</t>
  </si>
  <si>
    <t>Zkrácený popis / Varianta</t>
  </si>
  <si>
    <t/>
  </si>
  <si>
    <t>152</t>
  </si>
  <si>
    <t>968061126R00</t>
  </si>
  <si>
    <t>17</t>
  </si>
  <si>
    <t>ks</t>
  </si>
  <si>
    <t>735111810R00</t>
  </si>
  <si>
    <t>98</t>
  </si>
  <si>
    <t>112</t>
  </si>
  <si>
    <t>Lešení a stavební výtahy</t>
  </si>
  <si>
    <t>Montáž plastových vodovodních tvarovek, polyfuzně svařovaných, jeden spoj, D 50 mm</t>
  </si>
  <si>
    <t>Montáž protidešťové žaluzie čtyřhranné do 0,75 m2</t>
  </si>
  <si>
    <t>21</t>
  </si>
  <si>
    <t>61187181</t>
  </si>
  <si>
    <t>274313511R00</t>
  </si>
  <si>
    <t>Omítka vnitřní zdiva, MVC, štuková</t>
  </si>
  <si>
    <t>34_</t>
  </si>
  <si>
    <t>Ventil přímý s výpustí d 50 x 6/4" PP-H</t>
  </si>
  <si>
    <t>61165612</t>
  </si>
  <si>
    <t>Potrubí HT svodné (ležaté) zavěšené, D 110 x 2,7 mm</t>
  </si>
  <si>
    <t>Úprava povrchů vnitřní</t>
  </si>
  <si>
    <t>Práce přesčas</t>
  </si>
  <si>
    <t>735119140R00</t>
  </si>
  <si>
    <t>31_</t>
  </si>
  <si>
    <t>Bednění stěn základových desek - odstranění</t>
  </si>
  <si>
    <t>41_</t>
  </si>
  <si>
    <t>61</t>
  </si>
  <si>
    <t>317147501R00</t>
  </si>
  <si>
    <t>Proplach a dezinfekce vodovodního potrubí DN 80 mm</t>
  </si>
  <si>
    <t xml:space="preserve"> proti vlhkosti-č.010</t>
  </si>
  <si>
    <t>Úprava stropních prostupů - cena předběžná</t>
  </si>
  <si>
    <t>Zátka d 20 mm montážní PP-H</t>
  </si>
  <si>
    <t>126</t>
  </si>
  <si>
    <t>124</t>
  </si>
  <si>
    <t>včetně skruže přechod. TBR-Q 625/600/90/SPK (SLK)</t>
  </si>
  <si>
    <t>Přesun hmot pro otopná tělesa, výšky do 6 m</t>
  </si>
  <si>
    <t>158</t>
  </si>
  <si>
    <t>tloušťka vrstvy 5 mm</t>
  </si>
  <si>
    <t>12</t>
  </si>
  <si>
    <t>998735101R00</t>
  </si>
  <si>
    <t>234</t>
  </si>
  <si>
    <t>Kulturní památka</t>
  </si>
  <si>
    <t>Objekt</t>
  </si>
  <si>
    <t>Různé dokončovací konstrukce a práce na pozemních stavbách</t>
  </si>
  <si>
    <t>168</t>
  </si>
  <si>
    <t>Stropy a stropní konstrukce (pro pozemní stavby)</t>
  </si>
  <si>
    <t>Bourání konstrukcí</t>
  </si>
  <si>
    <t>Otopná tělesa</t>
  </si>
  <si>
    <t>722174213R00</t>
  </si>
  <si>
    <t>DPH 21%</t>
  </si>
  <si>
    <t>184</t>
  </si>
  <si>
    <t>134</t>
  </si>
  <si>
    <t>opálením</t>
  </si>
  <si>
    <t>211</t>
  </si>
  <si>
    <t>196</t>
  </si>
  <si>
    <t>721140935R00</t>
  </si>
  <si>
    <t>Elektromontáže</t>
  </si>
  <si>
    <t>Hloubení rýh š.do 60 cm v hor.2 do 50 m3, STROJNĚ</t>
  </si>
  <si>
    <t>971033231R00</t>
  </si>
  <si>
    <t>Provedení opravy vnitřní kanalizace, potrubí litinové, přechod z litiny na plast,DN 100 mm</t>
  </si>
  <si>
    <t>965048150R00</t>
  </si>
  <si>
    <t>187</t>
  </si>
  <si>
    <t>_</t>
  </si>
  <si>
    <t>kpl</t>
  </si>
  <si>
    <t>721170907R00</t>
  </si>
  <si>
    <t>191</t>
  </si>
  <si>
    <t>Přesun hmot pro podlahy z dlaždic, výšky do 6 m</t>
  </si>
  <si>
    <t>Demontáž těles otopných litinových článkových</t>
  </si>
  <si>
    <t>Příčka z tvárnic pórobetonových  tl. 150 mm</t>
  </si>
  <si>
    <t>49</t>
  </si>
  <si>
    <t>Příčka z tvárnic pórobetonových  tl. 200 mm</t>
  </si>
  <si>
    <t>72</t>
  </si>
  <si>
    <t>Nátěr syntetický litin. radiátorů Z +2x + 1x email</t>
  </si>
  <si>
    <t>968061113R00</t>
  </si>
  <si>
    <t>Přesuny</t>
  </si>
  <si>
    <t>MAT</t>
  </si>
  <si>
    <t>Přesun hmot pro izolace proti vodě, výšky do 6 m</t>
  </si>
  <si>
    <t>Dveřní kování  klíč Cr</t>
  </si>
  <si>
    <t>978013191R00</t>
  </si>
  <si>
    <t>7259911VD</t>
  </si>
  <si>
    <t>70</t>
  </si>
  <si>
    <t>597623141</t>
  </si>
  <si>
    <t>766670021R00</t>
  </si>
  <si>
    <t>979083117R00</t>
  </si>
  <si>
    <t>8</t>
  </si>
  <si>
    <t>Celkem:</t>
  </si>
  <si>
    <t>Mimostav. doprava</t>
  </si>
  <si>
    <t>Nátěry</t>
  </si>
  <si>
    <t>7679111VD</t>
  </si>
  <si>
    <t>Provedení opravy vnitřní kanalizace, potrubí plastové, vsazení odbočky, D 75 mm</t>
  </si>
  <si>
    <t>18</t>
  </si>
  <si>
    <t>Přesun hmot pro truhlářské konstr., výšky do 6 m</t>
  </si>
  <si>
    <t>722175123R00</t>
  </si>
  <si>
    <t>včetně obrubníku ABO 2 - 15 100/15/25</t>
  </si>
  <si>
    <t>28655108</t>
  </si>
  <si>
    <t>Komplet nástěnný  PP-H, D 20 mm x R 1/2"</t>
  </si>
  <si>
    <t>46</t>
  </si>
  <si>
    <t>781</t>
  </si>
  <si>
    <t>728_</t>
  </si>
  <si>
    <t>181</t>
  </si>
  <si>
    <t>214</t>
  </si>
  <si>
    <t>Vybourání otv. stropy ŽB pl. 1 m2, tl. nad 8 cm</t>
  </si>
  <si>
    <t>273361921RT8</t>
  </si>
  <si>
    <t>Montáž vodovodních armatur,1závit, G 2"</t>
  </si>
  <si>
    <t>71_</t>
  </si>
  <si>
    <t>176</t>
  </si>
  <si>
    <t>972054491R00</t>
  </si>
  <si>
    <t>Montáž vchodových dveří plastových</t>
  </si>
  <si>
    <t>100</t>
  </si>
  <si>
    <t>108</t>
  </si>
  <si>
    <t>vč.naložení</t>
  </si>
  <si>
    <t>50</t>
  </si>
  <si>
    <t>Základy</t>
  </si>
  <si>
    <t>1.NP</t>
  </si>
  <si>
    <t>4_</t>
  </si>
  <si>
    <t>m</t>
  </si>
  <si>
    <t>Vybourání otv. zeď cihel. pl.0,09 m2, tl.60cm, MVC</t>
  </si>
  <si>
    <t>Slepý stavební rozpočet - rekapitulace</t>
  </si>
  <si>
    <t>217</t>
  </si>
  <si>
    <t>225</t>
  </si>
  <si>
    <t>Přemístění výkopku</t>
  </si>
  <si>
    <t>Dodávka+montáž-rampa</t>
  </si>
  <si>
    <t>11</t>
  </si>
  <si>
    <t>998725101R00</t>
  </si>
  <si>
    <t>28615161</t>
  </si>
  <si>
    <t>Vodorovné přemístění výkopku z hor.1-4 do 10000 m</t>
  </si>
  <si>
    <t>240</t>
  </si>
  <si>
    <t>32</t>
  </si>
  <si>
    <t>Rozvod potrubí</t>
  </si>
  <si>
    <t>721290111R00</t>
  </si>
  <si>
    <t>Objednatel:</t>
  </si>
  <si>
    <t>204</t>
  </si>
  <si>
    <t>998766101R00</t>
  </si>
  <si>
    <t>721176212R00</t>
  </si>
  <si>
    <t>Malba otěruvzdorná, bílá, bez penetrace, 2 x</t>
  </si>
  <si>
    <t>597623201</t>
  </si>
  <si>
    <t>968083002R00</t>
  </si>
  <si>
    <t>8_</t>
  </si>
  <si>
    <t>bez materiálu</t>
  </si>
  <si>
    <t>PSV mat</t>
  </si>
  <si>
    <t xml:space="preserve"> tl. 2 mm</t>
  </si>
  <si>
    <t>Demontáž podlah s polštáři z prken tl. do 32 mm</t>
  </si>
  <si>
    <t>Elektroinstalace - viz samostatný rozpočet (příloha)</t>
  </si>
  <si>
    <t>Umyvadlo, baterie, zápachová uzávěrka</t>
  </si>
  <si>
    <t>Vybourání kovových dveřních zárubní pl. nad 2 m2</t>
  </si>
  <si>
    <t>Nátěr syntet. zábradlí Z +1x +1x email</t>
  </si>
  <si>
    <t>3</t>
  </si>
  <si>
    <t>Bednění stěn základových desek - zřízení</t>
  </si>
  <si>
    <t>Vybourání otv. stropy ŽB pl. 0,0225 m2, tl. 15 cm</t>
  </si>
  <si>
    <t>Přesun hmot pro rozvody potrubí, výšky do 6 m</t>
  </si>
  <si>
    <t>711_</t>
  </si>
  <si>
    <t>766629304R00</t>
  </si>
  <si>
    <t>102</t>
  </si>
  <si>
    <t>Zhotovitel:</t>
  </si>
  <si>
    <t>174100050RAC</t>
  </si>
  <si>
    <t>Poplatek za uložení suti - cihelné výrobky, skupina odpadu 170102</t>
  </si>
  <si>
    <t>Podlahy z dlaždic</t>
  </si>
  <si>
    <t>96_</t>
  </si>
  <si>
    <t>952901111R00</t>
  </si>
  <si>
    <t>733111324R00</t>
  </si>
  <si>
    <t>Sifon pračkový , D 40/50 mm nerezový</t>
  </si>
  <si>
    <t>784_</t>
  </si>
  <si>
    <t>35</t>
  </si>
  <si>
    <t>Zárubeň ocelová  "LZ" 150 rozměr 900 x 1970 mm L, P</t>
  </si>
  <si>
    <t>Začátek výstavby:</t>
  </si>
  <si>
    <t>Potrubí HT připojovací, D 75 x 1,9 mm</t>
  </si>
  <si>
    <t>Dveřní kování klíč Ti</t>
  </si>
  <si>
    <t>783324240R00</t>
  </si>
  <si>
    <t>781111116R00</t>
  </si>
  <si>
    <t>Zakování dveří 1křídlých kompletizovaných</t>
  </si>
  <si>
    <t>A</t>
  </si>
  <si>
    <t>208</t>
  </si>
  <si>
    <t>Mont mat</t>
  </si>
  <si>
    <t>Obkládačka keramická - dle výběru</t>
  </si>
  <si>
    <t>163</t>
  </si>
  <si>
    <t>13_</t>
  </si>
  <si>
    <t>722</t>
  </si>
  <si>
    <t>722202512R00</t>
  </si>
  <si>
    <t>998733101R00</t>
  </si>
  <si>
    <t>Zazátkování vývodu</t>
  </si>
  <si>
    <t>93</t>
  </si>
  <si>
    <t>73_</t>
  </si>
  <si>
    <t>Osazení zárubní dveřních ocelových, pl. do 2,5 m2</t>
  </si>
  <si>
    <t>Montáž plastových vodovodních tvarovek, polyfuzně svařovaných, jeden spoj, D 25 mm</t>
  </si>
  <si>
    <t>273351215R00</t>
  </si>
  <si>
    <t>Vložky do dilatačních spár, polystyren, tl 50 mm</t>
  </si>
  <si>
    <t>oškrábání, umytí, vyhlazení, 2x malba-jídelna</t>
  </si>
  <si>
    <t>parapetní zdivo</t>
  </si>
  <si>
    <t>173</t>
  </si>
  <si>
    <t>Tlaková zkouška vodovodního potrubí DN 32 mm</t>
  </si>
  <si>
    <t>63_</t>
  </si>
  <si>
    <t>157</t>
  </si>
  <si>
    <t>101</t>
  </si>
  <si>
    <t>75</t>
  </si>
  <si>
    <t>Trubka D 20 x 1,9 mm délka 5 m PP-H</t>
  </si>
  <si>
    <t>54</t>
  </si>
  <si>
    <t>342256255R00</t>
  </si>
  <si>
    <t>205</t>
  </si>
  <si>
    <t xml:space="preserve"> </t>
  </si>
  <si>
    <t>16_</t>
  </si>
  <si>
    <t>136</t>
  </si>
  <si>
    <t>153</t>
  </si>
  <si>
    <t>Ardex FB 9 L (flex.lepidlo), Ardex FL (spár.hmota)</t>
  </si>
  <si>
    <t>T kus d 50x25x50 mm PP-H redukovaný</t>
  </si>
  <si>
    <t>Vybourání otv. zeď cihel. 0,0225 m2, tl. 15cm, MVC</t>
  </si>
  <si>
    <t>123</t>
  </si>
  <si>
    <t>Příplatek za spárovací hmotu - plošně,keram.dlažba</t>
  </si>
  <si>
    <t>159</t>
  </si>
  <si>
    <t>Poplatek za uložení - dřevo, skupina odpadu 170201</t>
  </si>
  <si>
    <t>Kryty pozemních komunikací, letišť a ploch dlážděných (předlažby)</t>
  </si>
  <si>
    <t>Potrubí závitové běžné svař. níz/středotl. DN 20</t>
  </si>
  <si>
    <t>kg</t>
  </si>
  <si>
    <t>Provedení opravy vnitřní kanalizace, potrubí plastové, vsazení odbočky, D 110 mm</t>
  </si>
  <si>
    <t>Objednatel</t>
  </si>
  <si>
    <t>57</t>
  </si>
  <si>
    <t>998711101R00</t>
  </si>
  <si>
    <t>(Kč)</t>
  </si>
  <si>
    <t>783424340R00</t>
  </si>
  <si>
    <t>22</t>
  </si>
  <si>
    <t>115</t>
  </si>
  <si>
    <t>Územní vlivy</t>
  </si>
  <si>
    <t>Zdi podpěrné a volné</t>
  </si>
  <si>
    <t>611423121R00</t>
  </si>
  <si>
    <t>286550972</t>
  </si>
  <si>
    <t>Spára podlaha - stěna, silikonem</t>
  </si>
  <si>
    <t>592452655</t>
  </si>
  <si>
    <t>m3</t>
  </si>
  <si>
    <t>725</t>
  </si>
  <si>
    <t>ručně, dlaždice keramické</t>
  </si>
  <si>
    <t>Stěrka hydroizolační těsnicí hmotou</t>
  </si>
  <si>
    <t>Provedení opravy vnitřní kanalizace, výměna kroužku s přetěsněním zátky</t>
  </si>
  <si>
    <t>722175112R00</t>
  </si>
  <si>
    <t>722173986R00</t>
  </si>
  <si>
    <t>Bourání soklíků z dlažeb keramických</t>
  </si>
  <si>
    <t>Příplatek za zhotovení přípojky DN 20</t>
  </si>
  <si>
    <t>766665921R00</t>
  </si>
  <si>
    <t>Datum:</t>
  </si>
  <si>
    <t>91_</t>
  </si>
  <si>
    <t>Prstenec vyrovnávací šachetní.1 63/10</t>
  </si>
  <si>
    <t>215</t>
  </si>
  <si>
    <t>781415015R00</t>
  </si>
  <si>
    <t>27</t>
  </si>
  <si>
    <t>Montáž prahů dveří jednokřídlových š. do 15 cm</t>
  </si>
  <si>
    <t>37</t>
  </si>
  <si>
    <t>80</t>
  </si>
  <si>
    <t>m2</t>
  </si>
  <si>
    <t>Osazení poklopu s rámem do 150 kg</t>
  </si>
  <si>
    <t>41</t>
  </si>
  <si>
    <t>59_</t>
  </si>
  <si>
    <t>186</t>
  </si>
  <si>
    <t>Přesun hmot a sutí</t>
  </si>
  <si>
    <t>NUS z rozpočtu</t>
  </si>
  <si>
    <t>1.PP</t>
  </si>
  <si>
    <t>28655122</t>
  </si>
  <si>
    <t>59224349.A</t>
  </si>
  <si>
    <t>962031116R00</t>
  </si>
  <si>
    <t>1</t>
  </si>
  <si>
    <t>stávající šachta</t>
  </si>
  <si>
    <t>Montáž otopných těles trubkových</t>
  </si>
  <si>
    <t>206</t>
  </si>
  <si>
    <t>7</t>
  </si>
  <si>
    <t>274361921RT9</t>
  </si>
  <si>
    <t>236</t>
  </si>
  <si>
    <t>Rozměry</t>
  </si>
  <si>
    <t>Montáž vodovodních armatur,1závit, G 1"</t>
  </si>
  <si>
    <t>722229106R00</t>
  </si>
  <si>
    <t>Vsazení odbočky do plastového potrubí polyfuzí včetně T-kusu D 20 mm, PP-H</t>
  </si>
  <si>
    <t>771575109R00</t>
  </si>
  <si>
    <t>74</t>
  </si>
  <si>
    <t>Položek:</t>
  </si>
  <si>
    <t>767200002RA0</t>
  </si>
  <si>
    <t>NUS celkem</t>
  </si>
  <si>
    <t>Podlahy a podlahové konstrukce</t>
  </si>
  <si>
    <t>WORK</t>
  </si>
  <si>
    <t>962081141R00</t>
  </si>
  <si>
    <t>164</t>
  </si>
  <si>
    <t>131</t>
  </si>
  <si>
    <t>612421637R00</t>
  </si>
  <si>
    <t>979082111R00</t>
  </si>
  <si>
    <t>83</t>
  </si>
  <si>
    <t>771_</t>
  </si>
  <si>
    <t>Výplně otvorů</t>
  </si>
  <si>
    <t>213</t>
  </si>
  <si>
    <t>93_</t>
  </si>
  <si>
    <t>Demontáž podhledu SDK, kovová kce., 1xoplášť.12,5 mm</t>
  </si>
  <si>
    <t>9531199VD</t>
  </si>
  <si>
    <t>733</t>
  </si>
  <si>
    <t>114</t>
  </si>
  <si>
    <t>47</t>
  </si>
  <si>
    <t>735</t>
  </si>
  <si>
    <t>Montáž plastového vodovodního potrubí, rovného, polyfuzně svařeného, D 20 mm</t>
  </si>
  <si>
    <t>Omítka vápenná vnitřního ostění - štuková</t>
  </si>
  <si>
    <t>962032241R00</t>
  </si>
  <si>
    <t>HSV mat</t>
  </si>
  <si>
    <t>M21_</t>
  </si>
  <si>
    <t>177</t>
  </si>
  <si>
    <t>66</t>
  </si>
  <si>
    <t>Nátěr syntet. potrubí do DN 50 mm  Z+2x +1x email</t>
  </si>
  <si>
    <t>56_</t>
  </si>
  <si>
    <t>722229103R00</t>
  </si>
  <si>
    <t>Prah dubový dl. 900 mm, š. 150 mm, tl. 20 mm</t>
  </si>
  <si>
    <t>Vzduchotechnika</t>
  </si>
  <si>
    <t>917862111RT7</t>
  </si>
  <si>
    <t>Osazení betonových stropních dílců jakýchkoliv</t>
  </si>
  <si>
    <t>317147304R00</t>
  </si>
  <si>
    <t>Ztužující věnec ŽB beton C 16/20, 30 x 30 cm</t>
  </si>
  <si>
    <t>201</t>
  </si>
  <si>
    <t>H99</t>
  </si>
  <si>
    <t>155</t>
  </si>
  <si>
    <t>včetně dodávky zárubně 800 x 1970 x 100 mm</t>
  </si>
  <si>
    <t>90</t>
  </si>
  <si>
    <t>210</t>
  </si>
  <si>
    <t>Bourání příček z cihel pálených plných tl. 140 mm</t>
  </si>
  <si>
    <t>89</t>
  </si>
  <si>
    <t>Hlavice ventilační přivětrávací HL900</t>
  </si>
  <si>
    <t>971033361R00</t>
  </si>
  <si>
    <t>179</t>
  </si>
  <si>
    <t>317147321R00</t>
  </si>
  <si>
    <t>185</t>
  </si>
  <si>
    <t>88</t>
  </si>
  <si>
    <t>Poplatek za skládku horniny 1- 4, č. dle katal. odpadů 17 05 04</t>
  </si>
  <si>
    <t>148</t>
  </si>
  <si>
    <t>Zkrácený popis</t>
  </si>
  <si>
    <t>Bourání zdiva z cihel pálených na MC</t>
  </si>
  <si>
    <t>28</t>
  </si>
  <si>
    <t>Vysekání kapes pro zavázání zdí tl. 30 cm, MC</t>
  </si>
  <si>
    <t>Dočištění povrchu po vybourání dlažeb, tmel do 50%</t>
  </si>
  <si>
    <t>111</t>
  </si>
  <si>
    <t>971033631R00</t>
  </si>
  <si>
    <t>962032231R00</t>
  </si>
  <si>
    <t>311271887R00</t>
  </si>
  <si>
    <t>239</t>
  </si>
  <si>
    <t>976085411R00</t>
  </si>
  <si>
    <t>771</t>
  </si>
  <si>
    <t>CELK</t>
  </si>
  <si>
    <t>632481211R00</t>
  </si>
  <si>
    <t>113</t>
  </si>
  <si>
    <t>Přesun hmot pro zařizovací předměty, výšky do 6 m</t>
  </si>
  <si>
    <t>106</t>
  </si>
  <si>
    <t>94_</t>
  </si>
  <si>
    <t>784195212R00</t>
  </si>
  <si>
    <t>971033261R00</t>
  </si>
  <si>
    <t>65</t>
  </si>
  <si>
    <t>Prorážení otvorů a ostatní bourací práce</t>
  </si>
  <si>
    <t>Zátka HTM D 110 mm PP</t>
  </si>
  <si>
    <t>771101101R00</t>
  </si>
  <si>
    <t>169</t>
  </si>
  <si>
    <t>34</t>
  </si>
  <si>
    <t>62</t>
  </si>
  <si>
    <t>193</t>
  </si>
  <si>
    <t>Odsekání vnitřních obkladů stěn nad 2 m2</t>
  </si>
  <si>
    <t>Montáž výztužné sítě(perlinky)do stěrky-vnit.stěny</t>
  </si>
  <si>
    <t>Deska výdejového okna - cena předběžná</t>
  </si>
  <si>
    <t>č.016</t>
  </si>
  <si>
    <t>Izolace proti vodě</t>
  </si>
  <si>
    <t>218</t>
  </si>
  <si>
    <t>zalití tvárnic betonem C 16/20</t>
  </si>
  <si>
    <t>Oprava váp.omítek stropů do 10% plochy - štukových</t>
  </si>
  <si>
    <t>28615152</t>
  </si>
  <si>
    <t>Náklady (Kč) - Montáž</t>
  </si>
  <si>
    <t>Plentování ocelových nosníků výšky do 20 cm</t>
  </si>
  <si>
    <t>Rolovací mříže na vodící lišty 2ks 300x247 cm +1ks 175x247+ motor</t>
  </si>
  <si>
    <t>Ozn.č.2-Dveře vchodové plastové 2/3 sklo1křídlové 90x197 cm-cena předběžná</t>
  </si>
  <si>
    <t>Vnitřní kanalizace</t>
  </si>
  <si>
    <t>Dlažba zámková přírodní 20x10x8</t>
  </si>
  <si>
    <t>Překlad nosný z pórobetonu  100 x 250 x 1200 mm</t>
  </si>
  <si>
    <t>Rekonstrukce školní kuchyně</t>
  </si>
  <si>
    <t xml:space="preserve">Cena stavebních prácí a dodávek a zvláště agregovaných položek obsahuje komplexní systémové řešení vč. pomocných prací a materiálů, kotvení, povrchových úprav apod. Specifikace je dána projektovou dokumentaci - nedílnou součástí soupisu prací je výkresová i textová část a specifikace projektové dokumentace pro provedení stavby. </t>
  </si>
  <si>
    <t>S položkami uvedenými v této specifikaci platí veškeré s nimi spojené práce, které jsou zapotřebí pro provedení kompletní dodávky a to i když nejsou zvlášť uvedeny. Tzn., že veškeré položky patrné z výkazů, výkresů a technických zpráv je třeba v nabídkové ceně  zohlednit a ocenit je jako kompletně vykonané práce včetně materiálu, nářadí a strojů nutných k práci, i když tyto nejsou ve výkazech vypsány zvlášť</t>
  </si>
  <si>
    <t>Pokud jsou v této dokumentaci uvedeny konkrétní typy výrobků, jedná se pouze o příklady sloužící pro specifikaci vlastností - technických a uživatelských standardů. Zhotovitel dokumentace výslovně uvádí, že tyto výrobky lze nahradit jinými výrobky stejných technických vlastností - standardů a shodné, nebo vyšší kvality. Stejným způsobem jsou (mohou být) v dokumentaci uvedeni jako příklad informativně i možní, v úvahu přicházející výrobci, nebo dodavatelé.</t>
  </si>
  <si>
    <t>DPH 12%</t>
  </si>
  <si>
    <t>Zařízení velkokuchyní</t>
  </si>
  <si>
    <t>CELKEM vč. DPH</t>
  </si>
  <si>
    <t>Součástí ceny za vedlejší a ostatní náklady (VRN) jsou i činnosti výše nespecifikované, které jsou uvedené ve smlouvě o dílo.</t>
  </si>
  <si>
    <t>Pol.č.</t>
  </si>
  <si>
    <t>Název</t>
  </si>
  <si>
    <t>Materiál
Kč</t>
  </si>
  <si>
    <t>Montáž
Kč</t>
  </si>
  <si>
    <t xml:space="preserve">Jedn. cena
Kč </t>
  </si>
  <si>
    <t>Celkem
Kč</t>
  </si>
  <si>
    <t>A.</t>
  </si>
  <si>
    <t>Rozvaděče</t>
  </si>
  <si>
    <t>A1</t>
  </si>
  <si>
    <t>Rozvaděč ER (Elektroměrový) - referenční výrobek</t>
  </si>
  <si>
    <t>Rozvaděč např. PEN 101 (Pavel Flek)</t>
  </si>
  <si>
    <t>Jistič Siemens 3VA2340-5HL</t>
  </si>
  <si>
    <t>Napojení HDV v pojistkové skříni a v ER</t>
  </si>
  <si>
    <t>Spojovací a montážní materiál vč. mont.</t>
  </si>
  <si>
    <t>A2</t>
  </si>
  <si>
    <t>Rozvaděč RK - referenční výrobek</t>
  </si>
  <si>
    <t>Rozvaděč Schrack AC 206040</t>
  </si>
  <si>
    <t>Pojistkový odpojovač 3NP115+ZP2</t>
  </si>
  <si>
    <t>Pojistkový odpojovač 3NP112+PNA000gG 160A</t>
  </si>
  <si>
    <t>Jistič LTN-6B-1</t>
  </si>
  <si>
    <t>Jistič LTN-16B-1</t>
  </si>
  <si>
    <t>Jistič LTN-10B-3</t>
  </si>
  <si>
    <t>Jistič LTN-10D-3</t>
  </si>
  <si>
    <t>Jistič LTN-16B-3</t>
  </si>
  <si>
    <t>Jistič LTN-25B-3</t>
  </si>
  <si>
    <t>Jistič LTN-32B-3</t>
  </si>
  <si>
    <t>Jistič LTN-40B-3</t>
  </si>
  <si>
    <t>Jistič LTN-50B-3</t>
  </si>
  <si>
    <t>Jistič LTN-63B-3</t>
  </si>
  <si>
    <t>Chránič LFN-25-4-030AC</t>
  </si>
  <si>
    <t>Chránič LFN-40-4-030AC</t>
  </si>
  <si>
    <t>Chránič LFN-63-4-030AC</t>
  </si>
  <si>
    <t>Chránič LFN-80-4-030AC</t>
  </si>
  <si>
    <t>Komb. Chránič+jistič OLI-10B-1N-030AC</t>
  </si>
  <si>
    <t>Komb. Chránič+jistič OLI-16B-1N-030AC</t>
  </si>
  <si>
    <t>Multifunkční relé MIR-16-001-A230</t>
  </si>
  <si>
    <t>A3</t>
  </si>
  <si>
    <t>Rozvaděč RV - referenční výrobek</t>
  </si>
  <si>
    <t>Rozvaděč OEZ, typ DZ54-2403</t>
  </si>
  <si>
    <t>Hlavní vypínač  MSO-40-3</t>
  </si>
  <si>
    <t>Svodič bleskových proudů a přepětí SVBC-12,5-3N-MZS</t>
  </si>
  <si>
    <t>Proudový chránič s jističem  OLI-10B-1N-030AC</t>
  </si>
  <si>
    <t>Připojení, zprovoznění</t>
  </si>
  <si>
    <t>Rozvaděč RV celkem</t>
  </si>
  <si>
    <t>B.</t>
  </si>
  <si>
    <t>společné prostory - HDV - referenční výrobky</t>
  </si>
  <si>
    <t>B1</t>
  </si>
  <si>
    <t>HDV</t>
  </si>
  <si>
    <t>Kabel 1-AYKY 3x150+ 70 mm2</t>
  </si>
  <si>
    <t>Kabelový žlab HL KGI60.100.060</t>
  </si>
  <si>
    <t>Víko HLD 100</t>
  </si>
  <si>
    <t>Ohyb HL B90.60.100 H + VÍKO</t>
  </si>
  <si>
    <t>Konzole HL NK41H41-100</t>
  </si>
  <si>
    <t>Spojovací a upevňovací materiál</t>
  </si>
  <si>
    <t>CYA 16 mm2 zž</t>
  </si>
  <si>
    <t>Společné prostory HDV  celkem</t>
  </si>
  <si>
    <t>B2</t>
  </si>
  <si>
    <t>El. instalace - společné prostory - referenční výrobky</t>
  </si>
  <si>
    <t>3559-A91345  Tlačítko</t>
  </si>
  <si>
    <t>3916-122221  doutnavka orientační</t>
  </si>
  <si>
    <t>3558A-A653 B kryt s průzorem</t>
  </si>
  <si>
    <t>3901A-B10 B rámeček jednonásobný</t>
  </si>
  <si>
    <t>3559-A01345 přístroj ř.1</t>
  </si>
  <si>
    <t>3559-A05345 přístroj ř.5</t>
  </si>
  <si>
    <t>3559-A06345 přístroj ř.6</t>
  </si>
  <si>
    <t>3558E-A00651 kryt</t>
  </si>
  <si>
    <t>3558E-A00652 kryt dělený</t>
  </si>
  <si>
    <t>3901F-A00110 Rámeček 1nás. Vodorovný</t>
  </si>
  <si>
    <t>Zásuvka průmyslová 400V/16A/5, IP44</t>
  </si>
  <si>
    <t>Zásuvka 230V/16A, IP 44</t>
  </si>
  <si>
    <t>Krabice KU 68</t>
  </si>
  <si>
    <t>CYKY(J)(o) 3x 1,5 mm2</t>
  </si>
  <si>
    <t>CYKY(J) 3x 2,5 mm2</t>
  </si>
  <si>
    <t>CYKY(J) 5x 2,5 mm2</t>
  </si>
  <si>
    <t>CYKY(J) 5x 4 mm2</t>
  </si>
  <si>
    <t>CYKY(J) 5x 6 mm2</t>
  </si>
  <si>
    <t>CYKY(J) 5x 10 mm2</t>
  </si>
  <si>
    <t>CYKY(J) 5x 16 mm2</t>
  </si>
  <si>
    <t>CYA 6 mm2 zž</t>
  </si>
  <si>
    <t>Lišta vkládací LV 40x40</t>
  </si>
  <si>
    <t>Svítidla</t>
  </si>
  <si>
    <t>Svítidlo FUTURA 2.4ft, VP AL 8800/840</t>
  </si>
  <si>
    <t>Svítidlo FUTURA 2.4ft, VP AL 8800/840 s NZ</t>
  </si>
  <si>
    <t>Svítídlo RABALUX-LED 15W/230V, IP44 - STROPNÍ</t>
  </si>
  <si>
    <t>Svítidlo RABALUX JIM 5750 2xLED/5W/230V, IP44</t>
  </si>
  <si>
    <t>Ukončení vodičů - odhad</t>
  </si>
  <si>
    <t>Drobný montážní materiál vč. mont.</t>
  </si>
  <si>
    <t>El. instalace - společné prostory - celkem</t>
  </si>
  <si>
    <t>C.</t>
  </si>
  <si>
    <t>Ostatní práce (odhad)</t>
  </si>
  <si>
    <t>demontáže stávající elektroinstalace, rozvaděčů atd</t>
  </si>
  <si>
    <t>protipožární ucpávky - odhad</t>
  </si>
  <si>
    <t>Průrazy</t>
  </si>
  <si>
    <t xml:space="preserve">Zhotovení drážek, stavební přípomoce </t>
  </si>
  <si>
    <t>Zazdění drážek</t>
  </si>
  <si>
    <t>přesun hmot</t>
  </si>
  <si>
    <t>doprava</t>
  </si>
  <si>
    <t>ostatní nespecifikované / nepředvídatelné položky (odhad)</t>
  </si>
  <si>
    <t>koordinace s investorem - odhad</t>
  </si>
  <si>
    <t>koordinace s ostatními profesemi</t>
  </si>
  <si>
    <t>Jednání s ČEZ</t>
  </si>
  <si>
    <t xml:space="preserve">revize </t>
  </si>
  <si>
    <t>dokumentace skut. provedení</t>
  </si>
  <si>
    <t>ekologická likvidace odpadu</t>
  </si>
  <si>
    <t>Ostatní práce - celkem</t>
  </si>
  <si>
    <t xml:space="preserve">DPH </t>
  </si>
  <si>
    <t>VÝKAZ VÝMĚR</t>
  </si>
  <si>
    <t>VZDUCHOTECHNIKA</t>
  </si>
  <si>
    <t>ozn. části:</t>
  </si>
  <si>
    <t>Celková cena:</t>
  </si>
  <si>
    <t>Doplňková cena (dle dodavatele):</t>
  </si>
  <si>
    <t>číslo/ ozn.</t>
  </si>
  <si>
    <t>Popis, rozměry, specifikace, typ</t>
  </si>
  <si>
    <t>měrná jednotka</t>
  </si>
  <si>
    <t>množství</t>
  </si>
  <si>
    <t>dodávka/ jednotku (Kč)</t>
  </si>
  <si>
    <t>Celkem dodávka (Kč)</t>
  </si>
  <si>
    <t>Celkem    (Kč)</t>
  </si>
  <si>
    <t>Celkem část</t>
  </si>
  <si>
    <t>1.</t>
  </si>
  <si>
    <t>KUCHYNĚ</t>
  </si>
  <si>
    <t>1.1.</t>
  </si>
  <si>
    <t>AHU1 -  VZT jednotka ve složení: 4x pružná manžeta, 2x uzavírací klapka, filtr F5/G4,  deskový rekuperátor s účinností min. 90% a s 100% BY-PASS, přímý výparník/kondenzátor 15kW,  ventilátory s EC motorem resp.  FM – 5000m3/h / 500Pa,  vnitřní provedení, vč. montáže, oživení a nastavení, vč. kompletního systému MaR včetně všech prvků řízení a měření, prokabelování, oživení , zprovoznění, nastavení a zaregulování</t>
  </si>
  <si>
    <t>1.2.</t>
  </si>
  <si>
    <t>TČ- kondenzační jednotka 15kW, vč „ahuboxu“, teplotních čidel,  rámu pod jednotku, prokabelování, el. zapojení, nastavení a zaregulování a doplnění chladiva dle skutečné délky CU potrubí</t>
  </si>
  <si>
    <t>1.3.</t>
  </si>
  <si>
    <t>CU potrubí 10/16 vč. komunikačního kabelu CYKY5x1,5</t>
  </si>
  <si>
    <t>1.4.</t>
  </si>
  <si>
    <t>nasávací žaluzie 615x1200</t>
  </si>
  <si>
    <t>1.5.</t>
  </si>
  <si>
    <t>výdechový šikmý kus se sítem 550x550 R135st</t>
  </si>
  <si>
    <t>1.6.</t>
  </si>
  <si>
    <t>odsávací  digestoř nerezová 4750x1100 v.450 vč. 6x tukový filtr a 3x osvětlení (el. zapojení není předmětem dodávky profese VZT)</t>
  </si>
  <si>
    <t>1.7.</t>
  </si>
  <si>
    <t>1.8.</t>
  </si>
  <si>
    <t>1.9.</t>
  </si>
  <si>
    <t>odsávací  digestoř nerezová 1200x1000 v.450 vč. 2x tukový filtr</t>
  </si>
  <si>
    <t>1.10.</t>
  </si>
  <si>
    <t>textilní přívodní vyustka DN450 L.1550 1000m3/h vč. závěsů a vnitřního koše</t>
  </si>
  <si>
    <t>1.11.</t>
  </si>
  <si>
    <t>textilní přívodní vyustka DN450 L.9200 4000m3/h vč. závěsů a vnitřního koše</t>
  </si>
  <si>
    <t>1.12.</t>
  </si>
  <si>
    <t>zpětná klapka do kruhového potrubí DN160</t>
  </si>
  <si>
    <t>1.13.</t>
  </si>
  <si>
    <t>zpětná klapka do kruhového potrubí DN200</t>
  </si>
  <si>
    <t>1.14.</t>
  </si>
  <si>
    <t>spiro potrubí do obvodu DN160 vč. tvarovek 30%</t>
  </si>
  <si>
    <t>1.15.</t>
  </si>
  <si>
    <t>spiro potrubí do obvodu DN200 vč. tvarovek 40%</t>
  </si>
  <si>
    <t>1.16.</t>
  </si>
  <si>
    <t xml:space="preserve">obdelníkové zn. potrubí tř. I. do obvodu 4000  </t>
  </si>
  <si>
    <t>1.17.</t>
  </si>
  <si>
    <t xml:space="preserve">obdelníkové zn. potrubí tř. I. do obvodu 2500  </t>
  </si>
  <si>
    <t>1.18.</t>
  </si>
  <si>
    <t>kulisa tlumiče hluku 610x1500 š.100</t>
  </si>
  <si>
    <t>1.19.</t>
  </si>
  <si>
    <t>kulisa tlumiče hluku 610x1200 š.100</t>
  </si>
  <si>
    <t>1.20.</t>
  </si>
  <si>
    <t>kulisa tlumiče hluku 895x1200 š.100</t>
  </si>
  <si>
    <t>1.21.</t>
  </si>
  <si>
    <t>tepelná izolace – minerální s AL. polepem tl.60mm</t>
  </si>
  <si>
    <t>1.22.</t>
  </si>
  <si>
    <t>tepelná izolace – minerální s AL. polepem tl.40mm</t>
  </si>
  <si>
    <t>1.23.</t>
  </si>
  <si>
    <t>požární a tepelná izolace – minerální s AL. polepem tl.40mm</t>
  </si>
  <si>
    <t>1.24</t>
  </si>
  <si>
    <t>montážní materiál na zhotovení a montáž závěsů, spojovací a těsnící materiál, prvky roznášející zatížení, tlumící vibrace, značení a popisky vzduchovodů přívod / odvod,směr,zařízení regulace množství vzduchu aj.</t>
  </si>
  <si>
    <t>1.25.</t>
  </si>
  <si>
    <t>doprava materiálu + doprava  2% z ceny</t>
  </si>
  <si>
    <t>kpl.</t>
  </si>
  <si>
    <t>1.26.</t>
  </si>
  <si>
    <t>VRN + oživení, nastavení + předávací protokoly, dokumentace skutečného provedení, zaškolení obsluhy</t>
  </si>
  <si>
    <t>1.27.</t>
  </si>
  <si>
    <t>montáž</t>
  </si>
  <si>
    <t>STAVBA</t>
  </si>
  <si>
    <t>EL. PŘÍVOD VZT  230V 3A pro AHU a TČ</t>
  </si>
  <si>
    <t>STAVEBNÍ OTVORY + ZAČIŠTĚNÍ</t>
  </si>
  <si>
    <t>ODVOD KONDENZÁTU</t>
  </si>
  <si>
    <t>Multifunkční pánev</t>
  </si>
  <si>
    <t>Podpultová chladnice</t>
  </si>
  <si>
    <t>Po osazení spotřebičů bude provedeno přesné doměření pro výrobu nerezového nábytku a toto bude zadáno do výroby!!</t>
  </si>
  <si>
    <t>Pro technologii konvektomatů a multifunkční pánve a kotlů osazena úpravna vody s možností odběrů do duplikátorů kotlů.</t>
  </si>
  <si>
    <t>Konvektomaty a ostatní části technologie budou dále napojeny i na neupravenou pitnou vodu.</t>
  </si>
  <si>
    <t>Organizace výroby</t>
  </si>
  <si>
    <t xml:space="preserve">Na varný blok navazuje pracovní plocha pro zpracování těst včetně dvojice universálních strojů a dokončovací plocha pro porcování vařených surovin a přípravu na výdej. </t>
  </si>
  <si>
    <t>Pro přípravu snídaní je vyčleněna pracovní plocha přímo u vstupu do jídelny se dřezem.</t>
  </si>
  <si>
    <t>Umývárna černého nádobí je umístěna na protilehlé straně výrobní linky, vybavena a dřezem s manipulační plochou a myčkou.</t>
  </si>
  <si>
    <t xml:space="preserve">Umývárna bílého nádobí navazuje na výdej stravy a propojena je s tímto prokládací skříní. </t>
  </si>
  <si>
    <t>V umývárně je umístěna pracovní plocha pro očištění nádobí od zbytků stravy s otvorem do odpadové nádoby, vlastní strojní mytí průběžnou myčkou a prostor pro odkap.</t>
  </si>
  <si>
    <t>Výdej stravy a udržování normové teploty pokrmů je řešeno ve vodní lázni výdejních vozíků a udržovací skříni.</t>
  </si>
  <si>
    <t>Varná plocha je vybavena odsáváním s akumulačními zákryty nad tepelným spotřebiči.</t>
  </si>
  <si>
    <t xml:space="preserve">Větrání rovnotlaké s přívodem ohřátého vzduchu s rekuperací. </t>
  </si>
  <si>
    <t xml:space="preserve">V prostoru varny je umístěna výlevka s umývadlem. </t>
  </si>
  <si>
    <t xml:space="preserve">Odvod splaškových vod z podlah je řešen pomocí AK vpustí s protiskluznými rošty. </t>
  </si>
  <si>
    <t>Všechny pracovní plochy stolů a dřezy jsou navrženy z AK oceli provedeny na míru do daného prostoru.</t>
  </si>
  <si>
    <t>Všechny stěny kuchyně jsou opatřeny omyvatelným povrchem do výšky min. 2000 mm.</t>
  </si>
  <si>
    <t>Podlaha je upravena protuskluznou dlažbou s požlábkem.</t>
  </si>
  <si>
    <t>Výdej stravy</t>
  </si>
  <si>
    <t>Tento je řešen samoobsluhou odebíráním strávníkem stravy přímo z výdejního pultu.</t>
  </si>
  <si>
    <t xml:space="preserve">Výdejní linka je sestavena z částí pro uložení a odběr strávníkem podnosů, příborů, nápojového skla, natočení nápoje, odběr salátu a jiných doplňků hlavního jídla, odběr polévky, hlavního jídla. </t>
  </si>
  <si>
    <t xml:space="preserve">Linka ja zakončena příjmem použitého stolního nádobí. </t>
  </si>
  <si>
    <t>Výdej stravy je veden elektronickou evidencí pomocí čipů strávníků a informací obsluhy o počtu vydaných porcí – původní stav ponechán</t>
  </si>
  <si>
    <t>Umývárna bílého nádobí</t>
  </si>
  <si>
    <t>Po dokončení konzumace bude bílé nádobí vraceno do kuchyně, jak bylo výše uvedeno – mytí je řešeno jako strojní el. mycím strojem s obsluhou jednou osobou.</t>
  </si>
  <si>
    <t>Před vložením bude opláchnuto horkou vodou v přidruženém dřezu s odkapní plochou.</t>
  </si>
  <si>
    <t xml:space="preserve">ELEKTROMATERIÁL - Výka, výměr (jedná se o referenční výrobky) </t>
  </si>
  <si>
    <t>STAVEBNÍ PRÁCE</t>
  </si>
  <si>
    <t>61894371/CZ61894371</t>
  </si>
  <si>
    <t>Střední průmyslová škola stavební a Obchodní akademie, Kladno, Cyrila Boudy 2954</t>
  </si>
  <si>
    <t>IČO/DIČ: 61894371/CZ61894371</t>
  </si>
  <si>
    <t xml:space="preserve">CELKEM bez DPH </t>
  </si>
  <si>
    <t>KUCHYNĚ CYRILA BOUDY 2953 , KLADNO</t>
  </si>
  <si>
    <t>investor:</t>
  </si>
  <si>
    <t>hl.projektant:</t>
  </si>
  <si>
    <t>Michal Šveinar</t>
  </si>
  <si>
    <t>projektant části:</t>
  </si>
  <si>
    <t>název části:</t>
  </si>
  <si>
    <t>odsávací nerez digestoř  850x800 v.250</t>
  </si>
  <si>
    <t>odsávací  nerez digestoř 1000x800 v.250</t>
  </si>
  <si>
    <t>obecné požadavky:</t>
  </si>
  <si>
    <r>
      <t>Protidešťová žaluzie -</t>
    </r>
    <r>
      <rPr>
        <sz val="8"/>
        <color theme="1"/>
        <rFont val="Verdana"/>
        <family val="2"/>
        <charset val="238"/>
      </rPr>
      <t xml:space="preserve"> </t>
    </r>
    <r>
      <rPr>
        <sz val="8"/>
        <color theme="1"/>
        <rFont val="Verdana"/>
        <family val="2"/>
        <charset val="238"/>
      </rPr>
      <t xml:space="preserve">z hlinikového nebo ocelového pozin. profilu s listy z hlinikového nebo ocelového pozink. profilu,    </t>
    </r>
  </si>
  <si>
    <r>
      <t>Regulační klapka vícelistá</t>
    </r>
    <r>
      <rPr>
        <sz val="10"/>
        <color theme="1"/>
        <rFont val="Arial CE1"/>
        <charset val="238"/>
      </rPr>
      <t xml:space="preserve"> - </t>
    </r>
    <r>
      <rPr>
        <sz val="8"/>
        <color theme="1"/>
        <rFont val="Verdana"/>
        <family val="2"/>
        <charset val="238"/>
      </rPr>
      <t>lamelové protiběžné klapky z profilových dutých hlinikových</t>
    </r>
  </si>
  <si>
    <t>profilů, dosedací plochy lamel opatřeny těsnící pryží, připojení klapek pomocí</t>
  </si>
  <si>
    <t>přírub z lisovaného plechu</t>
  </si>
  <si>
    <t>Protipožární klapka čtyřhranná typ .40</t>
  </si>
  <si>
    <t>skříň a díly klapky z pozinkovaného plechu s lis. přírubami</t>
  </si>
  <si>
    <t>uzavírací list klapky ze speciálního izolačního materiálu neobsahující azbest</t>
  </si>
  <si>
    <t>těsnění listu z tepelně zpětného materiálu, ložiska z oceli, požární odolnost 90 min;</t>
  </si>
  <si>
    <t>Provedení se servopohonem BLF 230-T. Po dobu, kdy je servopohon pod napětím, nachází se</t>
  </si>
  <si>
    <t>list v poloze "OTEVŘENO". Jestliže dojede k přerušení napájení servopohonu, zpětná pružina</t>
  </si>
  <si>
    <t>přestaví list klapky do havarijní polohy "ZAVŘENO".</t>
  </si>
  <si>
    <t>kontrolní otvor  a rám pro zalití</t>
  </si>
  <si>
    <t>klapky budou osazeny v síle stěny s dokonalou těsností a s dostatečným servisním prostorem bez</t>
  </si>
  <si>
    <t>nutnosti demontovat jiné prvky než ty, pro které je zajišťován servis</t>
  </si>
  <si>
    <t>umístění klapek musí být vždy takové, aby zachovalo stupeň požární odolnosti stěny</t>
  </si>
  <si>
    <r>
      <t>Vyústky</t>
    </r>
    <r>
      <rPr>
        <sz val="10"/>
        <color theme="1"/>
        <rFont val="Arial CE1"/>
        <charset val="238"/>
      </rPr>
      <t xml:space="preserve"> - </t>
    </r>
    <r>
      <rPr>
        <sz val="8"/>
        <color theme="1"/>
        <rFont val="Verdana"/>
        <family val="2"/>
        <charset val="238"/>
      </rPr>
      <t>rám a listy vyústky z hlinikového profilu - přírodní elox,</t>
    </r>
  </si>
  <si>
    <t>popřípadě ocelový plech s komaxitovým nátěrem RAL (bílá barva) dle požadavku interiéru</t>
  </si>
  <si>
    <t>včetně regulace a rámečku pro uchycení do potrubí</t>
  </si>
  <si>
    <t>Čtyřhranné potrubí z pozinkovaného plechu sk.I</t>
  </si>
  <si>
    <t>s přírubovými spoji s tvarových listů dotěsněné pryží a tmelem. Potrubí pro čisté prostory musí být</t>
  </si>
  <si>
    <t>před montáží vyčištěno, všechny otvory v potrubí zaslepeny folii až do zkušebního provozu.</t>
  </si>
  <si>
    <t>Použité přírubové spoje budou spojeny v rozích šroubovými spoji tak, aby montáž odpovídala</t>
  </si>
  <si>
    <t>platným normám (zemnění zařízení). Veškeré spoje budou po vnějším obvodu příruby opatřeny</t>
  </si>
  <si>
    <t>převlečnou těsnící lištou. V případě délky strany větší než 800 mm bude spoj prošroubován ještě</t>
  </si>
  <si>
    <t>mezi rohovníky</t>
  </si>
  <si>
    <t xml:space="preserve"> - regulační listové klapky na všech odbočkách s možností nastavení vně potrubí; táhla klapek</t>
  </si>
  <si>
    <t xml:space="preserve">   vytaženy nad izolaci potrubí.</t>
  </si>
  <si>
    <t xml:space="preserve"> - minimální tloušťka plechu 0,8 mm; při straně potrubí větší něž 300 mm použít prolisy či výstuhy</t>
  </si>
  <si>
    <t xml:space="preserve"> - vyrobeno z kvalitního pozinkovaného plechu</t>
  </si>
  <si>
    <t xml:space="preserve"> - úchyty max. 3m od sebe a dále pod každou odbočkou, kolenem a VZT prvků, které jsou součástí</t>
  </si>
  <si>
    <t xml:space="preserve">   potrubí</t>
  </si>
  <si>
    <t xml:space="preserve"> - zavěšení provedeno pomocí kovových závitových tyčí umožňujících výškové nastavení</t>
  </si>
  <si>
    <t xml:space="preserve"> - úchyty uloženy silenbloky</t>
  </si>
  <si>
    <t xml:space="preserve"> - závitové tyče musí zůstat ve vertikální poloze</t>
  </si>
  <si>
    <t xml:space="preserve"> - provedení otvorů pro umístění čidel automatické regulace</t>
  </si>
  <si>
    <t xml:space="preserve"> - měřící místa musí být zazátkována a trvale přístupna</t>
  </si>
  <si>
    <t xml:space="preserve"> - veškeré potrubí, ve kterém může vznikat kondenzace bude ve vodotěsném provedení s vyspádo-</t>
  </si>
  <si>
    <t xml:space="preserve">   váním do nejnižších míst; tato místa budou opatřena výpustí kondenzátu. Nosnost úchytu a závěsů</t>
  </si>
  <si>
    <t xml:space="preserve">   takto provedených potrubí bude předpokládáno na váhu 10 krát vyšší než je váha vlastního potrubí.</t>
  </si>
  <si>
    <t xml:space="preserve"> - součástí potrubí budou veškeré nosné a  kotvící konstrukce, ocelové konstrukce s přichycením ke</t>
  </si>
  <si>
    <t xml:space="preserve">   stavebním konstrukcím. Pro čisté prostory bude potrubí ve vzduchotěsném provedení</t>
  </si>
  <si>
    <t>Kruhové potrubí "SPIRO"</t>
  </si>
  <si>
    <t xml:space="preserve">   stavebním konstrukcím.</t>
  </si>
  <si>
    <t>Ve výkazu nejsou zohledněny stavební přípomoce, bourací a vrtací práce, nasledné začištění, přípojky elektro</t>
  </si>
  <si>
    <t>jištění přívodních elektrokabelů, napojení kondenzátu do  kanalizace</t>
  </si>
  <si>
    <t>stavební práce</t>
  </si>
  <si>
    <t>Výkaz výměr - GASTRO</t>
  </si>
  <si>
    <t>poz.</t>
  </si>
  <si>
    <t>Název zařízení</t>
  </si>
  <si>
    <t>Popis zařízení</t>
  </si>
  <si>
    <t>Rozměry mm</t>
  </si>
  <si>
    <t>Příkon / napětí</t>
  </si>
  <si>
    <t>Ks</t>
  </si>
  <si>
    <t>Cena/kus bez DPH</t>
  </si>
  <si>
    <t>Cena celkem bez DPH</t>
  </si>
  <si>
    <t>Bufetový vozík chladící výdejní</t>
  </si>
  <si>
    <t>Přístěnný salátový chladící vozík, kapacita vozíku min. 4 x GN 1/1 - 150, součástí vozíku sklopitelná pojezdová police umístěna na dlouhé straně - z důvodu možnosti projetí prostorem uzkým 800mm,  pojízdné provedení - 4x kolečko, z toho 2x bržděné, součástí vozíku skleněná galerie s LED osvětlením chladícího prosotru, nastavitelná regulace teploty v rozmezí min. +2°C až +10°C, dřevěné obklad - provedení světlý dub, design dle výběru</t>
  </si>
  <si>
    <t>Rozměr není specifikován, zařízení však musí splňovat  všechny parametry a také zároveň respektovat stavební a technologickou dispozici  z hlediska plánovaného umístění zařízení stejně jako bezpečnostní a hygienické předpisy</t>
  </si>
  <si>
    <t>max. 1kW/230V</t>
  </si>
  <si>
    <r>
      <t xml:space="preserve">Vozík na příbory a tácy - </t>
    </r>
    <r>
      <rPr>
        <b/>
        <sz val="11"/>
        <color indexed="8"/>
        <rFont val="Calibri"/>
        <family val="2"/>
        <charset val="238"/>
      </rPr>
      <t>dodávka investora</t>
    </r>
  </si>
  <si>
    <r>
      <t xml:space="preserve">Vozík na nápojové sklo- </t>
    </r>
    <r>
      <rPr>
        <b/>
        <sz val="11"/>
        <color indexed="8"/>
        <rFont val="Calibri"/>
        <family val="2"/>
        <charset val="238"/>
      </rPr>
      <t>dodávka investora</t>
    </r>
  </si>
  <si>
    <r>
      <t xml:space="preserve">Nádoba na studené nápoje - </t>
    </r>
    <r>
      <rPr>
        <b/>
        <sz val="11"/>
        <color indexed="8"/>
        <rFont val="Calibri"/>
        <family val="2"/>
        <charset val="238"/>
      </rPr>
      <t>dodávka investora</t>
    </r>
  </si>
  <si>
    <r>
      <t xml:space="preserve">Nádoba na teplé nápoje - </t>
    </r>
    <r>
      <rPr>
        <b/>
        <sz val="11"/>
        <color indexed="8"/>
        <rFont val="Calibri"/>
        <family val="2"/>
        <charset val="238"/>
      </rPr>
      <t>dodávka investora</t>
    </r>
  </si>
  <si>
    <t>Výdejní parapetní deska</t>
  </si>
  <si>
    <t>Pracovní deska, nerezové provedení, plná výztuha v celé ploše z LTD, deska umístěná na zděné výdejní příčce, blíže ke vchodu do varny</t>
  </si>
  <si>
    <t>3050x500x40 DOMĚREK</t>
  </si>
  <si>
    <t>6a</t>
  </si>
  <si>
    <t>Pracovní deska, nerezové provedení, plná výztuha v celé ploše z LTD, deska umístěná na zděné výdejní příčce, mezi sloupy, blíže ke sběru stolního nádobí</t>
  </si>
  <si>
    <t>2950x500x40 DOMĚREK</t>
  </si>
  <si>
    <t>Vyhřívaná výdejní vodní lázeň</t>
  </si>
  <si>
    <t>Vyhřívaná výdejní vodní lázeň, pojízdná, kapacita min. 3x GN 1/1-200, nerezové provedení, dělené provedení lázně - každá vana disponuje samostatným topným tělesem, samostatným termostatem pro regulaci teploty až do +90°C a samostatným vypouštěcím ventilem, pojízdné provedení - 4x kolečko, každé o průměru 100mm, z toho 2x bržděná,, 1x plná police, součástá lázně 1x elektrická zásuvka 230V pro připojení vyhřívaného zásobníku na talíře, ovládání na kratší straně, nerezové provedení</t>
  </si>
  <si>
    <t>max. 1300x700x900</t>
  </si>
  <si>
    <t>max. 2,5kW/230V</t>
  </si>
  <si>
    <t>Skladový nerezový regál</t>
  </si>
  <si>
    <t>Skladový regál, 4x plná police, každá police optřena podélnou výztuhou, nosná konstrukce z jeklů min. 40/40mm, tuhá, pevná, svařovaná konstrukce, opláštěná záda a pravý bok regálu nerezovým plechem, celonerezové provedení</t>
  </si>
  <si>
    <t>1700x600x1800</t>
  </si>
  <si>
    <t>Pracovní stůl příjmový</t>
  </si>
  <si>
    <t>Pracovní stůl, určen pro sběr špinavého použitého nádobí, zadní přesah desky pracovního stolu  - přes zděný parapet, bez police příprava pro instalaci stěrky na shoz zbytků strav - viz poz. 9a, příprava pro instalaci stolové nástavby - viz poz. 9c</t>
  </si>
  <si>
    <t>1400x600x850</t>
  </si>
  <si>
    <t>9a</t>
  </si>
  <si>
    <t>Stěrka na zbytky jídel</t>
  </si>
  <si>
    <t>Stěrka na zbytky jídel, připevněná na desce stolu na poz.  9, odnímatelná, možnost mytí stěrky v myčce nádobí</t>
  </si>
  <si>
    <t>9b</t>
  </si>
  <si>
    <t>Koš na odpad</t>
  </si>
  <si>
    <t xml:space="preserve">Odpadkový koš, objem koše min. 50 lt, nerezové provedení, pojízdný - 4x kolečko, součástí koše 1x víko </t>
  </si>
  <si>
    <t>9c</t>
  </si>
  <si>
    <t>Stolová nástavba</t>
  </si>
  <si>
    <t>Stolová nástavba dvoupatrová, určena k uchycení na příjmový stůl poz. 9, nerezové provedení</t>
  </si>
  <si>
    <t>1400x350x550 DOMĚREK</t>
  </si>
  <si>
    <t>Stůl vstupní s dřezem k myčce</t>
  </si>
  <si>
    <t>Vstupní stůl k myčce, prolis pro vedení na koše 500x500mm, vstupní stůl pravý, 1x vevařený lisovaný dřez o rozměru 450x450x250mm, 1x otvor pro stojánkovou baterii, zvýšený zadní lem + levý lem, výška lemů 150mm, atypická kapotáž dřezu z čela - ve spodním prostoru pod pracovní deskou volný prostor pro umístění automatického změkčovače vody, stůl samostatně stojící, ale zavěšený do myčky - 4x noha stolu, nerezové provedení</t>
  </si>
  <si>
    <t>1750x750x850 DOMĚREK</t>
  </si>
  <si>
    <t>10a</t>
  </si>
  <si>
    <t>Sprcha s baterií stojánková</t>
  </si>
  <si>
    <t xml:space="preserve">Tlaková sprcha s baterií ze stolu a s napouštěcím ramínkem, nerezová tlaková hadice, vyrovnávací pružina, tlaková sprcha ukončena pákovým ovladačem, baterie ovládaná pákou </t>
  </si>
  <si>
    <t>Vpusť nerez</t>
  </si>
  <si>
    <t>Podlahová vpusť, s protizápachovou uzávěrou k zalití do podlahy, vč. pochůzného podlahového vyjímatelného roštu, spodní vývod DN 75 nebo DN 110 /dle požadavku stavby/ instalaci tj. připojení na rozvod kanalizace a zabetonování zajišťuje dodavtel stavby</t>
  </si>
  <si>
    <t>300x300</t>
  </si>
  <si>
    <t>Tunelová myčka stolního nádobí</t>
  </si>
  <si>
    <r>
      <t>Tunelová myčka dvounádržová,</t>
    </r>
    <r>
      <rPr>
        <b/>
        <sz val="10.5"/>
        <color indexed="10"/>
        <rFont val="Calibri"/>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</si>
  <si>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viz zjišťovací protokol</t>
  </si>
  <si>
    <t>Stůl výstupní z myčky levý</t>
  </si>
  <si>
    <r>
      <t xml:space="preserve">válečkové provedení, válečky umístěny ve vyjímatelných kazetách s možností mytí v myčce, </t>
    </r>
    <r>
      <rPr>
        <sz val="10"/>
        <color indexed="10"/>
        <rFont val="Arial"/>
        <family val="2"/>
        <charset val="238"/>
      </rPr>
      <t xml:space="preserve"> </t>
    </r>
    <r>
      <rPr>
        <sz val="10"/>
        <color indexed="8"/>
        <rFont val="Arial"/>
        <family val="2"/>
        <charset val="238"/>
      </rPr>
      <t xml:space="preserve">válečky celodélkové v nerezovém provedení s ložisky, jäklová konstrukce stolu, </t>
    </r>
    <r>
      <rPr>
        <sz val="10"/>
        <rFont val="Arial"/>
        <family val="2"/>
        <charset val="1"/>
      </rPr>
      <t>vyspádovaná vana stolu s napojením na odpad, součástí stolu modul se zásuvy pro 3 mycí koše, stůl vybaven koncovým tlačítkem pro zastavení tunelové myčky nádobí v případě zaplnění výstupního stolu mycími koši</t>
    </r>
  </si>
  <si>
    <t>1100x600x870 DOMĚREK</t>
  </si>
  <si>
    <t xml:space="preserve">Váha plošinová můstková příjmová </t>
  </si>
  <si>
    <t>Příjmová váha, váživost min. 150 kg, rozměr vážní plochy min. 400x500mm, provedení litina / nerez, lakovaná nebo nerezová konstrukce, LCD displej, fuknce: vážení, počítání kusů, navažování, bateriová, součástí balení adaptér pro napájení ze sítě, úředně ověřená a ověřitelná</t>
  </si>
  <si>
    <t>Rozměr není specifikován, zařízení však musí při dodržení požadovaných vlastností respektovat   stavební a technologickou dispozici  z hlediska plánovaného umístění zařízení, stejně jakožto i  bezpečnostní a hygienické předpisy</t>
  </si>
  <si>
    <t>max. 0,2kW/230V</t>
  </si>
  <si>
    <t xml:space="preserve">Vozík pro konvektomat </t>
  </si>
  <si>
    <r>
      <t xml:space="preserve">Vozík pro konvektomat na poz. 17, kapacita vozíku 20x GN 1/1, nerezové provedení, </t>
    </r>
    <r>
      <rPr>
        <b/>
        <sz val="11"/>
        <color indexed="10"/>
        <rFont val="Calibri"/>
        <family val="2"/>
        <charset val="238"/>
      </rPr>
      <t>originální příslušenství doporučené a garantované výrobcem konvektomatu na poz. 17</t>
    </r>
  </si>
  <si>
    <t>16a</t>
  </si>
  <si>
    <t>Úpravna vody</t>
  </si>
  <si>
    <t>Konvektomat</t>
  </si>
  <si>
    <r>
      <t xml:space="preserve">Elektrický konvektomat </t>
    </r>
    <r>
      <rPr>
        <b/>
        <sz val="11"/>
        <color indexed="10"/>
        <rFont val="Calibri"/>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</si>
  <si>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r>
      <t xml:space="preserve">Elektrická multifunkční pánev, </t>
    </r>
    <r>
      <rPr>
        <b/>
        <sz val="10"/>
        <color indexed="10"/>
        <rFont val="Arial"/>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</si>
  <si>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19a</t>
  </si>
  <si>
    <t>Příslušenství k multifunkční pánvi</t>
  </si>
  <si>
    <t>Příslušenství k multifunkční pánvi na poz. 19 - rameno pro zvedání a spouštění košů</t>
  </si>
  <si>
    <t>19b</t>
  </si>
  <si>
    <t>Příslušenství k multifunkční pánvi na poz. 19 - varný koš</t>
  </si>
  <si>
    <t>19c</t>
  </si>
  <si>
    <t>Příslušenství k multifunkční pánvi na poz. 19 - fritovací koš</t>
  </si>
  <si>
    <t>19d</t>
  </si>
  <si>
    <t>Příslušenství k multifunkční pánvina poz. 19 - velká špachtle bez držadla</t>
  </si>
  <si>
    <t>19e</t>
  </si>
  <si>
    <t>Příslušenství k multifunkční pánvi na poz. 19 - rošt na dno pánve</t>
  </si>
  <si>
    <t>19f</t>
  </si>
  <si>
    <t>Příslušenství k multifunkční pánvi na poz. 19 - síto</t>
  </si>
  <si>
    <t>19g</t>
  </si>
  <si>
    <t>Příslušenství k multifunkční pánvi na poz. 19 - čistící houba SCOTCHBRICK na pánve</t>
  </si>
  <si>
    <t>Indukční modulární sporák</t>
  </si>
  <si>
    <r>
      <t xml:space="preserve">Indukční modulární sporák, </t>
    </r>
    <r>
      <rPr>
        <b/>
        <sz val="11"/>
        <color indexed="10"/>
        <rFont val="Calibri"/>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</si>
  <si>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 xml:space="preserve">Stůl pracovní  </t>
  </si>
  <si>
    <t>Pracovní stůl, pod pracovní deskou vpravo umístěna 1x výsuvná zásuvka, vnitřní kapacita  zásuvky min. 1x GN 1/1-150mm, zadní lem, 1x plná police, nerezové provedení</t>
  </si>
  <si>
    <t>650x760x900 DOMĚREK</t>
  </si>
  <si>
    <t>Modulární neutrální díl</t>
  </si>
  <si>
    <t>Modulární neutrální díl, 1x plná police, neutrální díl instalován do hygienicky spojeného designově jednotného varného bloku společně s multifunkčním varném zařízení na poz.  24 a společně s modulárním indukčním sporákem na poz. 21, spojení jednotlivých zařízení musí být provedeno hygienicky, systémovým spojem, zabraňující zatékání mezi jednotlivými zařízeními na podlahu.</t>
  </si>
  <si>
    <t>mín. šířka 400</t>
  </si>
  <si>
    <t xml:space="preserve">Multifunkční varné zařízení </t>
  </si>
  <si>
    <r>
      <t xml:space="preserve">Multifunkční varné zařízení, </t>
    </r>
    <r>
      <rPr>
        <b/>
        <sz val="10"/>
        <color indexed="10"/>
        <rFont val="Arial"/>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</si>
  <si>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24a</t>
  </si>
  <si>
    <t>Příslušenství k multifunkčnímu varnému zařízení</t>
  </si>
  <si>
    <t xml:space="preserve">Sada příslušenství k multifunkčnímu varného zařízení na poz. 24, sada obsahuje :
- 1x síto odpadu pro vypouštění odpadní vody s měrkou
- 1x síto výpustného ventilu pro vypouštění vařených potravin
- 2x rošt na dno pánve
- 1x špachtle velká
- 1x lopata děrovaná
- 1x lopata plná
- 1x stěrka na čištění
- 2x děrovaná vložka GN 1/1 se klopnými držadly
- 1x sada kartáčů pro čistění a údržbu 
- 1x vozík na vyprazdňování LP 150
- 1x gastronádoba GN 1/1 200 se sklopnými držadly pro vozík
- 1x rameno pro varné koše 
- 2x varný koš </t>
  </si>
  <si>
    <t>800x450</t>
  </si>
  <si>
    <t>Vyhřívaná udržovací skříň</t>
  </si>
  <si>
    <r>
      <t xml:space="preserve">Vyhřívaná pojízdná udržovací skříň. </t>
    </r>
    <r>
      <rPr>
        <b/>
        <sz val="10"/>
        <color indexed="10"/>
        <rFont val="Arial"/>
        <family val="2"/>
        <charset val="238"/>
      </rPr>
      <t xml:space="preserve">kapacita min. 15x GN 1/1, vč. možnosti zvlhčování vnitřního prostoru, </t>
    </r>
    <r>
      <rPr>
        <sz val="10"/>
        <rFont val="Arial"/>
        <family val="2"/>
        <charset val="238"/>
      </rPr>
      <t xml:space="preserve">nerezové provedení, dvouplášťová konstrukce, </t>
    </r>
    <r>
      <rPr>
        <b/>
        <sz val="10"/>
        <color indexed="10"/>
        <rFont val="Arial"/>
        <family val="2"/>
        <charset val="238"/>
      </rPr>
      <t>izolované lisované bočnice s roztečí vsunů  min. 75mm</t>
    </r>
    <r>
      <rPr>
        <sz val="10"/>
        <rFont val="Arial"/>
        <family val="2"/>
        <charset val="238"/>
      </rPr>
      <t>, vnitřní ventilátor,  digitální termostaty regulace teploty v rozmezí min. +30°C až +90°C, masivní rohové nárazníky, 4x otočná kolečka, z toho dvě s brzdou</t>
    </r>
  </si>
  <si>
    <t>max. 2,3kW/230V</t>
  </si>
  <si>
    <t>Stůl pracovní s dřezem</t>
  </si>
  <si>
    <t>Mycí stůl, 1x vevařený lisovaný dřez o rozměru 450x450x250mm, dřez umístěn vlevo, pod pracovní deskou vpravo umístěna 2x výsuvná zásuvka, vnitřní kapacita každé zásuvky min. 1x GN 1/1-150mm, zadní lem, levý lem, 1x plná police, kapotáž dřezu z čela a obou boků, nerezové provedení</t>
  </si>
  <si>
    <t>2350x700x900 DOMĚREK</t>
  </si>
  <si>
    <t>Stůl pracovní s policí a se zásuvkami</t>
  </si>
  <si>
    <t>Pracovní stůl, pod pracovní deskou vpravo umístěna 2x výsuvná zásuvka, vnitřní kapacita každé zásuvky min. 1x GN 1/1-150mm, zadní lem, částečná plná police, ve spodním prostoru vlevo ve spodním prostoru volné místo pro umístění podstolové chladničky - viz poz. 29, nerezové provedení</t>
  </si>
  <si>
    <t>2150x700x900 DOMĚREK</t>
  </si>
  <si>
    <t xml:space="preserve">Podpultová chladnice </t>
  </si>
  <si>
    <r>
      <t xml:space="preserve">Profesionální podstolová chladnička, hrubý objem min. 110 lt, </t>
    </r>
    <r>
      <rPr>
        <b/>
        <sz val="10"/>
        <color indexed="10"/>
        <rFont val="Arial"/>
        <family val="2"/>
        <charset val="238"/>
      </rPr>
      <t>nerezové opláštění</t>
    </r>
    <r>
      <rPr>
        <sz val="10"/>
        <rFont val="Arial"/>
        <family val="2"/>
        <charset val="238"/>
      </rPr>
      <t xml:space="preserve">, 1x plné dveře, ventilované cirkulační chlazení, digitální termostat, automatické odtávání, integrovaný zámek dveří, </t>
    </r>
    <r>
      <rPr>
        <b/>
        <sz val="10"/>
        <color indexed="10"/>
        <rFont val="Arial"/>
        <family val="2"/>
        <charset val="238"/>
      </rPr>
      <t>teplotní rozsah regulovatelný v rozmezí min. 0°C až +8°C, max. energetická třída A</t>
    </r>
  </si>
  <si>
    <t>max. 650x650x855</t>
  </si>
  <si>
    <t>max. 0,3kW/230V</t>
  </si>
  <si>
    <t>29a</t>
  </si>
  <si>
    <t>Chladnice nerez vysoká</t>
  </si>
  <si>
    <r>
      <t xml:space="preserve">Profesionální velkokapacitní chladnička, hrubý objem min. 550 lt, nerezové opláštění, 1x plné dveře, ventilované cirkulační chlazení, digitální termostat, automatické odtávání, integrovaný zámek dveří, </t>
    </r>
    <r>
      <rPr>
        <b/>
        <sz val="10"/>
        <color indexed="10"/>
        <rFont val="Arial"/>
        <family val="2"/>
        <charset val="238"/>
      </rPr>
      <t>teplotní rozsah regulovatelný v rozmezí min. 0°C až +8°C, max. energetická třída A, vnitřní prostor chladničky uzpůsoben pro vložení gastronádob velikosti GN 2/1 nebo přepravek o rozměru 600x400mm</t>
    </r>
  </si>
  <si>
    <t xml:space="preserve">Repasovaný univerzální šlehací a hnětací stroj </t>
  </si>
  <si>
    <r>
      <t xml:space="preserve">Repasovaný univerzální hnětací a šlehací stroj , součástí robota 1x kotlík o objemu 60 lt, 1x míchač do kotlíku o objemu 60 lt, 1x šlehací metla do kotlíku o objemu 60 lt a 1x hnětací hák do kotlíku o objemu 60 lt,  </t>
    </r>
    <r>
      <rPr>
        <b/>
        <sz val="11"/>
        <color indexed="10"/>
        <rFont val="Calibri"/>
        <family val="2"/>
        <charset val="238"/>
      </rPr>
      <t>repasí robota se rozumí: detailní kontrola motorové části, kompletní výměna ložisek, kompletní výměna těsnících komponentů, kompletní výměna poškozených hřídelí, kompletní výměna ozubených kol, kompletní výměna veškeré elektroinstalace, výměna vnějších krytů za nové nerezového, výměna olejové nálně, kompletní provedení nového vypalovaného bílého laku</t>
    </r>
  </si>
  <si>
    <t>max. 3,5kW/400V</t>
  </si>
  <si>
    <t>30a</t>
  </si>
  <si>
    <t>Přípojný masomlýnek k univerzálnímu šlehacímu a hnětacímu stroji</t>
  </si>
  <si>
    <t>Přípojný masomlýnek k robotu na pozici 30, průměr matrice min. 98mm, dvojité složení, součástí velká sada příslušenství: na jemné mletí, hrubé mletí, mletí masa na guláš, mletí drštek, originální příslušenství doporučené a garantované výrobcem zařízení na poz. 30</t>
  </si>
  <si>
    <t>Granulová myčka provozního nádobí</t>
  </si>
  <si>
    <r>
      <t xml:space="preserve">Granulová myčka provozního nádobí, </t>
    </r>
    <r>
      <rPr>
        <b/>
        <sz val="11"/>
        <color indexed="10"/>
        <rFont val="Calibri"/>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</si>
  <si>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Skladový regál, 4x plná police, každá police optřena podélnou výztuhou, nosná konstrukce z jeklů min. 40/40mm, tuhá, pevná, svařovaná konstrukce, celonerezové provedení</t>
  </si>
  <si>
    <t>1400x600x1800</t>
  </si>
  <si>
    <t>STÁVAJÍCÍ Stolní krouhač zeleniny</t>
  </si>
  <si>
    <r>
      <t>Stolní krouhač s 2 plnícími otvory; kulatý plnící otvor (Ø 55 mm) s plastovou přítlačkou a velký oválný plnící otvor (80x170mm) s pákovou kovovou přítlačkou s koncovým spínačem pro bezpečné plnění vč. základní sady 6 kotoučů; otáčky disku: 320 ot/min; kapacita do 130 kg/h -</t>
    </r>
    <r>
      <rPr>
        <b/>
        <sz val="11"/>
        <color indexed="17"/>
        <rFont val="Calibri"/>
        <family val="2"/>
        <charset val="238"/>
      </rPr>
      <t xml:space="preserve"> stávající zařízení </t>
    </r>
  </si>
  <si>
    <t>300x540x580</t>
  </si>
  <si>
    <t>0,55kW/230V</t>
  </si>
  <si>
    <t>Sklopný míchací varný elektrický kotel</t>
  </si>
  <si>
    <r>
      <t xml:space="preserve">Sklopný míchací varný elektrický kotel, </t>
    </r>
    <r>
      <rPr>
        <b/>
        <sz val="10"/>
        <color indexed="10"/>
        <rFont val="Arial"/>
        <family val="2"/>
        <charset val="238"/>
      </rPr>
      <t xml:space="preserve">bližší popis a parametry gastronomického zařízení jsou uvedeny ve zjišťovacím protokolu, zadavatel požaduje předložit jako součást nabídky uchazeče vyplněný a potvrzený přiložený zjišťovací protokol k zařízení a dále také originální technický list nabízeného zařízení, který bude obsahovat označení výrobce i typové označení nabízeného zařízení. Z předloženého technického listu musí být zřejmé, že nabízené zařízení splňuje všechny požadované parametry uvedené ve zjišťovacím protokolu. V případě nedoložení požadovaných dokumentů bude nabídka uchazeče vyřazena. </t>
    </r>
  </si>
  <si>
    <t>35a</t>
  </si>
  <si>
    <t>Příslušenství ke sklopnému míchacímu varnému elektrikcému kotli</t>
  </si>
  <si>
    <r>
      <t>Příslušenství k míchacímu výklopnému kotli na poz. 35- instalační rám s regulovatelnými nohami</t>
    </r>
    <r>
      <rPr>
        <b/>
        <sz val="10"/>
        <color indexed="8"/>
        <rFont val="Arial"/>
        <family val="2"/>
        <charset val="238"/>
      </rPr>
      <t xml:space="preserve"> - </t>
    </r>
    <r>
      <rPr>
        <sz val="10"/>
        <color indexed="8"/>
        <rFont val="Arial"/>
        <family val="2"/>
        <charset val="238"/>
      </rPr>
      <t xml:space="preserve">pro instalaci na podlahu s možností bezproblémové sanitace a lepšího servisního přístupu - </t>
    </r>
  </si>
  <si>
    <t>35b</t>
  </si>
  <si>
    <t>35c</t>
  </si>
  <si>
    <t xml:space="preserve">Příslušenství k míchacímu výklopnému kotli na poz. 35 - cedící síto - nástavec  pro osazení na kotel při vyklápění pro kotel </t>
  </si>
  <si>
    <t>35d</t>
  </si>
  <si>
    <t>Příslušenství k míchacímu výklopnému kotli na poz. 35 - sprcha ke kotli, určená pro rychlou sanitaci či oplach</t>
  </si>
  <si>
    <t>35e</t>
  </si>
  <si>
    <t>Příslušenství k míchacímu výklopnému kotli na poz. 35 - čistící rotační kartáč k připojení k míchacímu ramenu pro snadné mytí</t>
  </si>
  <si>
    <t>35f</t>
  </si>
  <si>
    <t>Příslušenství k míchacímu výklopnému kotli 35 - samostatné připojení kotle na změkčenou vodu</t>
  </si>
  <si>
    <t>600x800</t>
  </si>
  <si>
    <t>Mycí stůl, 1x vevařený lisovaný dřez o rozměru 450x450x250mm, dřez umístěn vpravo, pod pracovní deskou vlevo umístěna 2x výsuvná zásuvka, vnitřní kapacita každé zásuvky min. 1x GN 1/1-150mm, zadní lem, pravý lem, 1x částečná plná police + částečná kapotáž dřezu z čela - ve spodním prostoru vlevo volné místo pro umístění podstolové chladničky - viz poz. 40,  nerezové provedení</t>
  </si>
  <si>
    <t>2300x700x900 DOMĚREK</t>
  </si>
  <si>
    <t>Váha stolní</t>
  </si>
  <si>
    <t>Stolní profesionální kuchyňská váha na porce, váživost min. 10kg, rozměr vážní plochy min. 200x180mm, LCD displej, fuknce: tárování, nulování, HOLD, bateriová, součástí balení adaptér pro napájení ze sítě, nerezová miska, úředně ověřená a ověřitelná</t>
  </si>
  <si>
    <t>Modernizace stávajícího jídelního výtahu</t>
  </si>
  <si>
    <t>Modernizace stávajícího jídelního výtahu, součástí výtahu 1x nerezová kabina s osvětlením, vlečným kabelem a odkláněcí křivkou, 4x kluzné vedení kabiny, doraz pod kabinu s držákem – bezp. komponenta, doraz nad kabinu s držákem – bezp. komponenta, nerezová police do kabiny výtahu – výšku police v kabině určí odpovědný pracovník v kuchyni dle místních zvyklostí , 2x dvoukřídlé šachetní dveře v odstínu RAL a nerezové parapety  – bezp. komponenta, kompletní el. instalace výtahu,uzamykatelný hlavní vypínač, uzamykatelný rozvaděč, nerezové přivolávače/odesílače, osvětlení šachty a strojovny, zásuvka v prohlubni, nosné lano, lanové svorky, očnice  – bezp. komponenta, těsnící motorový tmel, odmašťovací prostředky,     
1x převodový, ložiskový olej, ostatní tuky a maziva, nátěrové hmoty pro nátěr celého stroje a rámu, nátěr nahlížecích dvířek strojovny a betonové podlahy, soklu v prohlubni, kolo pro ruční vyproštění, dvoučinná brzda stroje – bezp. komponenta, gumy do spojky, stavební práce spojené s osazením šach. dveří, demontážní/montážní práce, přetěsnění převodovky, žebřík ke strojovně, likvidace demontovaných materiálů, vyčištění, seřízení a rozjetí výtahu, zkoušky dle platných ČSN a doplnění dokumentace o dotčené částí výtahu modernizací, doprava a transporty, pomocný a ostatní materiál    
 Dodávka materiálů, demontáž/montáž včetně stav. prací a zkoušek, montáž cca 14dní, garance 36 měsíců.
Ponechání vodítek s pohonnou jednotkou.</t>
  </si>
  <si>
    <t>Stůl pracovní policový</t>
  </si>
  <si>
    <t>Pracovní stůl, 2x plná police, zadní lem, levý lem, nerezové provedení</t>
  </si>
  <si>
    <t>1150x700x850 DOMĚREK</t>
  </si>
  <si>
    <t>Stůl odkapový od myčky</t>
  </si>
  <si>
    <t>Odkapový stůl od myčky, 1x plná police, zadní  lem, levý přesah desky, v levém přesahu desky 1x levého předního rohu, 1x plná police, prolamovaná pracovní deska, zadní lem, 1x odvod na přebytečnou odkapávající vodu, v prolamované pracovní desce vsazen perforovaný plech - na odkap, nerezové provedení</t>
  </si>
  <si>
    <t>1000x850x850 DOMĚREK</t>
  </si>
  <si>
    <t>Stůl s dřezem k myčce nádobí</t>
  </si>
  <si>
    <t>Mycí stůl, 1x vevařený lisovaný dřez o rozměru min. 860x600x450mm, prolamovaná pracovní deska, kapotáž dřezu z čela a obou boků, zadní lem, nerezové provedení, pravý přesah desky, v pravém přesahu desku příprava pro instalaci sanitační samonavíjecí sprchy, součástí stolu odnímatelná nerezová lišta zamezující spadnutí koše na dno dřezu</t>
  </si>
  <si>
    <t>1000x900x850 DOMĚREK</t>
  </si>
  <si>
    <t>Mycí stůl, 1x vevařený lisovaný dřez o rozměru 450x450x250mm, dřez umístěn vpravo, pod pracovní deskou vlevo umístěna 1x výsuvná zásuvka, vnitřní kapacita zásuvky min. 1x GN 1/1-150mm, zadní lem, levý lem, 1x plná police, kapotáž dřezu z čela a obou boků,  nerezové provedení</t>
  </si>
  <si>
    <t>1200x700x900 DOMĚREK</t>
  </si>
  <si>
    <t>Stůl pracovní s policí</t>
  </si>
  <si>
    <t>Pracovní stůl, 1x částečná plná police - pod pracovní deskou vlevo volné místo pro umístění podstolové chladničky - viz poz. 49, zadní lem, pravý lem,   nerezové provedení</t>
  </si>
  <si>
    <t>1600x700x900  DOMĚREK</t>
  </si>
  <si>
    <t>Mycí stůl, 1x vevařený lisovaný dřez o rozměru 450x450x250mm, dřez umístěn vpravo, pod pracovní deskou vlevo umístěna 2x výsuvná zásuvka, vnitřní kapacita každé zásuvky min. 1x GN 1/1-150mm, zadní lem, levý lem, 1x  plná police, kapotáž dřezu z čela a obou boků,  nerezové provedení</t>
  </si>
  <si>
    <t>2100x700x900 DOMĚREK</t>
  </si>
  <si>
    <t>Vyhřívaný podavač talířů</t>
  </si>
  <si>
    <t>Pojízdný talířový zásobník, dvoutubusový, s ohřevem, kapacita min. 2x 50 talířů, možnost vložení talířů o průměru až 320mm, nerezové provedení, zásobník disponuje topným tělesem a termostatem pro regulaci teploty až do min. +60°C, pojízdné provedení 4x kolečka, každé o pr min. 100 mm, dvě z koleček opatřeny aretační brzdou</t>
  </si>
  <si>
    <t>max. 1000x500x900</t>
  </si>
  <si>
    <t>Pojezdová dráha</t>
  </si>
  <si>
    <t>Pojezdová dráha na podnosy, trubková, dráha tvořena 4x trubkou o průměru min. 30mm, dráha vč. konzol pro zavěšení na zeď ve výdejní lince, nerezové provedení</t>
  </si>
  <si>
    <t>3100x300 DOMĚREK</t>
  </si>
  <si>
    <t>55a</t>
  </si>
  <si>
    <t>5950x300 DOMĚREK</t>
  </si>
  <si>
    <t>STÁVAJÍCÍ konvektomat</t>
  </si>
  <si>
    <t>stávající konvektomat Rational, kapacita 10 GN 1/1, včetně podstavce</t>
  </si>
  <si>
    <t>850x850x1700</t>
  </si>
  <si>
    <t>18,9kW/400V</t>
  </si>
  <si>
    <t>STÁVAJÍCÍ Vyhřívaný podavač talířů</t>
  </si>
  <si>
    <t>Pojízdný talířový zásobník dvoutubusový  s ohřevem - stávající</t>
  </si>
  <si>
    <t>480x920x900</t>
  </si>
  <si>
    <t>0,8kW/230V</t>
  </si>
  <si>
    <t xml:space="preserve">STÁVAJÍCÍ Kombinovaná výlevka </t>
  </si>
  <si>
    <t xml:space="preserve">Stávající nerezová výlevka </t>
  </si>
  <si>
    <t>500x700x900</t>
  </si>
  <si>
    <t>Podavač košů na skleničky a misky</t>
  </si>
  <si>
    <t>Podavač košů s miskami zapláštěný, pojízdný - 4x kolečka, každé kolečko o pr. min. 125mm, dvě z koleček opatřeny aretační brzdou, trubkové madlo, kapacita min. 6x koš 500x500mm, kapotáž vozíku ze všech čtyřech stran, , nerezové provedení</t>
  </si>
  <si>
    <t>umyvadlo na ruce</t>
  </si>
  <si>
    <t>Nástěnné umyvadlo, provedení s kolenovým ovládáním, součástí umyvadla sifon, vodovodní baterie a odnímatelný zvýšený zadní lem, výška lemu 500mm</t>
  </si>
  <si>
    <t>400x400x210</t>
  </si>
  <si>
    <t xml:space="preserve">Požadovaná kvalita materiálu nerezového nábytku ve specifikaci zařízení </t>
  </si>
  <si>
    <t>kvalita materiálu:  potravinářská nemagnetická chromniklová nerezová ocel ČSN 17240 tj. AISI 304, síla plechu minimálně 1,0 mm, vrchní deska stolů tloušťky min. 40 mm, celoplošně podlepená dřevotřískovou deskou opatřenou zdravotně nezávadným nátěrem !!!, nohy z jäklu 40x40 mm, každý stůl s uzemňovacími šrouby na zadních nohách, plné nerez police tl. 40mm</t>
  </si>
  <si>
    <t>Kontrolní mezisoučty</t>
  </si>
  <si>
    <t xml:space="preserve"> Cenová rekapitulace</t>
  </si>
  <si>
    <t xml:space="preserve"> Cena za technologii bez DPH celkem</t>
  </si>
  <si>
    <t xml:space="preserve"> Cena za demontáž stávajících gastronomických zařízení</t>
  </si>
  <si>
    <t xml:space="preserve"> Cena za zpětnou instalaci* vybraných stávajících gastronomických zařízení</t>
  </si>
  <si>
    <t xml:space="preserve"> Cena za instalaci* nově dodaných gastronomických zařízení</t>
  </si>
  <si>
    <t xml:space="preserve"> Dodávka celkem bez DPH</t>
  </si>
  <si>
    <t>* Instalací zařízení se rozumí :</t>
  </si>
  <si>
    <t xml:space="preserve">- doprava všech požadovaných gastronomických zařízení do místa určení </t>
  </si>
  <si>
    <t>- nastěhování zařízení</t>
  </si>
  <si>
    <t>- manipulace se zařízením</t>
  </si>
  <si>
    <t>- rozbalení zařízení</t>
  </si>
  <si>
    <t>- ustavení zařízení</t>
  </si>
  <si>
    <t>- instalace zařízení na připravené přívody elektroinstalace</t>
  </si>
  <si>
    <t>- instalace zařízení na připravené přívody kanalizace</t>
  </si>
  <si>
    <t>- instalace zařízení na připravené přívody vodoinstalace</t>
  </si>
  <si>
    <t>- veškerý použitý montážní materiál</t>
  </si>
  <si>
    <t>- kalibrace zařízení</t>
  </si>
  <si>
    <t>- uvedení do provozu</t>
  </si>
  <si>
    <t>- předání technických podkladů k nově dodaným gastronomickým zařízením</t>
  </si>
  <si>
    <t>- základní zaškolení obsluhy servisním technikem k B121- seznámení se s ovládáním a provozní údržbou</t>
  </si>
  <si>
    <t xml:space="preserve">- rozšířené zaškolení obsluhy odborným kuchařem** na nově dodaná gastronomická zařízení </t>
  </si>
  <si>
    <t>** Rozšířené zaškoleni obsluhy odborným kuchařem musí bý realizována zejména u gastronomických zařízení uvedených ve výkazu výměr na poz. 17, poz. 21, poz. 19, poz. 24, poz. 35. Rozšířeným zaškolením obsluhy odborným kuchařem se rozumí 16 hodin /rozdělených do 2 pracovních dní/ praktických ukázek vaření na  příslušených zařízeních, odborné zaškolení musí být realizováno vlastním odborným školícím kuchařem dodavatele, odborný školící kuchař musí mít platný certifikát /pro aktuální rok/ na provádění odborných zaškolení, tento certifikát musí být vystavený přímo výrobcem daného zařízení nebo oficiálním dovozcem daného zařízení. První odborné zaškolení musí být provedeno po předání zařízení do užívání provozovateli, druhé odborné zaškolení bude provedeno následně v termínu dle požadavku provozovatele a kuchař musí být po dobu záruky online k dispozici pro dotazy provozovatele.</t>
  </si>
  <si>
    <t>Ozn.1-Dveře protipožární EW 30/DP3 plné 1-křídlé 900 x 1970 mm</t>
  </si>
  <si>
    <t>AKCE : Kladno - SPŠS a OA Cyrila Boudy</t>
  </si>
  <si>
    <r>
      <t xml:space="preserve">Automatický změkčovač vody, </t>
    </r>
    <r>
      <rPr>
        <b/>
        <sz val="10"/>
        <color indexed="10"/>
        <rFont val="Arial CE"/>
        <charset val="238"/>
      </rPr>
      <t>objemově řízená regenerace s možností přepnutí regenerace ně časově řízené</t>
    </r>
    <r>
      <rPr>
        <sz val="10"/>
        <color indexed="8"/>
        <rFont val="Arial CE"/>
        <family val="2"/>
        <charset val="238"/>
      </rPr>
      <t xml:space="preserve">, elektronické ovládání, v případě objemového nastavení možnost v rozsahu min. 0m3 až max. 99m3, </t>
    </r>
    <r>
      <rPr>
        <b/>
        <sz val="10"/>
        <color indexed="10"/>
        <rFont val="Arial CE"/>
        <charset val="238"/>
      </rPr>
      <t>objem pryskyřice 10 lt.</t>
    </r>
    <r>
      <rPr>
        <sz val="10"/>
        <color indexed="8"/>
        <rFont val="Arial CE"/>
        <family val="2"/>
        <charset val="238"/>
      </rPr>
      <t>, možnost kontinuálního provozu tzn. při regeneraci zajištěna dodávka vody, součástí změkčovače vody filtr mechanickách nečistot</t>
    </r>
  </si>
  <si>
    <t>Vypuštěno</t>
  </si>
  <si>
    <t>35g</t>
  </si>
  <si>
    <t>Příslušenství k míchacímu výklopnému kotli 35 - výéustný kohout ke kotli pro možnost vypouštění obsahu kotle bez nutnosti vyklápění kotle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</si>
</sst>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0.000"/>
    <numFmt numFmtId="165" formatCode="0.0"/>
    <numFmt numFmtId="166" formatCode="d&quot;.&quot;m&quot;.&quot;yy"/>
    <numFmt numFmtId="167" formatCode="#,##0&quot; Kč&quot;"/>
    <numFmt numFmtId="168" formatCode="[$-405]General"/>
    <numFmt numFmtId="169" formatCode="mmm&quot; &quot;dd"/>
    <numFmt numFmtId="170" formatCode="0.0%"/>
  </numFmts>
  <fonts count="88">
    <font>
      <sz val="8"/>
      <name val="Arial"/>
    </font>
    <font>
      <sz val="11"/>
      <color theme="1"/>
      <name val="Calibri"/>
      <family val="2"/>
      <charset val="238"/>
      <scheme val="minor"/>
    </font>
    <font>
      <sz val="11"/>
      <color theme="1"/>
      <name val="Calibri"/>
      <family val="2"/>
      <charset val="238"/>
      <scheme val="minor"/>
    </font>
    <font>
      <sz val="12"/>
      <name val="Arial CE"/>
      <family val="2"/>
      <charset val="238"/>
    </font>
    <font>
      <sz val="10"/>
      <name val="Arial"/>
      <family val="2"/>
      <charset val="1"/>
    </font>
    <font>
      <sz val="8"/>
      <name val="Arial"/>
    </font>
    <font>
      <sz val="11"/>
      <color rgb="FFFF0000"/>
      <name val="Calibri"/>
      <family val="2"/>
      <charset val="238"/>
      <scheme val="minor"/>
    </font>
    <font>
      <sz val="8"/>
      <color rgb="FF000000"/>
      <name val="Trebuchet MS"/>
      <family val="2"/>
      <charset val="238"/>
    </font>
    <font>
      <b/>
      <sz val="12"/>
      <name val="Calibri"/>
      <family val="2"/>
      <charset val="238"/>
      <scheme val="minor"/>
    </font>
    <font>
      <sz val="11"/>
      <name val="Calibri"/>
      <family val="2"/>
      <charset val="238"/>
      <scheme val="minor"/>
    </font>
    <font>
      <b/>
      <sz val="11"/>
      <name val="Calibri"/>
      <family val="2"/>
      <charset val="238"/>
      <scheme val="minor"/>
    </font>
    <font>
      <sz val="10.5"/>
      <name val="Calibri"/>
      <family val="2"/>
      <charset val="238"/>
      <scheme val="minor"/>
    </font>
    <font>
      <b/>
      <sz val="14"/>
      <name val="Calibri"/>
      <family val="2"/>
      <charset val="238"/>
      <scheme val="minor"/>
    </font>
    <font>
      <sz val="8"/>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indexed="8"/>
      <name val="Calibri"/>
      <family val="2"/>
      <charset val="238"/>
      <scheme val="minor"/>
    </font>
    <font>
      <sz val="10"/>
      <name val="Calibri"/>
      <family val="2"/>
      <charset val="238"/>
      <scheme val="minor"/>
    </font>
    <font>
      <b/>
      <sz val="18"/>
      <color rgb="FF000000"/>
      <name val="Calibri"/>
      <family val="2"/>
      <charset val="238"/>
      <scheme val="minor"/>
    </font>
    <font>
      <b/>
      <sz val="20"/>
      <color rgb="FF000000"/>
      <name val="Calibri"/>
      <family val="2"/>
      <charset val="238"/>
      <scheme val="minor"/>
    </font>
    <font>
      <b/>
      <sz val="11"/>
      <color rgb="FF000000"/>
      <name val="Calibri"/>
      <family val="2"/>
      <charset val="238"/>
      <scheme val="minor"/>
    </font>
    <font>
      <b/>
      <sz val="12"/>
      <color rgb="FF000000"/>
      <name val="Calibri"/>
      <family val="2"/>
      <charset val="238"/>
      <scheme val="minor"/>
    </font>
    <font>
      <sz val="12"/>
      <color rgb="FF000000"/>
      <name val="Calibri"/>
      <family val="2"/>
      <charset val="238"/>
      <scheme val="minor"/>
    </font>
    <font>
      <i/>
      <sz val="8"/>
      <color rgb="FF000000"/>
      <name val="Calibri"/>
      <family val="2"/>
      <charset val="238"/>
      <scheme val="minor"/>
    </font>
    <font>
      <i/>
      <sz val="10"/>
      <color rgb="FF000000"/>
      <name val="Calibri"/>
      <family val="2"/>
      <charset val="238"/>
      <scheme val="minor"/>
    </font>
    <font>
      <b/>
      <sz val="12"/>
      <color theme="1"/>
      <name val="Calibri"/>
      <family val="2"/>
      <charset val="238"/>
      <scheme val="minor"/>
    </font>
    <font>
      <sz val="12"/>
      <name val="Arial"/>
      <family val="2"/>
      <charset val="238"/>
    </font>
    <font>
      <b/>
      <sz val="14"/>
      <color rgb="FF000000"/>
      <name val="Calibri"/>
      <family val="2"/>
      <charset val="238"/>
      <scheme val="minor"/>
    </font>
    <font>
      <b/>
      <sz val="20"/>
      <color theme="1"/>
      <name val="Verdana"/>
      <family val="2"/>
      <charset val="238"/>
    </font>
    <font>
      <sz val="10"/>
      <color theme="1"/>
      <name val="Arial Narrow"/>
      <family val="2"/>
      <charset val="238"/>
    </font>
    <font>
      <u/>
      <sz val="14"/>
      <color theme="1"/>
      <name val="Verdana"/>
      <family val="2"/>
      <charset val="238"/>
    </font>
    <font>
      <sz val="8"/>
      <color theme="1"/>
      <name val="Verdana"/>
      <family val="2"/>
      <charset val="238"/>
    </font>
    <font>
      <sz val="11"/>
      <color theme="1"/>
      <name val="Verdana"/>
      <family val="2"/>
      <charset val="238"/>
    </font>
    <font>
      <b/>
      <sz val="10"/>
      <color rgb="FF006633"/>
      <name val="Verdana"/>
      <family val="2"/>
      <charset val="238"/>
    </font>
    <font>
      <b/>
      <sz val="12"/>
      <color rgb="FFFF0000"/>
      <name val="Arial Narrow"/>
      <family val="2"/>
      <charset val="238"/>
    </font>
    <font>
      <b/>
      <sz val="11"/>
      <color rgb="FF000000"/>
      <name val="Verdana"/>
      <family val="2"/>
      <charset val="238"/>
    </font>
    <font>
      <b/>
      <sz val="14"/>
      <color rgb="FFFF0000"/>
      <name val="Arial Narrow"/>
      <family val="2"/>
      <charset val="238"/>
    </font>
    <font>
      <b/>
      <sz val="10"/>
      <color theme="1"/>
      <name val="Verdana"/>
      <family val="2"/>
      <charset val="238"/>
    </font>
    <font>
      <b/>
      <sz val="8"/>
      <color theme="1"/>
      <name val="Verdana"/>
      <family val="2"/>
      <charset val="238"/>
    </font>
    <font>
      <sz val="8"/>
      <color rgb="FFFF0000"/>
      <name val="Arial Narrow"/>
      <family val="2"/>
      <charset val="238"/>
    </font>
    <font>
      <b/>
      <sz val="8"/>
      <color rgb="FF006633"/>
      <name val="Verdana"/>
      <family val="2"/>
      <charset val="238"/>
    </font>
    <font>
      <sz val="8"/>
      <color rgb="FF006633"/>
      <name val="Verdana"/>
      <family val="2"/>
      <charset val="238"/>
    </font>
    <font>
      <sz val="10"/>
      <color rgb="FF006633"/>
      <name val="Arial Narrow"/>
      <family val="2"/>
      <charset val="238"/>
    </font>
    <font>
      <sz val="10"/>
      <color theme="1"/>
      <name val="Arial CE"/>
      <charset val="238"/>
    </font>
    <font>
      <b/>
      <i/>
      <sz val="8"/>
      <color theme="1"/>
      <name val="Verdana"/>
      <family val="2"/>
      <charset val="238"/>
    </font>
    <font>
      <sz val="10"/>
      <color theme="1"/>
      <name val="Arial CE1"/>
      <charset val="238"/>
    </font>
    <font>
      <sz val="12"/>
      <color theme="1"/>
      <name val="Times New Roman CE"/>
      <charset val="238"/>
    </font>
    <font>
      <sz val="8"/>
      <name val="Verdana"/>
      <family val="2"/>
      <charset val="238"/>
    </font>
    <font>
      <sz val="10"/>
      <name val="Helv"/>
      <charset val="238"/>
    </font>
    <font>
      <sz val="8"/>
      <name val="Helv"/>
      <charset val="238"/>
    </font>
    <font>
      <sz val="8"/>
      <name val="Arial"/>
      <family val="2"/>
      <charset val="238"/>
    </font>
    <font>
      <b/>
      <sz val="14"/>
      <name val="Arial"/>
      <family val="2"/>
      <charset val="238"/>
    </font>
    <font>
      <b/>
      <i/>
      <u/>
      <sz val="14"/>
      <name val="Arial"/>
      <family val="2"/>
      <charset val="238"/>
    </font>
    <font>
      <b/>
      <sz val="11"/>
      <name val="Arial"/>
      <family val="2"/>
      <charset val="238"/>
    </font>
    <font>
      <b/>
      <sz val="8"/>
      <name val="Arial"/>
      <family val="2"/>
      <charset val="238"/>
    </font>
    <font>
      <sz val="10"/>
      <name val="Arial"/>
      <family val="2"/>
      <charset val="238"/>
    </font>
    <font>
      <b/>
      <sz val="11"/>
      <color indexed="8"/>
      <name val="Calibri"/>
      <family val="2"/>
      <charset val="238"/>
    </font>
    <font>
      <b/>
      <sz val="10.5"/>
      <color indexed="10"/>
      <name val="Calibri"/>
      <family val="2"/>
      <charset val="238"/>
    </font>
    <font>
      <sz val="10"/>
      <color indexed="10"/>
      <name val="Arial"/>
      <family val="2"/>
      <charset val="238"/>
    </font>
    <font>
      <sz val="10"/>
      <color indexed="8"/>
      <name val="Arial"/>
      <family val="2"/>
      <charset val="238"/>
    </font>
    <font>
      <sz val="10"/>
      <color theme="1"/>
      <name val="Arial"/>
      <family val="2"/>
      <charset val="238"/>
    </font>
    <font>
      <sz val="10"/>
      <color rgb="FF000000"/>
      <name val="Arial"/>
      <family val="2"/>
      <charset val="238"/>
    </font>
    <font>
      <b/>
      <sz val="11"/>
      <color indexed="10"/>
      <name val="Calibri"/>
      <family val="2"/>
      <charset val="238"/>
    </font>
    <font>
      <sz val="10"/>
      <color indexed="8"/>
      <name val="Arial CE"/>
      <family val="2"/>
      <charset val="238"/>
    </font>
    <font>
      <b/>
      <sz val="10"/>
      <color indexed="10"/>
      <name val="Arial CE"/>
      <charset val="238"/>
    </font>
    <font>
      <b/>
      <sz val="10"/>
      <color indexed="10"/>
      <name val="Arial"/>
      <family val="2"/>
      <charset val="238"/>
    </font>
    <font>
      <sz val="10"/>
      <name val="Courier"/>
      <charset val="238"/>
    </font>
    <font>
      <sz val="10"/>
      <name val="Arial CE"/>
      <family val="2"/>
      <charset val="238"/>
    </font>
    <font>
      <b/>
      <sz val="10"/>
      <color rgb="FFFF0000"/>
      <name val="Arial"/>
      <family val="2"/>
      <charset val="238"/>
    </font>
    <font>
      <b/>
      <sz val="11"/>
      <color rgb="FF388600"/>
      <name val="Calibri"/>
      <family val="2"/>
      <charset val="238"/>
      <scheme val="minor"/>
    </font>
    <font>
      <b/>
      <sz val="11"/>
      <color indexed="17"/>
      <name val="Calibri"/>
      <family val="2"/>
      <charset val="238"/>
    </font>
    <font>
      <b/>
      <sz val="10"/>
      <color indexed="8"/>
      <name val="Arial"/>
      <family val="2"/>
      <charset val="238"/>
    </font>
    <font>
      <b/>
      <sz val="11"/>
      <color rgb="FF00B050"/>
      <name val="Calibri"/>
      <family val="2"/>
      <charset val="238"/>
      <scheme val="minor"/>
    </font>
    <font>
      <b/>
      <sz val="10"/>
      <name val="Arial"/>
      <family val="2"/>
      <charset val="238"/>
    </font>
    <font>
      <b/>
      <i/>
      <sz val="10"/>
      <name val="Arial"/>
      <family val="2"/>
      <charset val="238"/>
    </font>
    <font>
      <i/>
      <sz val="10"/>
      <name val="Arial"/>
      <family val="2"/>
      <charset val="238"/>
    </font>
    <font>
      <b/>
      <i/>
      <sz val="8"/>
      <name val="Arial"/>
      <family val="2"/>
      <charset val="238"/>
    </font>
    <font>
      <i/>
      <sz val="8"/>
      <name val="Arial"/>
      <family val="2"/>
      <charset val="238"/>
    </font>
    <font>
      <b/>
      <sz val="20"/>
      <name val="Arial"/>
      <family val="2"/>
      <charset val="238"/>
    </font>
    <font>
      <sz val="14"/>
      <name val="Arial"/>
      <family val="2"/>
      <charset val="238"/>
    </font>
    <font>
      <sz val="14"/>
      <color theme="0"/>
      <name val="Arial"/>
      <family val="2"/>
      <charset val="238"/>
    </font>
    <font>
      <sz val="14"/>
      <color indexed="10"/>
      <name val="Arial"/>
      <family val="2"/>
      <charset val="238"/>
    </font>
    <font>
      <b/>
      <sz val="14"/>
      <color rgb="FF191919"/>
      <name val="Arial"/>
      <family val="2"/>
      <charset val="238"/>
    </font>
    <font>
      <sz val="14"/>
      <color rgb="FF191919"/>
      <name val="Arial"/>
      <family val="2"/>
      <charset val="238"/>
    </font>
    <font>
      <b/>
      <sz val="12"/>
      <name val="Arial"/>
      <family val="2"/>
      <charset val="238"/>
    </font>
    <font>
      <sz val="12"/>
      <name val="Calibri"/>
      <family val="2"/>
      <charset val="238"/>
    </font>
    <font>
      <sz val="12"/>
      <name val="Calibri"/>
      <family val="2"/>
      <charset val="238"/>
      <scheme val="minor"/>
    </font>
  </fonts>
  <fills count="10">
    <fill>
      <patternFill patternType="none"/>
    </fill>
    <fill>
      <patternFill patternType="gray125"/>
    </fill>
    <fill>
      <patternFill patternType="solid">
        <fgColor rgb="FFC0C0C0"/>
        <bgColor indexed="9"/>
      </patternFill>
    </fill>
    <fill>
      <patternFill patternType="solid">
        <fgColor rgb="FF66FFFF"/>
        <bgColor rgb="FF66FFFF"/>
      </patternFill>
    </fill>
    <fill>
      <patternFill patternType="solid">
        <fgColor rgb="FFFFFFFF"/>
        <bgColor rgb="FFFFFFFF"/>
      </patternFill>
    </fill>
    <fill>
      <patternFill patternType="solid">
        <fgColor indexed="13"/>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0">
    <border>
      <left/>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bottom style="medium">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hair">
        <color indexed="8"/>
      </left>
      <right style="hair">
        <color indexed="8"/>
      </right>
      <top style="hair">
        <color indexed="8"/>
      </top>
      <bottom style="hair">
        <color indexed="8"/>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2">
    <xf numFmtId="0" fontId="0" fillId="0" borderId="0" applyNumberFormat="0" applyFont="0" applyFill="0" applyBorder="0" applyAlignment="0" applyProtection="0"/>
    <xf numFmtId="0" fontId="3" fillId="0" borderId="0"/>
    <xf numFmtId="0" fontId="4" fillId="0" borderId="0">
      <alignment vertical="top" wrapText="1"/>
      <protection locked="0"/>
    </xf>
    <xf numFmtId="44" fontId="5" fillId="0" borderId="0" applyFont="0" applyFill="0" applyBorder="0" applyAlignment="0" applyProtection="0"/>
    <xf numFmtId="9" fontId="5" fillId="0" borderId="0" applyFont="0" applyFill="0" applyBorder="0" applyAlignment="0" applyProtection="0"/>
    <xf numFmtId="168" fontId="7" fillId="0" borderId="0" applyBorder="0" applyProtection="0"/>
    <xf numFmtId="0" fontId="44" fillId="0" borderId="0"/>
    <xf numFmtId="0" fontId="47" fillId="0" borderId="0"/>
    <xf numFmtId="0" fontId="49" fillId="0" borderId="0"/>
    <xf numFmtId="0" fontId="56" fillId="0" borderId="0"/>
    <xf numFmtId="0" fontId="67" fillId="0" borderId="0"/>
    <xf numFmtId="0" fontId="2" fillId="0" borderId="0"/>
  </cellStyleXfs>
  <cellXfs count="416">
    <xf numFmtId="0" fontId="0" fillId="0" borderId="0" xfId="0" applyNumberFormat="1" applyFont="1" applyFill="1" applyBorder="1" applyAlignment="1" applyProtection="1"/>
    <xf numFmtId="0" fontId="9" fillId="0" borderId="0" xfId="0" applyFont="1"/>
    <xf numFmtId="0" fontId="9" fillId="0" borderId="44" xfId="0" applyFont="1" applyBorder="1" applyAlignment="1">
      <alignment horizontal="center" vertical="center"/>
    </xf>
    <xf numFmtId="0" fontId="9" fillId="0" borderId="28" xfId="0" applyFont="1" applyFill="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NumberFormat="1" applyFont="1" applyFill="1" applyBorder="1" applyAlignment="1" applyProtection="1"/>
    <xf numFmtId="0" fontId="15" fillId="0" borderId="2"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4" fontId="14" fillId="0" borderId="0" xfId="0"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right" vertical="center"/>
    </xf>
    <xf numFmtId="4" fontId="15" fillId="0" borderId="28" xfId="0" applyNumberFormat="1" applyFont="1" applyFill="1" applyBorder="1" applyAlignment="1" applyProtection="1">
      <alignment horizontal="right" vertical="center"/>
    </xf>
    <xf numFmtId="0" fontId="16" fillId="0" borderId="0" xfId="1" applyFont="1" applyAlignment="1">
      <alignment wrapText="1"/>
    </xf>
    <xf numFmtId="3" fontId="17" fillId="0" borderId="0" xfId="1" applyNumberFormat="1" applyFont="1" applyAlignment="1">
      <alignment horizontal="right"/>
    </xf>
    <xf numFmtId="3" fontId="18" fillId="0" borderId="0" xfId="1" applyNumberFormat="1" applyFont="1" applyAlignment="1">
      <alignment horizontal="right"/>
    </xf>
    <xf numFmtId="3" fontId="16" fillId="0" borderId="0" xfId="1" applyNumberFormat="1" applyFont="1" applyAlignment="1">
      <alignment horizontal="right"/>
    </xf>
    <xf numFmtId="1" fontId="18" fillId="0" borderId="0" xfId="1" applyNumberFormat="1" applyFont="1"/>
    <xf numFmtId="1" fontId="18" fillId="0" borderId="28" xfId="1" applyNumberFormat="1" applyFont="1" applyBorder="1"/>
    <xf numFmtId="164" fontId="18" fillId="0" borderId="28" xfId="1" applyNumberFormat="1" applyFont="1" applyBorder="1"/>
    <xf numFmtId="164" fontId="18" fillId="0" borderId="0" xfId="1" applyNumberFormat="1" applyFont="1"/>
    <xf numFmtId="165" fontId="18" fillId="0" borderId="0" xfId="1" applyNumberFormat="1" applyFont="1"/>
    <xf numFmtId="0" fontId="18" fillId="0" borderId="0" xfId="1" applyFont="1" applyAlignment="1">
      <alignment wrapText="1"/>
    </xf>
    <xf numFmtId="1" fontId="16" fillId="0" borderId="28" xfId="1" applyNumberFormat="1" applyFont="1" applyBorder="1"/>
    <xf numFmtId="0" fontId="18" fillId="0" borderId="0" xfId="1" applyFont="1"/>
    <xf numFmtId="0" fontId="20" fillId="2" borderId="13"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xf>
    <xf numFmtId="0" fontId="22" fillId="0" borderId="8" xfId="0" applyNumberFormat="1" applyFont="1" applyFill="1" applyBorder="1" applyAlignment="1" applyProtection="1">
      <alignment horizontal="left" vertical="center"/>
    </xf>
    <xf numFmtId="0" fontId="23" fillId="0" borderId="4" xfId="0" applyNumberFormat="1" applyFont="1" applyFill="1" applyBorder="1" applyAlignment="1" applyProtection="1">
      <alignment horizontal="left" vertical="center"/>
    </xf>
    <xf numFmtId="4" fontId="23" fillId="0" borderId="4" xfId="0" applyNumberFormat="1" applyFont="1" applyFill="1" applyBorder="1" applyAlignment="1" applyProtection="1">
      <alignment horizontal="right" vertical="center"/>
    </xf>
    <xf numFmtId="0" fontId="23" fillId="0" borderId="4" xfId="0" applyNumberFormat="1" applyFont="1" applyFill="1" applyBorder="1" applyAlignment="1" applyProtection="1">
      <alignment horizontal="right" vertical="center"/>
    </xf>
    <xf numFmtId="0" fontId="22" fillId="0" borderId="16" xfId="0" applyNumberFormat="1" applyFont="1" applyFill="1" applyBorder="1" applyAlignment="1" applyProtection="1">
      <alignment horizontal="left" vertical="center"/>
    </xf>
    <xf numFmtId="4" fontId="23" fillId="0" borderId="6" xfId="0" applyNumberFormat="1" applyFont="1" applyFill="1" applyBorder="1" applyAlignment="1" applyProtection="1">
      <alignment horizontal="right" vertical="center"/>
    </xf>
    <xf numFmtId="0" fontId="23" fillId="0" borderId="6" xfId="0" applyNumberFormat="1" applyFont="1" applyFill="1" applyBorder="1" applyAlignment="1" applyProtection="1">
      <alignment horizontal="right" vertical="center"/>
    </xf>
    <xf numFmtId="0" fontId="24" fillId="0" borderId="0" xfId="0" applyNumberFormat="1" applyFont="1" applyFill="1" applyBorder="1" applyAlignment="1" applyProtection="1">
      <alignment horizontal="left" vertical="center"/>
    </xf>
    <xf numFmtId="4" fontId="15" fillId="2" borderId="0"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0" fontId="15" fillId="0" borderId="2" xfId="0" applyNumberFormat="1"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xf>
    <xf numFmtId="0" fontId="15" fillId="2"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right" vertical="center"/>
    </xf>
    <xf numFmtId="0" fontId="14" fillId="0" borderId="12" xfId="0" applyNumberFormat="1" applyFont="1" applyFill="1" applyBorder="1" applyAlignment="1" applyProtection="1">
      <alignment horizontal="left" vertical="center"/>
    </xf>
    <xf numFmtId="0" fontId="14" fillId="0" borderId="10" xfId="0" applyNumberFormat="1" applyFont="1" applyFill="1" applyBorder="1" applyAlignment="1" applyProtection="1">
      <alignment horizontal="left" vertical="center"/>
    </xf>
    <xf numFmtId="0" fontId="15" fillId="0" borderId="3"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14" fillId="2" borderId="5" xfId="0" applyNumberFormat="1" applyFont="1" applyFill="1" applyBorder="1" applyAlignment="1" applyProtection="1">
      <alignment horizontal="left" vertical="center"/>
    </xf>
    <xf numFmtId="0" fontId="15" fillId="2" borderId="0" xfId="0" applyNumberFormat="1" applyFont="1" applyFill="1" applyBorder="1" applyAlignment="1" applyProtection="1">
      <alignment horizontal="left" vertical="center"/>
    </xf>
    <xf numFmtId="0" fontId="14" fillId="2" borderId="0" xfId="0" applyNumberFormat="1" applyFont="1" applyFill="1" applyBorder="1" applyAlignment="1" applyProtection="1">
      <alignment horizontal="left" vertical="center"/>
    </xf>
    <xf numFmtId="0" fontId="15" fillId="2" borderId="6" xfId="0" applyNumberFormat="1" applyFont="1" applyFill="1" applyBorder="1" applyAlignment="1" applyProtection="1">
      <alignment horizontal="right" vertical="center"/>
    </xf>
    <xf numFmtId="0" fontId="14" fillId="0" borderId="6" xfId="0" applyNumberFormat="1" applyFont="1" applyFill="1" applyBorder="1" applyAlignment="1" applyProtection="1">
      <alignment horizontal="right" vertical="center"/>
    </xf>
    <xf numFmtId="0" fontId="9" fillId="0" borderId="5" xfId="0" applyNumberFormat="1" applyFont="1" applyFill="1" applyBorder="1" applyAlignment="1" applyProtection="1"/>
    <xf numFmtId="0" fontId="25" fillId="0" borderId="0" xfId="0" applyNumberFormat="1" applyFont="1" applyFill="1" applyBorder="1" applyAlignment="1" applyProtection="1">
      <alignment horizontal="right" vertical="center"/>
    </xf>
    <xf numFmtId="0" fontId="26" fillId="0" borderId="0" xfId="0" applyFont="1"/>
    <xf numFmtId="0" fontId="27" fillId="0" borderId="0" xfId="0" applyFont="1"/>
    <xf numFmtId="0" fontId="9" fillId="0" borderId="0" xfId="0" applyFont="1" applyAlignment="1">
      <alignment horizontal="center"/>
    </xf>
    <xf numFmtId="49" fontId="10" fillId="0" borderId="0" xfId="0" applyNumberFormat="1" applyFont="1" applyAlignment="1">
      <alignment horizontal="center" wrapText="1"/>
    </xf>
    <xf numFmtId="0" fontId="9" fillId="0" borderId="30" xfId="0" applyFont="1" applyBorder="1" applyAlignment="1">
      <alignment horizontal="center" wrapText="1"/>
    </xf>
    <xf numFmtId="0" fontId="9" fillId="0" borderId="30" xfId="0" applyFont="1" applyBorder="1" applyAlignment="1">
      <alignment horizontal="center"/>
    </xf>
    <xf numFmtId="49" fontId="9" fillId="0" borderId="30" xfId="0" applyNumberFormat="1" applyFont="1" applyBorder="1" applyAlignment="1">
      <alignment horizontal="center" wrapText="1"/>
    </xf>
    <xf numFmtId="0" fontId="9" fillId="0" borderId="0" xfId="0" applyFont="1" applyAlignment="1">
      <alignment horizontal="left"/>
    </xf>
    <xf numFmtId="49" fontId="9" fillId="0" borderId="0" xfId="0" applyNumberFormat="1" applyFont="1" applyAlignment="1">
      <alignment horizontal="center"/>
    </xf>
    <xf numFmtId="4" fontId="9" fillId="0" borderId="0" xfId="0" applyNumberFormat="1"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10" fillId="0" borderId="30" xfId="0" applyFont="1" applyBorder="1" applyAlignment="1">
      <alignment horizontal="left"/>
    </xf>
    <xf numFmtId="49" fontId="10" fillId="0" borderId="30" xfId="0" applyNumberFormat="1" applyFont="1" applyBorder="1" applyAlignment="1">
      <alignment horizontal="center"/>
    </xf>
    <xf numFmtId="3" fontId="9" fillId="0" borderId="30" xfId="0" applyNumberFormat="1" applyFont="1" applyBorder="1" applyAlignment="1">
      <alignment horizontal="center" vertical="center"/>
    </xf>
    <xf numFmtId="4" fontId="9" fillId="0" borderId="30" xfId="0" applyNumberFormat="1" applyFont="1" applyBorder="1" applyAlignment="1">
      <alignment horizontal="center"/>
    </xf>
    <xf numFmtId="0" fontId="9" fillId="0" borderId="30" xfId="0" applyFont="1" applyBorder="1"/>
    <xf numFmtId="4" fontId="9" fillId="0" borderId="30" xfId="0" applyNumberFormat="1" applyFont="1" applyBorder="1" applyAlignment="1">
      <alignment horizontal="right" vertical="center"/>
    </xf>
    <xf numFmtId="0" fontId="6" fillId="0" borderId="0" xfId="0" applyFont="1" applyAlignment="1">
      <alignment horizontal="center" vertical="center"/>
    </xf>
    <xf numFmtId="0" fontId="9" fillId="0" borderId="32" xfId="0" applyFont="1" applyBorder="1" applyAlignment="1">
      <alignment horizontal="left" wrapText="1"/>
    </xf>
    <xf numFmtId="49" fontId="6" fillId="0" borderId="0" xfId="0" applyNumberFormat="1" applyFont="1" applyAlignment="1">
      <alignment vertical="center"/>
    </xf>
    <xf numFmtId="3" fontId="9" fillId="0" borderId="0" xfId="0" applyNumberFormat="1" applyFont="1" applyAlignment="1">
      <alignment horizontal="center" vertical="center"/>
    </xf>
    <xf numFmtId="4" fontId="9" fillId="0" borderId="0" xfId="0" applyNumberFormat="1" applyFont="1" applyAlignment="1">
      <alignment horizontal="center" vertical="center"/>
    </xf>
    <xf numFmtId="4" fontId="9" fillId="0" borderId="0" xfId="3" applyNumberFormat="1" applyFont="1" applyFill="1" applyAlignment="1">
      <alignment vertical="center"/>
    </xf>
    <xf numFmtId="4" fontId="9" fillId="0" borderId="0" xfId="0" applyNumberFormat="1" applyFont="1" applyAlignment="1">
      <alignment vertical="center"/>
    </xf>
    <xf numFmtId="0" fontId="9" fillId="0" borderId="0" xfId="0" applyFont="1" applyAlignment="1">
      <alignment horizontal="left" wrapText="1"/>
    </xf>
    <xf numFmtId="49" fontId="9" fillId="0" borderId="0" xfId="0" applyNumberFormat="1" applyFont="1" applyAlignment="1">
      <alignment vertical="center"/>
    </xf>
    <xf numFmtId="4" fontId="9" fillId="0" borderId="0" xfId="0" applyNumberFormat="1" applyFont="1"/>
    <xf numFmtId="49" fontId="9" fillId="0" borderId="0" xfId="0" applyNumberFormat="1" applyFont="1" applyAlignment="1">
      <alignment horizontal="center" vertical="center"/>
    </xf>
    <xf numFmtId="4" fontId="9" fillId="0" borderId="0" xfId="0" applyNumberFormat="1" applyFont="1" applyAlignment="1">
      <alignment horizontal="right" vertical="center"/>
    </xf>
    <xf numFmtId="0" fontId="9" fillId="0" borderId="30" xfId="0" applyFont="1" applyBorder="1" applyAlignment="1">
      <alignment vertical="center"/>
    </xf>
    <xf numFmtId="49" fontId="9" fillId="0" borderId="30" xfId="0" applyNumberFormat="1" applyFont="1" applyBorder="1" applyAlignment="1">
      <alignment vertical="center"/>
    </xf>
    <xf numFmtId="0" fontId="9" fillId="0" borderId="33" xfId="0" applyFont="1" applyBorder="1" applyAlignment="1">
      <alignment horizontal="center"/>
    </xf>
    <xf numFmtId="0" fontId="10" fillId="0" borderId="34" xfId="0" applyFont="1" applyBorder="1" applyAlignment="1">
      <alignment horizontal="left"/>
    </xf>
    <xf numFmtId="49" fontId="10" fillId="0" borderId="34" xfId="0" applyNumberFormat="1" applyFont="1" applyBorder="1" applyAlignment="1">
      <alignment horizontal="center"/>
    </xf>
    <xf numFmtId="3" fontId="9" fillId="0" borderId="34" xfId="0" applyNumberFormat="1" applyFont="1" applyBorder="1" applyAlignment="1">
      <alignment horizontal="center" vertical="center"/>
    </xf>
    <xf numFmtId="4" fontId="9" fillId="0" borderId="34" xfId="0" applyNumberFormat="1" applyFont="1" applyBorder="1" applyAlignment="1">
      <alignment horizontal="center"/>
    </xf>
    <xf numFmtId="0" fontId="9" fillId="0" borderId="34" xfId="0" applyFont="1" applyBorder="1"/>
    <xf numFmtId="4" fontId="10" fillId="0" borderId="35" xfId="0" applyNumberFormat="1" applyFont="1" applyBorder="1"/>
    <xf numFmtId="0" fontId="10" fillId="0" borderId="0" xfId="0" applyFont="1" applyAlignment="1">
      <alignment horizontal="left"/>
    </xf>
    <xf numFmtId="4" fontId="10" fillId="0" borderId="0" xfId="0" applyNumberFormat="1" applyFont="1"/>
    <xf numFmtId="0" fontId="9" fillId="0" borderId="0" xfId="0" applyFont="1" applyAlignment="1">
      <alignment vertical="center"/>
    </xf>
    <xf numFmtId="49" fontId="9" fillId="0" borderId="0" xfId="0" applyNumberFormat="1" applyFont="1" applyAlignment="1">
      <alignment horizontal="center" wrapText="1"/>
    </xf>
    <xf numFmtId="0" fontId="10" fillId="0" borderId="30" xfId="0" applyFont="1" applyBorder="1" applyAlignment="1">
      <alignment horizontal="center"/>
    </xf>
    <xf numFmtId="49" fontId="9" fillId="0" borderId="30" xfId="0" applyNumberFormat="1" applyFont="1" applyBorder="1" applyAlignment="1">
      <alignment horizontal="center"/>
    </xf>
    <xf numFmtId="3" fontId="9" fillId="0" borderId="30" xfId="0" applyNumberFormat="1" applyFont="1" applyBorder="1" applyAlignment="1">
      <alignment horizontal="center"/>
    </xf>
    <xf numFmtId="4" fontId="9" fillId="0" borderId="0" xfId="3" applyNumberFormat="1" applyFont="1" applyFill="1"/>
    <xf numFmtId="3" fontId="9" fillId="0" borderId="0" xfId="0" applyNumberFormat="1" applyFont="1" applyAlignment="1">
      <alignment horizontal="center"/>
    </xf>
    <xf numFmtId="0" fontId="9" fillId="0" borderId="0" xfId="0" applyFont="1" applyAlignment="1">
      <alignment horizontal="center" wrapText="1"/>
    </xf>
    <xf numFmtId="4" fontId="9" fillId="0" borderId="0" xfId="3" applyNumberFormat="1" applyFont="1" applyFill="1" applyBorder="1"/>
    <xf numFmtId="1" fontId="9" fillId="0" borderId="0" xfId="0" applyNumberFormat="1" applyFont="1"/>
    <xf numFmtId="49" fontId="9" fillId="0" borderId="0" xfId="0" applyNumberFormat="1" applyFont="1" applyAlignment="1">
      <alignment wrapText="1"/>
    </xf>
    <xf numFmtId="1" fontId="9" fillId="0" borderId="0" xfId="0" applyNumberFormat="1" applyFont="1" applyAlignment="1">
      <alignment horizontal="center"/>
    </xf>
    <xf numFmtId="0" fontId="9" fillId="0" borderId="33" xfId="0" applyFont="1" applyBorder="1" applyAlignment="1">
      <alignment horizontal="center" vertical="center"/>
    </xf>
    <xf numFmtId="3" fontId="9" fillId="0" borderId="34" xfId="0" applyNumberFormat="1" applyFont="1" applyBorder="1" applyAlignment="1">
      <alignment horizontal="center"/>
    </xf>
    <xf numFmtId="0" fontId="10" fillId="0" borderId="30" xfId="0" applyFont="1" applyBorder="1" applyAlignment="1">
      <alignment horizontal="left" wrapText="1"/>
    </xf>
    <xf numFmtId="4" fontId="9" fillId="0" borderId="30" xfId="0" applyNumberFormat="1" applyFont="1" applyBorder="1" applyAlignment="1">
      <alignment horizontal="left"/>
    </xf>
    <xf numFmtId="0" fontId="10" fillId="0" borderId="30" xfId="0" applyFont="1" applyBorder="1"/>
    <xf numFmtId="49" fontId="9" fillId="0" borderId="0" xfId="0" applyNumberFormat="1" applyFont="1"/>
    <xf numFmtId="0" fontId="9" fillId="0" borderId="0" xfId="0" applyFont="1" applyAlignment="1">
      <alignment wrapText="1"/>
    </xf>
    <xf numFmtId="0" fontId="10" fillId="0" borderId="0" xfId="0" applyFont="1"/>
    <xf numFmtId="0" fontId="9" fillId="0" borderId="36" xfId="0" applyFont="1" applyBorder="1" applyAlignment="1">
      <alignment horizontal="center"/>
    </xf>
    <xf numFmtId="0" fontId="10" fillId="0" borderId="29" xfId="0" applyFont="1" applyBorder="1" applyAlignment="1">
      <alignment horizontal="left"/>
    </xf>
    <xf numFmtId="49" fontId="10" fillId="0" borderId="29" xfId="0" applyNumberFormat="1" applyFont="1" applyBorder="1" applyAlignment="1">
      <alignment horizontal="center"/>
    </xf>
    <xf numFmtId="3" fontId="9" fillId="0" borderId="29" xfId="0" applyNumberFormat="1" applyFont="1" applyBorder="1" applyAlignment="1">
      <alignment horizontal="center"/>
    </xf>
    <xf numFmtId="4" fontId="9" fillId="0" borderId="29" xfId="0" applyNumberFormat="1" applyFont="1" applyBorder="1" applyAlignment="1">
      <alignment horizontal="center"/>
    </xf>
    <xf numFmtId="0" fontId="9" fillId="0" borderId="29" xfId="0" applyFont="1" applyBorder="1"/>
    <xf numFmtId="0" fontId="9" fillId="0" borderId="38" xfId="0" applyFont="1" applyBorder="1" applyAlignment="1">
      <alignment horizontal="center"/>
    </xf>
    <xf numFmtId="9" fontId="9" fillId="0" borderId="0" xfId="4" applyFont="1" applyFill="1" applyBorder="1" applyAlignment="1">
      <alignment horizontal="center"/>
    </xf>
    <xf numFmtId="4" fontId="10" fillId="0" borderId="39" xfId="0" applyNumberFormat="1" applyFont="1" applyBorder="1"/>
    <xf numFmtId="0" fontId="9" fillId="0" borderId="40" xfId="0" applyFont="1" applyBorder="1" applyAlignment="1">
      <alignment horizontal="center"/>
    </xf>
    <xf numFmtId="0" fontId="10" fillId="0" borderId="41" xfId="0" applyFont="1" applyBorder="1" applyAlignment="1">
      <alignment horizontal="left"/>
    </xf>
    <xf numFmtId="49" fontId="10" fillId="0" borderId="41" xfId="0" applyNumberFormat="1" applyFont="1" applyBorder="1" applyAlignment="1">
      <alignment horizontal="center"/>
    </xf>
    <xf numFmtId="3" fontId="9" fillId="0" borderId="41" xfId="0" applyNumberFormat="1" applyFont="1" applyBorder="1" applyAlignment="1">
      <alignment horizontal="center"/>
    </xf>
    <xf numFmtId="4" fontId="9" fillId="0" borderId="41" xfId="0" applyNumberFormat="1" applyFont="1" applyBorder="1" applyAlignment="1">
      <alignment horizontal="center"/>
    </xf>
    <xf numFmtId="0" fontId="9" fillId="0" borderId="41" xfId="0" applyFont="1" applyBorder="1"/>
    <xf numFmtId="4" fontId="10" fillId="0" borderId="42" xfId="0" applyNumberFormat="1" applyFont="1" applyBorder="1"/>
    <xf numFmtId="0" fontId="12" fillId="0" borderId="0" xfId="0" applyFont="1" applyAlignment="1">
      <alignment horizontal="left" vertical="center"/>
    </xf>
    <xf numFmtId="0" fontId="14" fillId="0" borderId="0" xfId="0" applyNumberFormat="1" applyFont="1" applyFill="1" applyBorder="1" applyAlignment="1" applyProtection="1">
      <alignment horizontal="left" vertical="center" wrapText="1"/>
    </xf>
    <xf numFmtId="0" fontId="14" fillId="0" borderId="41" xfId="0" applyNumberFormat="1" applyFont="1" applyFill="1" applyBorder="1" applyAlignment="1" applyProtection="1">
      <alignment horizontal="left" vertical="center" wrapText="1"/>
    </xf>
    <xf numFmtId="0" fontId="14" fillId="0" borderId="41" xfId="0" applyNumberFormat="1" applyFont="1" applyFill="1" applyBorder="1" applyAlignment="1" applyProtection="1">
      <alignment horizontal="left" vertical="center"/>
    </xf>
    <xf numFmtId="0" fontId="14" fillId="0" borderId="28"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xf>
    <xf numFmtId="0" fontId="15" fillId="0" borderId="36" xfId="0" applyNumberFormat="1" applyFont="1" applyFill="1" applyBorder="1" applyAlignment="1" applyProtection="1">
      <alignment horizontal="left" vertical="center"/>
    </xf>
    <xf numFmtId="0" fontId="15" fillId="0" borderId="47" xfId="0" applyNumberFormat="1" applyFont="1" applyFill="1" applyBorder="1" applyAlignment="1" applyProtection="1">
      <alignment horizontal="left" vertical="center"/>
    </xf>
    <xf numFmtId="0" fontId="15" fillId="0" borderId="49" xfId="0" applyNumberFormat="1" applyFont="1" applyFill="1" applyBorder="1" applyAlignment="1" applyProtection="1">
      <alignment horizontal="center" vertical="center"/>
    </xf>
    <xf numFmtId="0" fontId="15" fillId="0" borderId="48" xfId="0" applyNumberFormat="1" applyFont="1" applyFill="1" applyBorder="1" applyAlignment="1" applyProtection="1">
      <alignment horizontal="center" vertical="center"/>
    </xf>
    <xf numFmtId="0" fontId="15" fillId="0" borderId="50" xfId="0" applyNumberFormat="1" applyFont="1" applyFill="1" applyBorder="1" applyAlignment="1" applyProtection="1">
      <alignment horizontal="center" vertical="center"/>
    </xf>
    <xf numFmtId="0" fontId="15" fillId="0" borderId="51" xfId="0" applyNumberFormat="1" applyFont="1" applyFill="1" applyBorder="1" applyAlignment="1" applyProtection="1">
      <alignment horizontal="left" vertical="center"/>
    </xf>
    <xf numFmtId="4" fontId="15" fillId="0" borderId="51" xfId="0" applyNumberFormat="1" applyFont="1" applyFill="1" applyBorder="1" applyAlignment="1" applyProtection="1">
      <alignment horizontal="right" vertical="center"/>
    </xf>
    <xf numFmtId="4" fontId="14" fillId="0" borderId="28" xfId="0" applyNumberFormat="1" applyFont="1" applyFill="1" applyBorder="1" applyAlignment="1" applyProtection="1">
      <alignment horizontal="right" vertical="center"/>
    </xf>
    <xf numFmtId="4" fontId="22" fillId="2" borderId="28" xfId="0" applyNumberFormat="1" applyFont="1" applyFill="1" applyBorder="1" applyAlignment="1" applyProtection="1">
      <alignment horizontal="right" vertical="center"/>
    </xf>
    <xf numFmtId="4" fontId="9" fillId="0" borderId="0" xfId="0" applyNumberFormat="1" applyFont="1" applyFill="1"/>
    <xf numFmtId="4" fontId="10" fillId="0" borderId="37" xfId="0" applyNumberFormat="1" applyFont="1" applyFill="1" applyBorder="1"/>
    <xf numFmtId="4" fontId="22" fillId="0" borderId="7" xfId="0" applyNumberFormat="1" applyFont="1" applyFill="1" applyBorder="1" applyAlignment="1" applyProtection="1">
      <alignment horizontal="right" vertical="center"/>
    </xf>
    <xf numFmtId="4" fontId="22" fillId="0" borderId="54" xfId="0" applyNumberFormat="1" applyFont="1" applyFill="1" applyBorder="1" applyAlignment="1" applyProtection="1">
      <alignment horizontal="right" vertical="center"/>
    </xf>
    <xf numFmtId="4" fontId="8" fillId="0" borderId="28" xfId="0" applyNumberFormat="1" applyFont="1" applyFill="1" applyBorder="1" applyAlignment="1" applyProtection="1"/>
    <xf numFmtId="4" fontId="2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left" vertical="center"/>
    </xf>
    <xf numFmtId="4" fontId="16" fillId="0" borderId="28" xfId="1" applyNumberFormat="1" applyFont="1" applyBorder="1"/>
    <xf numFmtId="0" fontId="30" fillId="0" borderId="0" xfId="0" applyFont="1" applyFill="1"/>
    <xf numFmtId="0" fontId="0" fillId="0" borderId="0" xfId="0"/>
    <xf numFmtId="0" fontId="32" fillId="0" borderId="0" xfId="0" applyFont="1" applyFill="1"/>
    <xf numFmtId="0" fontId="33" fillId="0" borderId="0" xfId="0" applyFont="1" applyFill="1"/>
    <xf numFmtId="0" fontId="34" fillId="0" borderId="0" xfId="0" applyFont="1" applyFill="1"/>
    <xf numFmtId="0" fontId="35" fillId="0" borderId="0" xfId="0" applyFont="1" applyFill="1"/>
    <xf numFmtId="0" fontId="36" fillId="0" borderId="0" xfId="0" applyFont="1" applyFill="1" applyAlignment="1">
      <alignment vertical="center"/>
    </xf>
    <xf numFmtId="166" fontId="37" fillId="0" borderId="0" xfId="0" applyNumberFormat="1" applyFont="1" applyFill="1"/>
    <xf numFmtId="49" fontId="32" fillId="0" borderId="14" xfId="0" applyNumberFormat="1" applyFont="1" applyFill="1" applyBorder="1"/>
    <xf numFmtId="49" fontId="32" fillId="0" borderId="14" xfId="0" applyNumberFormat="1" applyFont="1" applyFill="1" applyBorder="1" applyAlignment="1" applyProtection="1">
      <alignment wrapText="1"/>
    </xf>
    <xf numFmtId="3" fontId="32" fillId="0" borderId="14" xfId="0" applyNumberFormat="1" applyFont="1" applyFill="1" applyBorder="1" applyAlignment="1" applyProtection="1">
      <alignment horizontal="center" wrapText="1"/>
    </xf>
    <xf numFmtId="4" fontId="32" fillId="0" borderId="14" xfId="0" applyNumberFormat="1" applyFont="1" applyFill="1" applyBorder="1" applyAlignment="1" applyProtection="1">
      <alignment horizontal="center"/>
    </xf>
    <xf numFmtId="4" fontId="32" fillId="0" borderId="14" xfId="0" applyNumberFormat="1" applyFont="1" applyFill="1" applyBorder="1" applyAlignment="1" applyProtection="1">
      <alignment horizontal="center" wrapText="1"/>
    </xf>
    <xf numFmtId="4" fontId="39" fillId="0" borderId="14" xfId="0" applyNumberFormat="1" applyFont="1" applyFill="1" applyBorder="1" applyAlignment="1" applyProtection="1">
      <alignment horizontal="center" wrapText="1"/>
    </xf>
    <xf numFmtId="49" fontId="40" fillId="0" borderId="13" xfId="0" applyNumberFormat="1" applyFont="1" applyFill="1" applyBorder="1"/>
    <xf numFmtId="49" fontId="40" fillId="0" borderId="13" xfId="0" applyNumberFormat="1" applyFont="1" applyFill="1" applyBorder="1" applyAlignment="1" applyProtection="1">
      <alignment vertical="top" wrapText="1"/>
    </xf>
    <xf numFmtId="3" fontId="39" fillId="0" borderId="13" xfId="0" applyNumberFormat="1" applyFont="1" applyFill="1" applyBorder="1" applyAlignment="1" applyProtection="1">
      <alignment horizontal="center"/>
    </xf>
    <xf numFmtId="0" fontId="41" fillId="0" borderId="13" xfId="0" applyFont="1" applyFill="1" applyBorder="1"/>
    <xf numFmtId="3" fontId="39" fillId="0" borderId="13" xfId="0" applyNumberFormat="1" applyFont="1" applyFill="1" applyBorder="1" applyAlignment="1" applyProtection="1"/>
    <xf numFmtId="0" fontId="32" fillId="0" borderId="13" xfId="0" applyFont="1" applyFill="1" applyBorder="1" applyAlignment="1" applyProtection="1">
      <alignment horizontal="right"/>
    </xf>
    <xf numFmtId="3" fontId="39" fillId="0" borderId="13" xfId="0" applyNumberFormat="1" applyFont="1" applyFill="1" applyBorder="1" applyProtection="1">
      <protection locked="0"/>
    </xf>
    <xf numFmtId="3" fontId="39" fillId="0" borderId="13" xfId="0" applyNumberFormat="1" applyFont="1" applyFill="1" applyBorder="1" applyProtection="1"/>
    <xf numFmtId="3" fontId="32" fillId="0" borderId="13" xfId="0" applyNumberFormat="1" applyFont="1" applyFill="1" applyBorder="1" applyProtection="1"/>
    <xf numFmtId="0" fontId="42" fillId="0" borderId="13" xfId="0" applyFont="1" applyFill="1" applyBorder="1"/>
    <xf numFmtId="49" fontId="32" fillId="0" borderId="13" xfId="0" applyNumberFormat="1" applyFont="1" applyFill="1" applyBorder="1" applyAlignment="1" applyProtection="1">
      <alignment wrapText="1"/>
    </xf>
    <xf numFmtId="0" fontId="32" fillId="0" borderId="13" xfId="0" applyFont="1" applyFill="1" applyBorder="1" applyAlignment="1" applyProtection="1">
      <alignment horizontal="center" wrapText="1"/>
    </xf>
    <xf numFmtId="1" fontId="32" fillId="0" borderId="13" xfId="0" applyNumberFormat="1" applyFont="1" applyFill="1" applyBorder="1" applyAlignment="1" applyProtection="1">
      <alignment horizontal="right" vertical="center" wrapText="1"/>
    </xf>
    <xf numFmtId="1" fontId="32" fillId="3" borderId="13" xfId="0" applyNumberFormat="1" applyFont="1" applyFill="1" applyBorder="1" applyAlignment="1" applyProtection="1">
      <alignment horizontal="center" vertical="center"/>
      <protection locked="0"/>
    </xf>
    <xf numFmtId="1" fontId="32" fillId="0" borderId="13" xfId="0" applyNumberFormat="1" applyFont="1" applyFill="1" applyBorder="1" applyAlignment="1" applyProtection="1">
      <alignment horizontal="center" vertical="center"/>
    </xf>
    <xf numFmtId="1" fontId="39" fillId="0" borderId="13" xfId="0" applyNumberFormat="1" applyFont="1" applyFill="1" applyBorder="1" applyAlignment="1" applyProtection="1">
      <alignment horizontal="center" vertical="center"/>
    </xf>
    <xf numFmtId="1" fontId="39" fillId="0" borderId="13" xfId="0" applyNumberFormat="1" applyFont="1" applyFill="1" applyBorder="1" applyAlignment="1" applyProtection="1">
      <alignment horizontal="center" vertical="center" wrapText="1"/>
    </xf>
    <xf numFmtId="1" fontId="32" fillId="0" borderId="13" xfId="0" applyNumberFormat="1" applyFont="1" applyFill="1" applyBorder="1" applyAlignment="1" applyProtection="1">
      <alignment horizontal="right" wrapText="1"/>
    </xf>
    <xf numFmtId="3" fontId="32" fillId="3" borderId="13" xfId="0" applyNumberFormat="1" applyFont="1" applyFill="1" applyBorder="1" applyProtection="1">
      <protection locked="0"/>
    </xf>
    <xf numFmtId="49" fontId="42" fillId="0" borderId="13" xfId="0" applyNumberFormat="1" applyFont="1" applyFill="1" applyBorder="1"/>
    <xf numFmtId="2" fontId="30" fillId="0" borderId="0" xfId="0" applyNumberFormat="1" applyFont="1" applyFill="1"/>
    <xf numFmtId="168" fontId="32" fillId="0" borderId="13" xfId="5" applyFont="1" applyBorder="1" applyAlignment="1" applyProtection="1">
      <alignment horizontal="left" vertical="center" wrapText="1"/>
    </xf>
    <xf numFmtId="169" fontId="42" fillId="0" borderId="13" xfId="0" applyNumberFormat="1" applyFont="1" applyFill="1" applyBorder="1"/>
    <xf numFmtId="0" fontId="43" fillId="0" borderId="0" xfId="0" applyFont="1" applyFill="1"/>
    <xf numFmtId="0" fontId="30" fillId="4" borderId="0" xfId="0" applyFont="1" applyFill="1"/>
    <xf numFmtId="0" fontId="32" fillId="0" borderId="0" xfId="6" applyFont="1" applyAlignment="1">
      <alignment vertical="top" wrapText="1"/>
    </xf>
    <xf numFmtId="0" fontId="39" fillId="0" borderId="0" xfId="0" applyFont="1" applyBorder="1" applyAlignment="1" applyProtection="1"/>
    <xf numFmtId="0" fontId="32" fillId="0" borderId="0" xfId="0" applyFont="1" applyBorder="1" applyAlignment="1" applyProtection="1"/>
    <xf numFmtId="0" fontId="45" fillId="0" borderId="0" xfId="0" applyFont="1" applyBorder="1" applyAlignment="1" applyProtection="1"/>
    <xf numFmtId="0" fontId="39" fillId="0" borderId="0" xfId="7" applyFont="1" applyAlignment="1">
      <alignment horizontal="left"/>
    </xf>
    <xf numFmtId="0" fontId="32" fillId="0" borderId="0" xfId="7" applyFont="1" applyAlignment="1">
      <alignment horizontal="left"/>
    </xf>
    <xf numFmtId="0" fontId="32" fillId="0" borderId="0" xfId="0" applyFont="1" applyBorder="1" applyAlignment="1" applyProtection="1">
      <alignment horizontal="center"/>
    </xf>
    <xf numFmtId="0" fontId="32" fillId="0" borderId="0" xfId="0" applyFont="1" applyFill="1" applyBorder="1"/>
    <xf numFmtId="0" fontId="30" fillId="0" borderId="0" xfId="0" applyFont="1" applyFill="1" applyBorder="1"/>
    <xf numFmtId="1" fontId="32" fillId="0" borderId="13" xfId="0" applyNumberFormat="1" applyFont="1" applyFill="1" applyBorder="1" applyAlignment="1" applyProtection="1">
      <alignment horizontal="center" vertical="center"/>
      <protection locked="0"/>
    </xf>
    <xf numFmtId="0" fontId="42" fillId="0" borderId="55" xfId="0" applyFont="1" applyFill="1" applyBorder="1"/>
    <xf numFmtId="49" fontId="32" fillId="0" borderId="55" xfId="0" applyNumberFormat="1" applyFont="1" applyFill="1" applyBorder="1" applyAlignment="1" applyProtection="1">
      <alignment wrapText="1"/>
    </xf>
    <xf numFmtId="0" fontId="32" fillId="0" borderId="55" xfId="0" applyFont="1" applyFill="1" applyBorder="1" applyAlignment="1" applyProtection="1">
      <alignment horizontal="center" wrapText="1"/>
    </xf>
    <xf numFmtId="1" fontId="32" fillId="0" borderId="55" xfId="0" applyNumberFormat="1" applyFont="1" applyFill="1" applyBorder="1" applyAlignment="1" applyProtection="1">
      <alignment horizontal="right" wrapText="1"/>
    </xf>
    <xf numFmtId="3" fontId="32" fillId="3" borderId="55" xfId="0" applyNumberFormat="1" applyFont="1" applyFill="1" applyBorder="1" applyProtection="1">
      <protection locked="0"/>
    </xf>
    <xf numFmtId="1" fontId="32" fillId="0" borderId="55" xfId="0" applyNumberFormat="1" applyFont="1" applyFill="1" applyBorder="1" applyAlignment="1" applyProtection="1">
      <alignment horizontal="center" vertical="center"/>
    </xf>
    <xf numFmtId="1" fontId="32" fillId="0" borderId="55" xfId="0" applyNumberFormat="1" applyFont="1" applyFill="1" applyBorder="1" applyAlignment="1" applyProtection="1">
      <alignment horizontal="center" vertical="center"/>
      <protection locked="0"/>
    </xf>
    <xf numFmtId="1" fontId="39" fillId="0" borderId="55" xfId="0" applyNumberFormat="1" applyFont="1" applyFill="1" applyBorder="1" applyAlignment="1" applyProtection="1">
      <alignment horizontal="center" vertical="center"/>
    </xf>
    <xf numFmtId="0" fontId="32" fillId="0" borderId="28" xfId="0" applyFont="1" applyFill="1" applyBorder="1"/>
    <xf numFmtId="0" fontId="32" fillId="0" borderId="28" xfId="0" applyFont="1" applyFill="1" applyBorder="1" applyAlignment="1">
      <alignment horizontal="center"/>
    </xf>
    <xf numFmtId="0" fontId="48" fillId="0" borderId="0" xfId="0" applyFont="1"/>
    <xf numFmtId="0" fontId="42" fillId="0" borderId="28" xfId="0" applyFont="1" applyFill="1" applyBorder="1"/>
    <xf numFmtId="0" fontId="32" fillId="4" borderId="28" xfId="0" applyFont="1" applyFill="1" applyBorder="1" applyAlignment="1">
      <alignment horizontal="center"/>
    </xf>
    <xf numFmtId="3" fontId="32" fillId="3" borderId="28" xfId="0" applyNumberFormat="1" applyFont="1" applyFill="1" applyBorder="1" applyProtection="1">
      <protection locked="0"/>
    </xf>
    <xf numFmtId="0" fontId="50" fillId="0" borderId="0" xfId="8" applyFont="1" applyAlignment="1">
      <alignment horizontal="center"/>
    </xf>
    <xf numFmtId="0" fontId="50" fillId="0" borderId="0" xfId="8" applyFont="1" applyAlignment="1">
      <alignment wrapText="1"/>
    </xf>
    <xf numFmtId="3" fontId="50" fillId="0" borderId="0" xfId="8" applyNumberFormat="1" applyFont="1" applyAlignment="1">
      <alignment horizontal="right"/>
    </xf>
    <xf numFmtId="0" fontId="50" fillId="0" borderId="0" xfId="8" applyFont="1"/>
    <xf numFmtId="0" fontId="51" fillId="0" borderId="0" xfId="8" applyFont="1" applyAlignment="1">
      <alignment horizontal="center"/>
    </xf>
    <xf numFmtId="0" fontId="51" fillId="0" borderId="0" xfId="8" applyFont="1" applyAlignment="1">
      <alignment wrapText="1"/>
    </xf>
    <xf numFmtId="3" fontId="51" fillId="0" borderId="0" xfId="8" applyNumberFormat="1" applyFont="1" applyAlignment="1">
      <alignment horizontal="right"/>
    </xf>
    <xf numFmtId="0" fontId="51" fillId="0" borderId="0" xfId="8" applyFont="1"/>
    <xf numFmtId="0" fontId="52" fillId="0" borderId="0" xfId="0" applyFont="1" applyAlignment="1">
      <alignment horizontal="left" vertical="center"/>
    </xf>
    <xf numFmtId="0" fontId="52" fillId="0" borderId="0" xfId="0" applyFont="1" applyAlignment="1">
      <alignment horizontal="center" vertical="center"/>
    </xf>
    <xf numFmtId="0" fontId="53" fillId="0" borderId="0" xfId="8" applyFont="1" applyAlignment="1">
      <alignment vertical="center"/>
    </xf>
    <xf numFmtId="3" fontId="51" fillId="0" borderId="0" xfId="8" applyNumberFormat="1" applyFont="1" applyAlignment="1">
      <alignment horizontal="right" vertical="center"/>
    </xf>
    <xf numFmtId="0" fontId="51" fillId="0" borderId="0" xfId="8" applyFont="1" applyAlignment="1">
      <alignment horizontal="center" vertical="center"/>
    </xf>
    <xf numFmtId="0" fontId="51" fillId="0" borderId="0" xfId="8" applyFont="1" applyAlignme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54" fillId="5" borderId="35" xfId="8" applyFont="1" applyFill="1" applyBorder="1" applyAlignment="1">
      <alignment horizontal="left" vertical="center"/>
    </xf>
    <xf numFmtId="0" fontId="51" fillId="0" borderId="0" xfId="0" applyFont="1" applyAlignment="1">
      <alignment vertical="center" wrapText="1"/>
    </xf>
    <xf numFmtId="49" fontId="55" fillId="6" borderId="46" xfId="8" applyNumberFormat="1" applyFont="1" applyFill="1" applyBorder="1" applyAlignment="1">
      <alignment horizontal="center" vertical="center" wrapText="1"/>
    </xf>
    <xf numFmtId="0" fontId="55" fillId="6" borderId="46" xfId="8" applyFont="1" applyFill="1" applyBorder="1" applyAlignment="1">
      <alignment horizontal="center" vertical="center" wrapText="1"/>
    </xf>
    <xf numFmtId="0" fontId="55" fillId="6" borderId="28" xfId="8" applyFont="1" applyFill="1" applyBorder="1" applyAlignment="1">
      <alignment horizontal="center" vertical="center"/>
    </xf>
    <xf numFmtId="0" fontId="55" fillId="6" borderId="28" xfId="8" applyFont="1" applyFill="1" applyBorder="1" applyAlignment="1">
      <alignment horizontal="center" vertical="center" wrapText="1"/>
    </xf>
    <xf numFmtId="3" fontId="55" fillId="6" borderId="28" xfId="8" applyNumberFormat="1" applyFont="1" applyFill="1" applyBorder="1" applyAlignment="1">
      <alignment horizontal="center" vertical="center" wrapText="1"/>
    </xf>
    <xf numFmtId="0" fontId="50" fillId="0" borderId="0" xfId="8" applyFont="1" applyAlignment="1">
      <alignment vertical="center"/>
    </xf>
    <xf numFmtId="0" fontId="9" fillId="0" borderId="44" xfId="0" applyFont="1" applyFill="1" applyBorder="1" applyAlignment="1">
      <alignment horizontal="center" vertical="center"/>
    </xf>
    <xf numFmtId="0" fontId="9" fillId="0" borderId="28" xfId="0" applyFont="1" applyFill="1" applyBorder="1" applyAlignment="1">
      <alignment horizontal="center" vertical="center" wrapText="1"/>
    </xf>
    <xf numFmtId="0" fontId="56" fillId="0" borderId="28" xfId="8" applyFont="1" applyBorder="1" applyAlignment="1">
      <alignment horizontal="center" vertical="center" wrapText="1"/>
    </xf>
    <xf numFmtId="0" fontId="56" fillId="0" borderId="28" xfId="8" applyFont="1" applyBorder="1" applyAlignment="1">
      <alignment horizontal="center" vertical="center"/>
    </xf>
    <xf numFmtId="0" fontId="56" fillId="0" borderId="28" xfId="0" applyFont="1" applyFill="1" applyBorder="1" applyAlignment="1" applyProtection="1">
      <alignment horizontal="center" vertical="center" wrapText="1"/>
      <protection locked="0"/>
    </xf>
    <xf numFmtId="0" fontId="9" fillId="7" borderId="28" xfId="0" applyFont="1" applyFill="1" applyBorder="1" applyAlignment="1">
      <alignment horizontal="left" vertical="center"/>
    </xf>
    <xf numFmtId="3" fontId="56" fillId="7" borderId="28" xfId="0" applyNumberFormat="1" applyFont="1" applyFill="1" applyBorder="1" applyAlignment="1">
      <alignment horizontal="center" vertical="center" wrapText="1"/>
    </xf>
    <xf numFmtId="0" fontId="10" fillId="7" borderId="28" xfId="0" applyFont="1" applyFill="1" applyBorder="1" applyAlignment="1">
      <alignment horizontal="left" vertical="center"/>
    </xf>
    <xf numFmtId="0" fontId="56" fillId="0" borderId="28" xfId="0" applyFont="1" applyFill="1" applyBorder="1" applyAlignment="1" applyProtection="1">
      <alignment horizontal="left" vertical="center" wrapText="1"/>
      <protection locked="0"/>
    </xf>
    <xf numFmtId="0" fontId="56" fillId="0" borderId="28" xfId="8" applyFont="1" applyBorder="1" applyAlignment="1">
      <alignment horizontal="left" vertical="center" wrapText="1"/>
    </xf>
    <xf numFmtId="0" fontId="56" fillId="0" borderId="28" xfId="9" applyBorder="1" applyAlignment="1">
      <alignment vertical="center" wrapText="1"/>
    </xf>
    <xf numFmtId="3" fontId="56" fillId="0" borderId="28" xfId="0" applyNumberFormat="1" applyFont="1" applyFill="1" applyBorder="1" applyAlignment="1" applyProtection="1">
      <alignment horizontal="left" vertical="center" wrapText="1"/>
      <protection locked="0"/>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56" fillId="0" borderId="46" xfId="0" applyFont="1" applyFill="1" applyBorder="1" applyAlignment="1" applyProtection="1">
      <alignment horizontal="center" vertical="center" wrapText="1"/>
      <protection locked="0"/>
    </xf>
    <xf numFmtId="0" fontId="9" fillId="7" borderId="46" xfId="0" applyFont="1" applyFill="1" applyBorder="1" applyAlignment="1">
      <alignment horizontal="center" vertical="center"/>
    </xf>
    <xf numFmtId="0" fontId="4" fillId="0" borderId="56" xfId="9" applyFont="1" applyBorder="1" applyAlignment="1">
      <alignment vertical="center" wrapText="1"/>
    </xf>
    <xf numFmtId="0" fontId="61" fillId="0" borderId="28" xfId="0" applyFont="1" applyFill="1" applyBorder="1" applyAlignment="1" applyProtection="1">
      <alignment horizontal="left" vertical="center" wrapText="1"/>
      <protection locked="0"/>
    </xf>
    <xf numFmtId="0" fontId="62" fillId="0" borderId="28" xfId="0" applyFont="1" applyBorder="1" applyAlignment="1">
      <alignment horizontal="center" vertical="center" wrapText="1"/>
    </xf>
    <xf numFmtId="1" fontId="64" fillId="0" borderId="28" xfId="0" applyNumberFormat="1" applyFont="1" applyFill="1" applyBorder="1" applyAlignment="1">
      <alignment horizontal="left" vertical="center" wrapText="1"/>
    </xf>
    <xf numFmtId="0" fontId="56" fillId="0" borderId="28" xfId="0" applyFont="1" applyFill="1" applyBorder="1" applyAlignment="1">
      <alignment vertical="center" wrapText="1"/>
    </xf>
    <xf numFmtId="0" fontId="9" fillId="0" borderId="28" xfId="0" applyFont="1" applyBorder="1" applyAlignment="1">
      <alignment horizontal="center" vertical="center" wrapText="1"/>
    </xf>
    <xf numFmtId="0" fontId="56" fillId="0" borderId="28" xfId="0" applyFont="1" applyBorder="1" applyAlignment="1">
      <alignment vertical="center" wrapText="1"/>
    </xf>
    <xf numFmtId="0" fontId="56" fillId="8" borderId="28" xfId="8" applyFont="1" applyFill="1" applyBorder="1" applyAlignment="1">
      <alignment horizontal="center" vertical="center" wrapText="1"/>
    </xf>
    <xf numFmtId="0" fontId="56" fillId="8" borderId="28" xfId="8" applyFont="1" applyFill="1" applyBorder="1" applyAlignment="1">
      <alignment horizontal="center" vertical="center"/>
    </xf>
    <xf numFmtId="0" fontId="56" fillId="8" borderId="28" xfId="0" applyFont="1" applyFill="1" applyBorder="1" applyAlignment="1" applyProtection="1">
      <alignment horizontal="center" vertical="center" wrapText="1"/>
      <protection locked="0"/>
    </xf>
    <xf numFmtId="3" fontId="56" fillId="8" borderId="28" xfId="8" applyNumberFormat="1" applyFont="1" applyFill="1" applyBorder="1" applyAlignment="1">
      <alignment horizontal="center" vertical="center"/>
    </xf>
    <xf numFmtId="0" fontId="56" fillId="7" borderId="28" xfId="0" applyFont="1" applyFill="1" applyBorder="1" applyAlignment="1" applyProtection="1">
      <alignment horizontal="center" vertical="center" wrapText="1"/>
      <protection locked="0"/>
    </xf>
    <xf numFmtId="0" fontId="68" fillId="0" borderId="28" xfId="10" applyFont="1" applyBorder="1" applyAlignment="1">
      <alignment vertical="top" wrapText="1"/>
    </xf>
    <xf numFmtId="0" fontId="69" fillId="0" borderId="0" xfId="0" applyFont="1" applyFill="1" applyAlignment="1" applyProtection="1">
      <alignment horizontal="left" vertical="center" wrapText="1"/>
      <protection locked="0"/>
    </xf>
    <xf numFmtId="0" fontId="9" fillId="8" borderId="44" xfId="0" applyFont="1" applyFill="1" applyBorder="1" applyAlignment="1">
      <alignment horizontal="center" vertical="center"/>
    </xf>
    <xf numFmtId="0" fontId="9" fillId="8" borderId="28" xfId="0" applyFont="1" applyFill="1" applyBorder="1" applyAlignment="1">
      <alignment horizontal="center" vertical="center" wrapText="1"/>
    </xf>
    <xf numFmtId="0" fontId="9" fillId="8" borderId="28" xfId="0" applyFont="1" applyFill="1" applyBorder="1" applyAlignment="1">
      <alignment horizontal="left" vertical="center" wrapText="1"/>
    </xf>
    <xf numFmtId="0" fontId="9" fillId="7" borderId="28" xfId="0" applyFont="1" applyFill="1" applyBorder="1" applyAlignment="1">
      <alignment horizontal="left" vertical="center" wrapText="1"/>
    </xf>
    <xf numFmtId="0" fontId="50" fillId="8" borderId="0" xfId="8" applyFont="1" applyFill="1" applyAlignment="1">
      <alignment vertical="center"/>
    </xf>
    <xf numFmtId="0" fontId="62" fillId="0" borderId="28" xfId="0" applyFont="1" applyFill="1" applyBorder="1" applyAlignment="1">
      <alignment horizontal="center" vertical="center" wrapText="1"/>
    </xf>
    <xf numFmtId="0" fontId="68" fillId="0" borderId="51" xfId="10" applyFont="1" applyBorder="1" applyAlignment="1">
      <alignment vertical="top" wrapText="1"/>
    </xf>
    <xf numFmtId="3" fontId="56" fillId="0" borderId="28" xfId="0" applyNumberFormat="1" applyFont="1" applyBorder="1" applyAlignment="1" applyProtection="1">
      <alignment horizontal="center" vertical="center" wrapText="1" shrinkToFit="1"/>
      <protection locked="0"/>
    </xf>
    <xf numFmtId="0" fontId="56" fillId="0" borderId="28" xfId="0" applyFont="1" applyBorder="1" applyAlignment="1" applyProtection="1">
      <alignment horizontal="center" vertical="center" wrapText="1"/>
      <protection locked="0"/>
    </xf>
    <xf numFmtId="0" fontId="50" fillId="0" borderId="0" xfId="8" applyFont="1" applyAlignment="1">
      <alignment vertical="center" wrapText="1"/>
    </xf>
    <xf numFmtId="0" fontId="9" fillId="9" borderId="44" xfId="0" applyFont="1" applyFill="1" applyBorder="1" applyAlignment="1">
      <alignment horizontal="center" vertical="center"/>
    </xf>
    <xf numFmtId="0" fontId="70" fillId="9" borderId="28" xfId="0" applyFont="1" applyFill="1" applyBorder="1" applyAlignment="1">
      <alignment horizontal="center" vertical="center" wrapText="1"/>
    </xf>
    <xf numFmtId="0" fontId="9" fillId="9" borderId="28" xfId="0" applyFont="1" applyFill="1" applyBorder="1" applyAlignment="1">
      <alignment horizontal="left" vertical="center" wrapText="1"/>
    </xf>
    <xf numFmtId="0" fontId="56" fillId="9" borderId="28" xfId="8" applyFont="1" applyFill="1" applyBorder="1" applyAlignment="1">
      <alignment horizontal="center" vertical="center" wrapText="1"/>
    </xf>
    <xf numFmtId="0" fontId="56" fillId="9" borderId="28" xfId="0" applyFont="1" applyFill="1" applyBorder="1" applyAlignment="1" applyProtection="1">
      <alignment horizontal="center" vertical="center" wrapText="1"/>
      <protection locked="0"/>
    </xf>
    <xf numFmtId="0" fontId="9" fillId="9" borderId="28" xfId="0" applyFont="1" applyFill="1" applyBorder="1" applyAlignment="1">
      <alignment horizontal="left" vertical="center"/>
    </xf>
    <xf numFmtId="3" fontId="56" fillId="9" borderId="28" xfId="0" applyNumberFormat="1" applyFont="1" applyFill="1" applyBorder="1" applyAlignment="1">
      <alignment horizontal="center" vertical="center" wrapText="1"/>
    </xf>
    <xf numFmtId="0" fontId="60" fillId="0" borderId="28" xfId="11" applyFont="1" applyBorder="1" applyAlignment="1">
      <alignment horizontal="left" vertical="center" wrapText="1"/>
    </xf>
    <xf numFmtId="0" fontId="61" fillId="0" borderId="28" xfId="11" applyFont="1" applyBorder="1" applyAlignment="1">
      <alignment horizontal="left" vertical="center" wrapText="1"/>
    </xf>
    <xf numFmtId="3" fontId="56" fillId="0" borderId="28" xfId="0" applyNumberFormat="1" applyFont="1" applyFill="1" applyBorder="1" applyAlignment="1" applyProtection="1">
      <alignment horizontal="center" vertical="center" wrapText="1"/>
      <protection locked="0"/>
    </xf>
    <xf numFmtId="0" fontId="56" fillId="0" borderId="28" xfId="0" applyFont="1" applyFill="1" applyBorder="1" applyAlignment="1">
      <alignment horizontal="left" vertical="center" wrapText="1"/>
    </xf>
    <xf numFmtId="0" fontId="9" fillId="9" borderId="28" xfId="0" applyFont="1" applyFill="1" applyBorder="1" applyAlignment="1">
      <alignment horizontal="center" vertical="center"/>
    </xf>
    <xf numFmtId="0" fontId="9" fillId="9" borderId="28" xfId="0" applyFont="1" applyFill="1" applyBorder="1" applyAlignment="1">
      <alignment horizontal="center" vertical="center" wrapText="1"/>
    </xf>
    <xf numFmtId="0" fontId="9" fillId="0" borderId="28" xfId="0" applyFont="1" applyFill="1" applyBorder="1" applyAlignment="1">
      <alignment horizontal="center" vertical="center"/>
    </xf>
    <xf numFmtId="0" fontId="68" fillId="0" borderId="28" xfId="0" applyFont="1" applyFill="1" applyBorder="1" applyAlignment="1">
      <alignment vertical="top" wrapText="1"/>
    </xf>
    <xf numFmtId="0" fontId="73" fillId="9" borderId="28" xfId="0" applyFont="1" applyFill="1" applyBorder="1" applyAlignment="1">
      <alignment horizontal="center" vertical="center" wrapText="1"/>
    </xf>
    <xf numFmtId="0" fontId="13" fillId="9" borderId="28" xfId="0" applyFont="1" applyFill="1" applyBorder="1" applyAlignment="1">
      <alignment horizontal="left" vertical="center"/>
    </xf>
    <xf numFmtId="0" fontId="9" fillId="0" borderId="57" xfId="0" applyFont="1" applyFill="1" applyBorder="1" applyAlignment="1">
      <alignment horizontal="center" vertical="center" wrapText="1"/>
    </xf>
    <xf numFmtId="0" fontId="9" fillId="0" borderId="46" xfId="0" applyFont="1" applyFill="1" applyBorder="1" applyAlignment="1">
      <alignment horizontal="left" vertical="center" wrapText="1"/>
    </xf>
    <xf numFmtId="49" fontId="56" fillId="0" borderId="28" xfId="8" applyNumberFormat="1" applyFont="1" applyBorder="1" applyAlignment="1">
      <alignment horizontal="center" vertical="center"/>
    </xf>
    <xf numFmtId="49" fontId="56" fillId="0" borderId="57" xfId="8" applyNumberFormat="1" applyFont="1" applyBorder="1" applyAlignment="1">
      <alignment horizontal="center" vertical="center"/>
    </xf>
    <xf numFmtId="3" fontId="56" fillId="7" borderId="57" xfId="8" applyNumberFormat="1" applyFont="1" applyFill="1" applyBorder="1" applyAlignment="1">
      <alignment horizontal="center" vertical="center" wrapText="1"/>
    </xf>
    <xf numFmtId="49" fontId="56" fillId="8" borderId="28" xfId="8" applyNumberFormat="1" applyFont="1" applyFill="1" applyBorder="1" applyAlignment="1">
      <alignment horizontal="center" vertical="center"/>
    </xf>
    <xf numFmtId="49" fontId="56" fillId="8" borderId="57" xfId="8" applyNumberFormat="1" applyFont="1" applyFill="1" applyBorder="1" applyAlignment="1">
      <alignment horizontal="center" vertical="center"/>
    </xf>
    <xf numFmtId="0" fontId="56" fillId="8" borderId="0" xfId="0" applyFont="1" applyFill="1" applyBorder="1" applyAlignment="1" applyProtection="1">
      <alignment horizontal="left" vertical="center" wrapText="1"/>
      <protection locked="0"/>
    </xf>
    <xf numFmtId="3" fontId="56" fillId="8" borderId="57" xfId="8" applyNumberFormat="1" applyFont="1" applyFill="1" applyBorder="1" applyAlignment="1">
      <alignment horizontal="center" vertical="center" wrapText="1"/>
    </xf>
    <xf numFmtId="3" fontId="56" fillId="8" borderId="28" xfId="0" applyNumberFormat="1" applyFont="1" applyFill="1" applyBorder="1" applyAlignment="1">
      <alignment horizontal="center" vertical="center" wrapText="1"/>
    </xf>
    <xf numFmtId="0" fontId="50" fillId="8" borderId="0" xfId="8" applyFont="1" applyFill="1" applyAlignment="1">
      <alignment vertical="center" wrapText="1"/>
    </xf>
    <xf numFmtId="49" fontId="51" fillId="8" borderId="28" xfId="8" applyNumberFormat="1" applyFont="1" applyFill="1" applyBorder="1" applyAlignment="1">
      <alignment horizontal="center" vertical="center"/>
    </xf>
    <xf numFmtId="0" fontId="74" fillId="0" borderId="58" xfId="0" applyFont="1" applyBorder="1" applyAlignment="1">
      <alignment vertical="center" wrapText="1"/>
    </xf>
    <xf numFmtId="0" fontId="56" fillId="0" borderId="28" xfId="8" applyFont="1" applyBorder="1" applyAlignment="1">
      <alignment horizontal="center"/>
    </xf>
    <xf numFmtId="3" fontId="56" fillId="0" borderId="28" xfId="8" applyNumberFormat="1" applyFont="1" applyBorder="1" applyAlignment="1">
      <alignment horizontal="right"/>
    </xf>
    <xf numFmtId="3" fontId="56" fillId="0" borderId="28" xfId="0" applyNumberFormat="1" applyFont="1" applyFill="1" applyBorder="1" applyAlignment="1">
      <alignment horizontal="center" vertical="center" wrapText="1"/>
    </xf>
    <xf numFmtId="0" fontId="56" fillId="0" borderId="59" xfId="0" applyFont="1" applyBorder="1" applyAlignment="1">
      <alignment vertical="center" wrapText="1"/>
    </xf>
    <xf numFmtId="49" fontId="56" fillId="0" borderId="28" xfId="8" applyNumberFormat="1" applyFont="1" applyBorder="1" applyAlignment="1">
      <alignment wrapText="1"/>
    </xf>
    <xf numFmtId="0" fontId="56" fillId="0" borderId="28" xfId="0" applyFont="1" applyBorder="1"/>
    <xf numFmtId="49" fontId="51" fillId="8" borderId="57" xfId="8" applyNumberFormat="1" applyFont="1" applyFill="1" applyBorder="1" applyAlignment="1">
      <alignment horizontal="center" vertical="center"/>
    </xf>
    <xf numFmtId="0" fontId="56" fillId="0" borderId="57" xfId="0" applyFont="1" applyFill="1" applyBorder="1" applyAlignment="1" applyProtection="1">
      <alignment horizontal="left" vertical="center" wrapText="1"/>
      <protection locked="0"/>
    </xf>
    <xf numFmtId="3" fontId="56" fillId="0" borderId="57" xfId="8" applyNumberFormat="1" applyFont="1" applyBorder="1" applyAlignment="1">
      <alignment horizontal="center" vertical="center" wrapText="1"/>
    </xf>
    <xf numFmtId="0" fontId="75" fillId="0" borderId="57" xfId="8" applyFont="1" applyBorder="1" applyAlignment="1">
      <alignment horizontal="left" vertical="center" wrapText="1"/>
    </xf>
    <xf numFmtId="0" fontId="76" fillId="0" borderId="28" xfId="8" applyFont="1" applyBorder="1" applyAlignment="1">
      <alignment horizontal="center" vertical="center"/>
    </xf>
    <xf numFmtId="3" fontId="76" fillId="0" borderId="28" xfId="8" applyNumberFormat="1" applyFont="1" applyBorder="1" applyAlignment="1">
      <alignment horizontal="center" vertical="center"/>
    </xf>
    <xf numFmtId="3" fontId="75" fillId="0" borderId="28" xfId="8" applyNumberFormat="1" applyFont="1" applyBorder="1" applyAlignment="1">
      <alignment horizontal="center" vertical="center"/>
    </xf>
    <xf numFmtId="0" fontId="77" fillId="0" borderId="0" xfId="8" applyFont="1" applyAlignment="1">
      <alignment horizontal="left" vertical="center" wrapText="1"/>
    </xf>
    <xf numFmtId="0" fontId="78" fillId="0" borderId="0" xfId="8" applyFont="1" applyAlignment="1">
      <alignment horizontal="center" vertical="center"/>
    </xf>
    <xf numFmtId="3" fontId="78" fillId="0" borderId="0" xfId="8" applyNumberFormat="1" applyFont="1" applyAlignment="1">
      <alignment horizontal="right" vertical="center"/>
    </xf>
    <xf numFmtId="3" fontId="77" fillId="0" borderId="0" xfId="8" applyNumberFormat="1" applyFont="1" applyAlignment="1">
      <alignment horizontal="right" vertical="center"/>
    </xf>
    <xf numFmtId="0" fontId="51" fillId="6" borderId="43" xfId="8" applyFont="1" applyFill="1" applyBorder="1" applyAlignment="1">
      <alignment horizontal="center" vertical="center"/>
    </xf>
    <xf numFmtId="0" fontId="79" fillId="6" borderId="43" xfId="8" applyFont="1" applyFill="1" applyBorder="1" applyAlignment="1">
      <alignment vertical="center" wrapText="1"/>
    </xf>
    <xf numFmtId="0" fontId="51" fillId="6" borderId="43" xfId="8" applyFont="1" applyFill="1" applyBorder="1" applyAlignment="1">
      <alignment vertical="center"/>
    </xf>
    <xf numFmtId="0" fontId="51" fillId="0" borderId="28" xfId="8" applyFont="1" applyBorder="1" applyAlignment="1">
      <alignment horizontal="center" vertical="center"/>
    </xf>
    <xf numFmtId="0" fontId="55" fillId="0" borderId="28" xfId="8" applyFont="1" applyBorder="1" applyAlignment="1">
      <alignment vertical="center" wrapText="1"/>
    </xf>
    <xf numFmtId="3" fontId="55" fillId="0" borderId="28" xfId="8" applyNumberFormat="1" applyFont="1" applyBorder="1" applyAlignment="1">
      <alignment vertical="center"/>
    </xf>
    <xf numFmtId="0" fontId="80" fillId="0" borderId="28" xfId="8" applyFont="1" applyBorder="1" applyAlignment="1">
      <alignment horizontal="center" vertical="center"/>
    </xf>
    <xf numFmtId="0" fontId="52" fillId="0" borderId="28" xfId="8" applyFont="1" applyBorder="1" applyAlignment="1">
      <alignment vertical="center"/>
    </xf>
    <xf numFmtId="3" fontId="52" fillId="0" borderId="28" xfId="8" applyNumberFormat="1" applyFont="1" applyBorder="1" applyAlignment="1">
      <alignment horizontal="center" vertical="center"/>
    </xf>
    <xf numFmtId="170" fontId="81" fillId="0" borderId="28" xfId="8" applyNumberFormat="1" applyFont="1" applyBorder="1" applyAlignment="1">
      <alignment horizontal="center" vertical="center"/>
    </xf>
    <xf numFmtId="0" fontId="82" fillId="5" borderId="28" xfId="8" applyFont="1" applyFill="1" applyBorder="1" applyAlignment="1">
      <alignment horizontal="center" vertical="center"/>
    </xf>
    <xf numFmtId="0" fontId="83" fillId="5" borderId="28" xfId="8" applyFont="1" applyFill="1" applyBorder="1" applyAlignment="1">
      <alignment vertical="center" wrapText="1"/>
    </xf>
    <xf numFmtId="0" fontId="84" fillId="5" borderId="28" xfId="8" applyFont="1" applyFill="1" applyBorder="1" applyAlignment="1">
      <alignment horizontal="center" vertical="center"/>
    </xf>
    <xf numFmtId="3" fontId="83" fillId="5" borderId="28" xfId="8" applyNumberFormat="1" applyFont="1" applyFill="1" applyBorder="1" applyAlignment="1">
      <alignment horizontal="center" vertical="center"/>
    </xf>
    <xf numFmtId="49" fontId="80" fillId="0" borderId="0" xfId="8" applyNumberFormat="1" applyFont="1" applyAlignment="1">
      <alignment horizontal="left"/>
    </xf>
    <xf numFmtId="49" fontId="80" fillId="0" borderId="0" xfId="8" applyNumberFormat="1" applyFont="1" applyAlignment="1">
      <alignment horizontal="center"/>
    </xf>
    <xf numFmtId="0" fontId="85" fillId="7" borderId="35" xfId="8" applyFont="1" applyFill="1" applyBorder="1"/>
    <xf numFmtId="0" fontId="50" fillId="7" borderId="58" xfId="8" applyFont="1" applyFill="1" applyBorder="1" applyAlignment="1">
      <alignment horizontal="center"/>
    </xf>
    <xf numFmtId="0" fontId="85" fillId="0" borderId="0" xfId="8" applyFont="1"/>
    <xf numFmtId="0" fontId="86" fillId="0" borderId="0" xfId="0" applyFont="1" applyAlignment="1">
      <alignment vertical="center"/>
    </xf>
    <xf numFmtId="49" fontId="86" fillId="0" borderId="0" xfId="0" applyNumberFormat="1" applyFont="1" applyAlignment="1">
      <alignment vertical="center"/>
    </xf>
    <xf numFmtId="3" fontId="51" fillId="0" borderId="0" xfId="8" applyNumberFormat="1" applyFont="1" applyAlignment="1">
      <alignment horizontal="center" vertical="center"/>
    </xf>
    <xf numFmtId="0" fontId="51" fillId="0" borderId="0" xfId="8" applyFont="1" applyAlignment="1">
      <alignment vertical="center" wrapText="1"/>
    </xf>
    <xf numFmtId="0" fontId="32" fillId="0" borderId="13" xfId="0" applyFont="1" applyFill="1" applyBorder="1" applyAlignment="1" applyProtection="1">
      <alignment horizontal="center" vertical="center" wrapText="1"/>
    </xf>
    <xf numFmtId="0" fontId="1" fillId="0" borderId="28" xfId="0" applyFont="1" applyFill="1" applyBorder="1" applyAlignment="1">
      <alignment horizontal="left" vertical="center" wrapText="1"/>
    </xf>
    <xf numFmtId="0" fontId="14" fillId="0" borderId="28" xfId="0" applyNumberFormat="1" applyFont="1" applyFill="1" applyBorder="1" applyAlignment="1" applyProtection="1">
      <alignment horizontal="left" vertical="center"/>
    </xf>
    <xf numFmtId="0" fontId="18" fillId="0" borderId="31" xfId="1" applyFont="1" applyBorder="1" applyAlignment="1">
      <alignment vertical="top" wrapText="1"/>
    </xf>
    <xf numFmtId="0" fontId="18" fillId="0" borderId="0" xfId="1" applyFont="1" applyAlignment="1">
      <alignment vertical="top" wrapText="1"/>
    </xf>
    <xf numFmtId="0" fontId="9" fillId="0" borderId="0" xfId="0" applyNumberFormat="1" applyFont="1" applyFill="1" applyBorder="1" applyAlignment="1" applyProtection="1">
      <alignment wrapText="1"/>
    </xf>
    <xf numFmtId="0" fontId="19" fillId="0" borderId="0"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left" vertical="center" wrapText="1"/>
    </xf>
    <xf numFmtId="0" fontId="15" fillId="0" borderId="52" xfId="0" applyNumberFormat="1" applyFont="1" applyFill="1" applyBorder="1" applyAlignment="1" applyProtection="1">
      <alignment horizontal="left" vertical="center" wrapText="1"/>
    </xf>
    <xf numFmtId="0" fontId="0" fillId="0" borderId="53" xfId="0" applyNumberFormat="1" applyFont="1" applyFill="1" applyBorder="1" applyAlignment="1" applyProtection="1">
      <alignment wrapText="1"/>
    </xf>
    <xf numFmtId="0" fontId="22" fillId="2" borderId="28"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xf>
    <xf numFmtId="0" fontId="23" fillId="0" borderId="23"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horizontal="left" vertical="center"/>
    </xf>
    <xf numFmtId="0" fontId="23" fillId="0" borderId="24" xfId="0" applyNumberFormat="1" applyFont="1" applyFill="1" applyBorder="1" applyAlignment="1" applyProtection="1">
      <alignment horizontal="left" vertical="center"/>
    </xf>
    <xf numFmtId="0" fontId="23" fillId="0" borderId="25"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left" vertical="center"/>
    </xf>
    <xf numFmtId="0" fontId="23" fillId="0" borderId="26" xfId="0" applyNumberFormat="1" applyFont="1" applyFill="1" applyBorder="1" applyAlignment="1" applyProtection="1">
      <alignment horizontal="left" vertical="center"/>
    </xf>
    <xf numFmtId="0" fontId="23" fillId="0" borderId="3"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3" fillId="0" borderId="27" xfId="0" applyNumberFormat="1" applyFont="1" applyFill="1" applyBorder="1" applyAlignment="1" applyProtection="1">
      <alignment horizontal="left" vertical="center"/>
    </xf>
    <xf numFmtId="9" fontId="22" fillId="0" borderId="0"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xf>
    <xf numFmtId="0" fontId="23" fillId="0" borderId="4" xfId="0" applyNumberFormat="1" applyFont="1" applyFill="1" applyBorder="1" applyAlignment="1" applyProtection="1">
      <alignment horizontal="left" vertical="center"/>
    </xf>
    <xf numFmtId="0" fontId="22" fillId="0" borderId="15" xfId="0" applyNumberFormat="1" applyFont="1" applyFill="1" applyBorder="1" applyAlignment="1" applyProtection="1">
      <alignment horizontal="left" vertical="center"/>
    </xf>
    <xf numFmtId="0" fontId="22" fillId="0" borderId="14" xfId="0" applyNumberFormat="1" applyFont="1" applyFill="1" applyBorder="1" applyAlignment="1" applyProtection="1">
      <alignment horizontal="left" vertical="center"/>
    </xf>
    <xf numFmtId="0" fontId="22" fillId="0" borderId="2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22"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1" fillId="0" borderId="2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2" fillId="0" borderId="4" xfId="0" applyNumberFormat="1" applyFont="1" applyFill="1" applyBorder="1" applyAlignment="1" applyProtection="1">
      <alignment horizontal="left" vertical="center"/>
    </xf>
    <xf numFmtId="0" fontId="22" fillId="0" borderId="5"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wrapText="1"/>
    </xf>
    <xf numFmtId="1" fontId="14" fillId="0" borderId="28" xfId="0" applyNumberFormat="1" applyFont="1" applyFill="1" applyBorder="1" applyAlignment="1" applyProtection="1">
      <alignment horizontal="left" vertical="center"/>
    </xf>
    <xf numFmtId="0" fontId="15" fillId="2"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8" fillId="0" borderId="0" xfId="0" applyNumberFormat="1" applyFont="1" applyFill="1" applyBorder="1" applyAlignment="1" applyProtection="1">
      <alignment horizontal="center" vertical="center"/>
    </xf>
    <xf numFmtId="0" fontId="15" fillId="0" borderId="17" xfId="0" applyNumberFormat="1" applyFont="1" applyFill="1" applyBorder="1" applyAlignment="1" applyProtection="1">
      <alignment horizontal="left" vertical="center"/>
    </xf>
    <xf numFmtId="0" fontId="15" fillId="0" borderId="2" xfId="0" applyNumberFormat="1" applyFont="1" applyFill="1" applyBorder="1" applyAlignment="1" applyProtection="1">
      <alignment horizontal="left" vertical="center"/>
    </xf>
    <xf numFmtId="0" fontId="15" fillId="0" borderId="3"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vertical="center"/>
    </xf>
    <xf numFmtId="0" fontId="15" fillId="0" borderId="18" xfId="0" applyNumberFormat="1" applyFont="1" applyFill="1" applyBorder="1" applyAlignment="1" applyProtection="1">
      <alignment horizontal="center" vertical="center"/>
    </xf>
    <xf numFmtId="0" fontId="15" fillId="0" borderId="19" xfId="0" applyNumberFormat="1" applyFont="1" applyFill="1" applyBorder="1" applyAlignment="1" applyProtection="1">
      <alignment horizontal="center" vertical="center"/>
    </xf>
    <xf numFmtId="0" fontId="15" fillId="0" borderId="20" xfId="0" applyNumberFormat="1" applyFont="1" applyFill="1" applyBorder="1" applyAlignment="1" applyProtection="1">
      <alignment horizontal="center" vertical="center"/>
    </xf>
    <xf numFmtId="0" fontId="9" fillId="0" borderId="0" xfId="0" applyFont="1" applyAlignment="1">
      <alignment horizontal="left" wrapText="1"/>
    </xf>
    <xf numFmtId="0" fontId="9" fillId="0" borderId="0" xfId="0" applyFont="1"/>
    <xf numFmtId="0" fontId="9" fillId="0" borderId="0" xfId="0" applyFont="1" applyAlignment="1">
      <alignment wrapText="1"/>
    </xf>
    <xf numFmtId="0" fontId="6" fillId="0" borderId="0" xfId="0" applyFont="1" applyAlignment="1">
      <alignment vertical="top" wrapText="1"/>
    </xf>
    <xf numFmtId="0" fontId="38" fillId="0" borderId="22" xfId="0" applyFont="1" applyFill="1" applyBorder="1" applyAlignment="1">
      <alignment horizontal="right"/>
    </xf>
    <xf numFmtId="167" fontId="38" fillId="0" borderId="13" xfId="0" applyNumberFormat="1" applyFont="1" applyFill="1" applyBorder="1" applyAlignment="1">
      <alignment horizontal="right"/>
    </xf>
    <xf numFmtId="0" fontId="38" fillId="0" borderId="13" xfId="0" applyFont="1" applyFill="1" applyBorder="1" applyAlignment="1">
      <alignment horizontal="left"/>
    </xf>
    <xf numFmtId="0" fontId="29" fillId="0" borderId="0" xfId="0" applyFont="1" applyFill="1" applyBorder="1" applyAlignment="1">
      <alignment horizontal="center" wrapText="1"/>
    </xf>
    <xf numFmtId="0" fontId="31" fillId="0" borderId="0" xfId="0" applyFont="1" applyFill="1" applyBorder="1" applyAlignment="1">
      <alignment horizontal="center"/>
    </xf>
    <xf numFmtId="0" fontId="87" fillId="0" borderId="0" xfId="8" applyFont="1" applyAlignment="1">
      <alignment vertical="center" wrapText="1"/>
    </xf>
    <xf numFmtId="0" fontId="87" fillId="0" borderId="0" xfId="0" applyFont="1" applyAlignment="1">
      <alignment vertical="center" wrapText="1"/>
    </xf>
  </cellXfs>
  <cellStyles count="12">
    <cellStyle name="Excel Built-in Normal" xfId="5" xr:uid="{00000000-0005-0000-0000-000000000000}"/>
    <cellStyle name="Měna" xfId="3" builtinId="4"/>
    <cellStyle name="Normální" xfId="0" builtinId="0"/>
    <cellStyle name="normální 10" xfId="2" xr:uid="{00000000-0005-0000-0000-000003000000}"/>
    <cellStyle name="normální 2" xfId="9" xr:uid="{00000000-0005-0000-0000-000004000000}"/>
    <cellStyle name="Normální 2 2" xfId="11" xr:uid="{00000000-0005-0000-0000-000005000000}"/>
    <cellStyle name="Normální 5" xfId="10" xr:uid="{00000000-0005-0000-0000-000006000000}"/>
    <cellStyle name="normální_nabídka VZD" xfId="6" xr:uid="{00000000-0005-0000-0000-000007000000}"/>
    <cellStyle name="normální_Rekapitulace" xfId="1" xr:uid="{00000000-0005-0000-0000-000008000000}"/>
    <cellStyle name="normální_Sešit2" xfId="8" xr:uid="{00000000-0005-0000-0000-000009000000}"/>
    <cellStyle name="normální_VZ_101_002_00_VykazVymer" xfId="7" xr:uid="{00000000-0005-0000-0000-00000A000000}"/>
    <cellStyle name="Procenta"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_adm/smrkozuz/V&#344;/2024/Rekonstrukce%20kuchyn&#283;/Such&#253;-Rekonstrukce%20kuchyn&#283;%20SP&#352;-slep&#2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vební rozpočet"/>
      <sheetName val="Stavební rozpočet - součet"/>
      <sheetName val="Krycí list rozpočtu"/>
    </sheetNames>
    <sheetDataSet>
      <sheetData sheetId="0">
        <row r="4">
          <cell r="G4" t="str">
            <v xml:space="preserve"> </v>
          </cell>
          <cell r="J4" t="str">
            <v>iMK Kladno, s.r.o.Kladno</v>
          </cell>
        </row>
        <row r="6">
          <cell r="C6" t="str">
            <v>Cyrila Boudy 2954, Kladno, kat.úz.Kladno</v>
          </cell>
          <cell r="G6" t="str">
            <v xml:space="preserve"> </v>
          </cell>
          <cell r="J6" t="str">
            <v>Dle výběrového řízení</v>
          </cell>
        </row>
        <row r="8">
          <cell r="C8" t="str">
            <v xml:space="preserve"> </v>
          </cell>
          <cell r="J8" t="str">
            <v> </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fitToPage="1"/>
  </sheetPr>
  <dimension ref="A1:J60"/>
  <sheetViews>
    <sheetView showOutlineSymbols="0" workbookViewId="0">
      <pane ySplit="15" topLeftCell="A16" activePane="bottomLeft" state="frozenSplit"/>
      <selection activeCell="C47" sqref="C47:D47"/>
      <selection pane="bottomLeft" activeCell="C8" sqref="C8:D9"/>
    </sheetView>
  </sheetViews>
  <sheetFormatPr defaultColWidth="14.1640625" defaultRowHeight="15" customHeight="1"/>
  <cols>
    <col min="1" max="2" width="10" style="7" customWidth="1"/>
    <col min="3" max="3" width="63.1640625" style="7" customWidth="1"/>
    <col min="4" max="4" width="18.83203125" style="7" customWidth="1"/>
    <col min="5" max="7" width="32.5" style="7" customWidth="1"/>
    <col min="8" max="8" width="24.1640625" style="7" customWidth="1"/>
    <col min="9" max="16384" width="14.1640625" style="7"/>
  </cols>
  <sheetData>
    <row r="1" spans="1:8" ht="42" customHeight="1">
      <c r="A1" s="359" t="s">
        <v>702</v>
      </c>
      <c r="B1" s="359"/>
      <c r="C1" s="359"/>
      <c r="D1" s="359"/>
      <c r="E1" s="359"/>
      <c r="F1" s="359"/>
      <c r="G1" s="359"/>
    </row>
    <row r="2" spans="1:8" ht="15" customHeight="1">
      <c r="A2" s="360" t="s">
        <v>55</v>
      </c>
      <c r="B2" s="355"/>
      <c r="C2" s="360" t="s">
        <v>951</v>
      </c>
      <c r="D2" s="355"/>
      <c r="E2" s="360" t="s">
        <v>715</v>
      </c>
      <c r="F2" s="360" t="s">
        <v>1167</v>
      </c>
      <c r="G2" s="355"/>
      <c r="H2" s="360" t="s">
        <v>1168</v>
      </c>
    </row>
    <row r="3" spans="1:8" ht="22.5" customHeight="1">
      <c r="A3" s="355"/>
      <c r="B3" s="355"/>
      <c r="C3" s="355"/>
      <c r="D3" s="355"/>
      <c r="E3" s="355"/>
      <c r="F3" s="355"/>
      <c r="G3" s="355"/>
      <c r="H3" s="355"/>
    </row>
    <row r="4" spans="1:8" ht="15" customHeight="1">
      <c r="A4" s="360" t="s">
        <v>468</v>
      </c>
      <c r="B4" s="355"/>
      <c r="C4" s="360" t="s">
        <v>1167</v>
      </c>
      <c r="D4" s="355"/>
      <c r="E4" s="360" t="s">
        <v>582</v>
      </c>
      <c r="F4" s="360" t="str">
        <f>'[1]Stavební rozpočet'!J4</f>
        <v>iMK Kladno, s.r.o.Kladno</v>
      </c>
      <c r="G4" s="355"/>
      <c r="H4" s="360" t="s">
        <v>548</v>
      </c>
    </row>
    <row r="5" spans="1:8" ht="15" customHeight="1">
      <c r="A5" s="355"/>
      <c r="B5" s="355"/>
      <c r="C5" s="355"/>
      <c r="D5" s="355"/>
      <c r="E5" s="355"/>
      <c r="F5" s="355"/>
      <c r="G5" s="355"/>
      <c r="H5" s="355"/>
    </row>
    <row r="6" spans="1:8" ht="15" customHeight="1">
      <c r="A6" s="360" t="s">
        <v>70</v>
      </c>
      <c r="B6" s="355"/>
      <c r="C6" s="360" t="str">
        <f>'[1]Stavební rozpočet'!C6</f>
        <v>Cyrila Boudy 2954, Kladno, kat.úz.Kladno</v>
      </c>
      <c r="D6" s="355"/>
      <c r="E6" s="360" t="s">
        <v>738</v>
      </c>
      <c r="F6" s="360" t="str">
        <f>'[1]Stavební rozpočet'!J6</f>
        <v>Dle výběrového řízení</v>
      </c>
      <c r="G6" s="355"/>
      <c r="H6" s="360" t="s">
        <v>548</v>
      </c>
    </row>
    <row r="7" spans="1:8" ht="15" customHeight="1">
      <c r="A7" s="355"/>
      <c r="B7" s="355"/>
      <c r="C7" s="355"/>
      <c r="D7" s="355"/>
      <c r="E7" s="355"/>
      <c r="F7" s="355"/>
      <c r="G7" s="355"/>
      <c r="H7" s="355"/>
    </row>
    <row r="8" spans="1:8" ht="15" customHeight="1">
      <c r="A8" s="360" t="s">
        <v>749</v>
      </c>
      <c r="B8" s="355"/>
      <c r="C8" s="360" t="str">
        <f>'[1]Stavební rozpočet'!G4</f>
        <v xml:space="preserve"> </v>
      </c>
      <c r="D8" s="355"/>
      <c r="E8" s="360" t="s">
        <v>281</v>
      </c>
      <c r="F8" s="360" t="str">
        <f>'[1]Stavební rozpočet'!G6</f>
        <v xml:space="preserve"> </v>
      </c>
      <c r="G8" s="355"/>
      <c r="H8" s="355" t="s">
        <v>854</v>
      </c>
    </row>
    <row r="9" spans="1:8" ht="15" customHeight="1">
      <c r="A9" s="355"/>
      <c r="B9" s="355"/>
      <c r="C9" s="355"/>
      <c r="D9" s="355"/>
      <c r="E9" s="355"/>
      <c r="F9" s="355"/>
      <c r="G9" s="355"/>
      <c r="H9" s="355"/>
    </row>
    <row r="10" spans="1:8" ht="15" customHeight="1">
      <c r="A10" s="360" t="s">
        <v>422</v>
      </c>
      <c r="B10" s="355"/>
      <c r="C10" s="360" t="str">
        <f>'[1]Stavební rozpočet'!C8</f>
        <v xml:space="preserve"> </v>
      </c>
      <c r="D10" s="355"/>
      <c r="E10" s="360" t="s">
        <v>559</v>
      </c>
      <c r="F10" s="360" t="str">
        <f>'[1]Stavební rozpočet'!J8</f>
        <v> </v>
      </c>
      <c r="G10" s="355"/>
      <c r="H10" s="355" t="s">
        <v>821</v>
      </c>
    </row>
    <row r="11" spans="1:8" ht="15" customHeight="1">
      <c r="A11" s="355"/>
      <c r="B11" s="355"/>
      <c r="C11" s="355"/>
      <c r="D11" s="355"/>
      <c r="E11" s="355"/>
      <c r="F11" s="355"/>
      <c r="G11" s="355"/>
      <c r="H11" s="355"/>
    </row>
    <row r="12" spans="1:8" ht="15" customHeight="1">
      <c r="A12" s="133"/>
      <c r="B12" s="133"/>
      <c r="C12" s="133"/>
      <c r="D12" s="10"/>
      <c r="E12" s="10"/>
      <c r="F12" s="10"/>
      <c r="G12" s="133"/>
    </row>
    <row r="13" spans="1:8" ht="15" customHeight="1" thickBot="1">
      <c r="A13" s="134"/>
      <c r="B13" s="134"/>
      <c r="C13" s="134"/>
      <c r="D13" s="135"/>
      <c r="E13" s="135"/>
      <c r="F13" s="135"/>
      <c r="G13" s="134"/>
    </row>
    <row r="14" spans="1:8" ht="15" customHeight="1">
      <c r="A14" s="138" t="s">
        <v>627</v>
      </c>
      <c r="B14" s="139" t="s">
        <v>287</v>
      </c>
      <c r="C14" s="361" t="s">
        <v>907</v>
      </c>
      <c r="D14" s="362"/>
      <c r="E14" s="140" t="s">
        <v>433</v>
      </c>
      <c r="F14" s="141" t="s">
        <v>944</v>
      </c>
      <c r="G14" s="142" t="s">
        <v>49</v>
      </c>
    </row>
    <row r="15" spans="1:8" ht="15" customHeight="1">
      <c r="A15" s="136" t="s">
        <v>586</v>
      </c>
      <c r="B15" s="136" t="s">
        <v>255</v>
      </c>
      <c r="C15" s="355" t="s">
        <v>3</v>
      </c>
      <c r="D15" s="355"/>
      <c r="E15" s="145">
        <v>0</v>
      </c>
      <c r="F15" s="145">
        <v>0</v>
      </c>
      <c r="G15" s="145">
        <f>SUM(E15:F15)</f>
        <v>0</v>
      </c>
      <c r="H15" s="12"/>
    </row>
    <row r="16" spans="1:8" ht="15" customHeight="1">
      <c r="A16" s="136" t="s">
        <v>586</v>
      </c>
      <c r="B16" s="136" t="s">
        <v>73</v>
      </c>
      <c r="C16" s="355" t="s">
        <v>705</v>
      </c>
      <c r="D16" s="355"/>
      <c r="E16" s="145">
        <v>0</v>
      </c>
      <c r="F16" s="145">
        <v>0</v>
      </c>
      <c r="G16" s="145">
        <f t="shared" ref="G16:G51" si="0">SUM(E16:F16)</f>
        <v>0</v>
      </c>
      <c r="H16" s="12"/>
    </row>
    <row r="17" spans="1:10" ht="15" customHeight="1">
      <c r="A17" s="136" t="s">
        <v>586</v>
      </c>
      <c r="B17" s="136" t="s">
        <v>589</v>
      </c>
      <c r="C17" s="355" t="s">
        <v>115</v>
      </c>
      <c r="D17" s="355"/>
      <c r="E17" s="145">
        <v>0</v>
      </c>
      <c r="F17" s="145">
        <v>0</v>
      </c>
      <c r="G17" s="145">
        <f t="shared" si="0"/>
        <v>0</v>
      </c>
      <c r="H17" s="12"/>
    </row>
    <row r="18" spans="1:10" ht="15" customHeight="1">
      <c r="A18" s="136" t="s">
        <v>586</v>
      </c>
      <c r="B18" s="136" t="s">
        <v>826</v>
      </c>
      <c r="C18" s="355" t="s">
        <v>697</v>
      </c>
      <c r="D18" s="355"/>
      <c r="E18" s="145">
        <v>0</v>
      </c>
      <c r="F18" s="145">
        <v>0</v>
      </c>
      <c r="G18" s="145">
        <f t="shared" si="0"/>
        <v>0</v>
      </c>
      <c r="H18" s="12"/>
    </row>
    <row r="19" spans="1:10" ht="15" customHeight="1">
      <c r="A19" s="136" t="s">
        <v>586</v>
      </c>
      <c r="B19" s="136" t="s">
        <v>506</v>
      </c>
      <c r="C19" s="355" t="s">
        <v>806</v>
      </c>
      <c r="D19" s="355"/>
      <c r="E19" s="145">
        <v>0</v>
      </c>
      <c r="F19" s="145">
        <v>0</v>
      </c>
      <c r="G19" s="145">
        <f t="shared" si="0"/>
        <v>0</v>
      </c>
      <c r="H19" s="12"/>
    </row>
    <row r="20" spans="1:10" ht="15" customHeight="1">
      <c r="A20" s="136" t="s">
        <v>586</v>
      </c>
      <c r="B20" s="136" t="s">
        <v>932</v>
      </c>
      <c r="C20" s="355" t="s">
        <v>203</v>
      </c>
      <c r="D20" s="355"/>
      <c r="E20" s="145">
        <v>0</v>
      </c>
      <c r="F20" s="145">
        <v>0</v>
      </c>
      <c r="G20" s="145">
        <f t="shared" si="0"/>
        <v>0</v>
      </c>
      <c r="H20" s="12"/>
    </row>
    <row r="21" spans="1:10" ht="15" customHeight="1">
      <c r="A21" s="136" t="s">
        <v>586</v>
      </c>
      <c r="B21" s="136" t="s">
        <v>832</v>
      </c>
      <c r="C21" s="355" t="s">
        <v>630</v>
      </c>
      <c r="D21" s="355"/>
      <c r="E21" s="145">
        <v>0</v>
      </c>
      <c r="F21" s="145">
        <v>0</v>
      </c>
      <c r="G21" s="145">
        <f t="shared" si="0"/>
        <v>0</v>
      </c>
      <c r="H21" s="12"/>
    </row>
    <row r="22" spans="1:10" ht="15" customHeight="1">
      <c r="A22" s="136" t="s">
        <v>586</v>
      </c>
      <c r="B22" s="136" t="s">
        <v>535</v>
      </c>
      <c r="C22" s="355" t="s">
        <v>564</v>
      </c>
      <c r="D22" s="355"/>
      <c r="E22" s="145">
        <v>0</v>
      </c>
      <c r="F22" s="145">
        <v>0</v>
      </c>
      <c r="G22" s="145">
        <f t="shared" si="0"/>
        <v>0</v>
      </c>
      <c r="H22" s="12"/>
    </row>
    <row r="23" spans="1:10" ht="15" customHeight="1">
      <c r="A23" s="136" t="s">
        <v>586</v>
      </c>
      <c r="B23" s="136" t="s">
        <v>399</v>
      </c>
      <c r="C23" s="355" t="s">
        <v>794</v>
      </c>
      <c r="D23" s="355"/>
      <c r="E23" s="145">
        <v>0</v>
      </c>
      <c r="F23" s="145">
        <v>0</v>
      </c>
      <c r="G23" s="145">
        <f t="shared" si="0"/>
        <v>0</v>
      </c>
      <c r="H23" s="12"/>
    </row>
    <row r="24" spans="1:10" ht="15" customHeight="1">
      <c r="A24" s="136" t="s">
        <v>586</v>
      </c>
      <c r="B24" s="136" t="s">
        <v>611</v>
      </c>
      <c r="C24" s="355" t="s">
        <v>605</v>
      </c>
      <c r="D24" s="355"/>
      <c r="E24" s="145">
        <v>0</v>
      </c>
      <c r="F24" s="145">
        <v>0</v>
      </c>
      <c r="G24" s="145">
        <f t="shared" si="0"/>
        <v>0</v>
      </c>
      <c r="H24" s="12"/>
    </row>
    <row r="25" spans="1:10" ht="15" customHeight="1">
      <c r="A25" s="136" t="s">
        <v>586</v>
      </c>
      <c r="B25" s="136" t="s">
        <v>197</v>
      </c>
      <c r="C25" s="355" t="s">
        <v>857</v>
      </c>
      <c r="D25" s="355"/>
      <c r="E25" s="145">
        <v>0</v>
      </c>
      <c r="F25" s="145">
        <v>0</v>
      </c>
      <c r="G25" s="145">
        <f t="shared" si="0"/>
        <v>0</v>
      </c>
      <c r="H25" s="12"/>
    </row>
    <row r="26" spans="1:10" ht="15" customHeight="1">
      <c r="A26" s="136" t="s">
        <v>586</v>
      </c>
      <c r="B26" s="136" t="s">
        <v>424</v>
      </c>
      <c r="C26" s="355" t="s">
        <v>866</v>
      </c>
      <c r="D26" s="355"/>
      <c r="E26" s="145">
        <v>0</v>
      </c>
      <c r="F26" s="145">
        <v>0</v>
      </c>
      <c r="G26" s="145">
        <f t="shared" si="0"/>
        <v>0</v>
      </c>
      <c r="H26" s="12"/>
    </row>
    <row r="27" spans="1:10" ht="15" customHeight="1">
      <c r="A27" s="136" t="s">
        <v>586</v>
      </c>
      <c r="B27" s="136" t="s">
        <v>898</v>
      </c>
      <c r="C27" s="355" t="s">
        <v>547</v>
      </c>
      <c r="D27" s="355"/>
      <c r="E27" s="145">
        <v>0</v>
      </c>
      <c r="F27" s="145">
        <v>0</v>
      </c>
      <c r="G27" s="145">
        <f t="shared" si="0"/>
        <v>0</v>
      </c>
      <c r="H27" s="12"/>
    </row>
    <row r="28" spans="1:10" ht="15" customHeight="1">
      <c r="A28" s="136" t="s">
        <v>586</v>
      </c>
      <c r="B28" s="136" t="s">
        <v>29</v>
      </c>
      <c r="C28" s="355" t="s">
        <v>318</v>
      </c>
      <c r="D28" s="355"/>
      <c r="E28" s="145">
        <v>0</v>
      </c>
      <c r="F28" s="145">
        <v>0</v>
      </c>
      <c r="G28" s="145">
        <f t="shared" si="0"/>
        <v>0</v>
      </c>
      <c r="H28" s="12"/>
    </row>
    <row r="29" spans="1:10" ht="15" customHeight="1">
      <c r="A29" s="136" t="s">
        <v>586</v>
      </c>
      <c r="B29" s="136" t="s">
        <v>765</v>
      </c>
      <c r="C29" s="355" t="s">
        <v>339</v>
      </c>
      <c r="D29" s="355"/>
      <c r="E29" s="145">
        <v>0</v>
      </c>
      <c r="F29" s="145">
        <v>0</v>
      </c>
      <c r="G29" s="145">
        <f t="shared" si="0"/>
        <v>0</v>
      </c>
      <c r="H29" s="12"/>
    </row>
    <row r="30" spans="1:10" ht="15" customHeight="1">
      <c r="A30" s="136" t="s">
        <v>586</v>
      </c>
      <c r="B30" s="136" t="s">
        <v>95</v>
      </c>
      <c r="C30" s="355" t="s">
        <v>594</v>
      </c>
      <c r="D30" s="355"/>
      <c r="E30" s="145">
        <v>0</v>
      </c>
      <c r="F30" s="145">
        <v>0</v>
      </c>
      <c r="G30" s="145">
        <f t="shared" si="0"/>
        <v>0</v>
      </c>
      <c r="H30" s="12"/>
    </row>
    <row r="31" spans="1:10" ht="15" customHeight="1">
      <c r="A31" s="136" t="s">
        <v>586</v>
      </c>
      <c r="B31" s="136" t="s">
        <v>345</v>
      </c>
      <c r="C31" s="355" t="s">
        <v>628</v>
      </c>
      <c r="D31" s="355"/>
      <c r="E31" s="145">
        <v>0</v>
      </c>
      <c r="F31" s="145">
        <v>0</v>
      </c>
      <c r="G31" s="145">
        <f t="shared" si="0"/>
        <v>0</v>
      </c>
      <c r="H31" s="12"/>
      <c r="J31" s="7" t="s">
        <v>783</v>
      </c>
    </row>
    <row r="32" spans="1:10" ht="15" customHeight="1">
      <c r="A32" s="136" t="s">
        <v>586</v>
      </c>
      <c r="B32" s="136" t="s">
        <v>892</v>
      </c>
      <c r="C32" s="355" t="s">
        <v>512</v>
      </c>
      <c r="D32" s="355"/>
      <c r="E32" s="145">
        <v>0</v>
      </c>
      <c r="F32" s="145">
        <v>0</v>
      </c>
      <c r="G32" s="145">
        <f t="shared" si="0"/>
        <v>0</v>
      </c>
      <c r="H32" s="12"/>
    </row>
    <row r="33" spans="1:8" ht="15" customHeight="1">
      <c r="A33" s="136" t="s">
        <v>586</v>
      </c>
      <c r="B33" s="136" t="s">
        <v>479</v>
      </c>
      <c r="C33" s="355" t="s">
        <v>631</v>
      </c>
      <c r="D33" s="355"/>
      <c r="E33" s="145">
        <v>0</v>
      </c>
      <c r="F33" s="145">
        <v>0</v>
      </c>
      <c r="G33" s="145">
        <f t="shared" si="0"/>
        <v>0</v>
      </c>
      <c r="H33" s="12"/>
    </row>
    <row r="34" spans="1:8" ht="15" customHeight="1">
      <c r="A34" s="136" t="s">
        <v>586</v>
      </c>
      <c r="B34" s="136" t="s">
        <v>93</v>
      </c>
      <c r="C34" s="355" t="s">
        <v>928</v>
      </c>
      <c r="D34" s="355"/>
      <c r="E34" s="145">
        <v>0</v>
      </c>
      <c r="F34" s="145">
        <v>0</v>
      </c>
      <c r="G34" s="145">
        <f t="shared" si="0"/>
        <v>0</v>
      </c>
      <c r="H34" s="12"/>
    </row>
    <row r="35" spans="1:8" ht="15" customHeight="1">
      <c r="A35" s="136" t="s">
        <v>586</v>
      </c>
      <c r="B35" s="136" t="s">
        <v>288</v>
      </c>
      <c r="C35" s="355" t="s">
        <v>374</v>
      </c>
      <c r="D35" s="355"/>
      <c r="E35" s="145">
        <v>0</v>
      </c>
      <c r="F35" s="145">
        <v>0</v>
      </c>
      <c r="G35" s="145">
        <f t="shared" si="0"/>
        <v>0</v>
      </c>
      <c r="H35" s="12"/>
    </row>
    <row r="36" spans="1:8" ht="15" customHeight="1">
      <c r="A36" s="136" t="s">
        <v>586</v>
      </c>
      <c r="B36" s="136" t="s">
        <v>126</v>
      </c>
      <c r="C36" s="355" t="s">
        <v>641</v>
      </c>
      <c r="D36" s="355"/>
      <c r="E36" s="145">
        <v>0</v>
      </c>
      <c r="F36" s="145">
        <v>0</v>
      </c>
      <c r="G36" s="145">
        <f t="shared" si="0"/>
        <v>0</v>
      </c>
      <c r="H36" s="12"/>
    </row>
    <row r="37" spans="1:8" ht="15" customHeight="1">
      <c r="A37" s="136" t="s">
        <v>586</v>
      </c>
      <c r="B37" s="136" t="s">
        <v>116</v>
      </c>
      <c r="C37" s="355" t="s">
        <v>405</v>
      </c>
      <c r="D37" s="355"/>
      <c r="E37" s="145">
        <v>0</v>
      </c>
      <c r="F37" s="145">
        <v>0</v>
      </c>
      <c r="G37" s="145">
        <f t="shared" si="0"/>
        <v>0</v>
      </c>
      <c r="H37" s="12"/>
    </row>
    <row r="38" spans="1:8" ht="15" customHeight="1">
      <c r="A38" s="136" t="s">
        <v>586</v>
      </c>
      <c r="B38" s="136" t="s">
        <v>50</v>
      </c>
      <c r="C38" s="355" t="s">
        <v>939</v>
      </c>
      <c r="D38" s="355"/>
      <c r="E38" s="145">
        <v>0</v>
      </c>
      <c r="F38" s="145">
        <v>0</v>
      </c>
      <c r="G38" s="145">
        <f t="shared" si="0"/>
        <v>0</v>
      </c>
      <c r="H38" s="12"/>
    </row>
    <row r="39" spans="1:8" ht="15" customHeight="1">
      <c r="A39" s="136" t="s">
        <v>586</v>
      </c>
      <c r="B39" s="136" t="s">
        <v>542</v>
      </c>
      <c r="C39" s="355" t="s">
        <v>948</v>
      </c>
      <c r="D39" s="355"/>
      <c r="E39" s="145">
        <v>0</v>
      </c>
      <c r="F39" s="145">
        <v>0</v>
      </c>
      <c r="G39" s="145">
        <f t="shared" si="0"/>
        <v>0</v>
      </c>
      <c r="H39" s="12"/>
    </row>
    <row r="40" spans="1:8" ht="15" customHeight="1">
      <c r="A40" s="136" t="s">
        <v>586</v>
      </c>
      <c r="B40" s="136" t="s">
        <v>761</v>
      </c>
      <c r="C40" s="355" t="s">
        <v>523</v>
      </c>
      <c r="D40" s="355"/>
      <c r="E40" s="145">
        <v>0</v>
      </c>
      <c r="F40" s="145">
        <v>0</v>
      </c>
      <c r="G40" s="145">
        <f t="shared" si="0"/>
        <v>0</v>
      </c>
      <c r="H40" s="12"/>
    </row>
    <row r="41" spans="1:8" ht="15" customHeight="1">
      <c r="A41" s="136" t="s">
        <v>586</v>
      </c>
      <c r="B41" s="136" t="s">
        <v>812</v>
      </c>
      <c r="C41" s="355" t="s">
        <v>507</v>
      </c>
      <c r="D41" s="355"/>
      <c r="E41" s="145">
        <v>0</v>
      </c>
      <c r="F41" s="145">
        <v>0</v>
      </c>
      <c r="G41" s="145">
        <f t="shared" si="0"/>
        <v>0</v>
      </c>
      <c r="H41" s="12"/>
    </row>
    <row r="42" spans="1:8" ht="15" customHeight="1">
      <c r="A42" s="136" t="s">
        <v>586</v>
      </c>
      <c r="B42" s="136" t="s">
        <v>483</v>
      </c>
      <c r="C42" s="355" t="s">
        <v>886</v>
      </c>
      <c r="D42" s="355"/>
      <c r="E42" s="145">
        <v>0</v>
      </c>
      <c r="F42" s="145">
        <v>0</v>
      </c>
      <c r="G42" s="145">
        <f t="shared" si="0"/>
        <v>0</v>
      </c>
      <c r="H42" s="12"/>
    </row>
    <row r="43" spans="1:8" ht="15" customHeight="1">
      <c r="A43" s="136" t="s">
        <v>586</v>
      </c>
      <c r="B43" s="136" t="s">
        <v>871</v>
      </c>
      <c r="C43" s="355" t="s">
        <v>713</v>
      </c>
      <c r="D43" s="355"/>
      <c r="E43" s="145">
        <v>0</v>
      </c>
      <c r="F43" s="145">
        <v>0</v>
      </c>
      <c r="G43" s="145">
        <f t="shared" si="0"/>
        <v>0</v>
      </c>
      <c r="H43" s="12"/>
    </row>
    <row r="44" spans="1:8" ht="15" customHeight="1">
      <c r="A44" s="136" t="s">
        <v>586</v>
      </c>
      <c r="B44" s="136" t="s">
        <v>874</v>
      </c>
      <c r="C44" s="355" t="s">
        <v>632</v>
      </c>
      <c r="D44" s="355"/>
      <c r="E44" s="145">
        <v>0</v>
      </c>
      <c r="F44" s="145">
        <v>0</v>
      </c>
      <c r="G44" s="145">
        <f t="shared" si="0"/>
        <v>0</v>
      </c>
      <c r="H44" s="12"/>
    </row>
    <row r="45" spans="1:8" ht="15" customHeight="1">
      <c r="A45" s="136" t="s">
        <v>586</v>
      </c>
      <c r="B45" s="136" t="s">
        <v>361</v>
      </c>
      <c r="C45" s="355" t="s">
        <v>409</v>
      </c>
      <c r="D45" s="355"/>
      <c r="E45" s="145">
        <v>0</v>
      </c>
      <c r="F45" s="145">
        <v>0</v>
      </c>
      <c r="G45" s="145">
        <f t="shared" si="0"/>
        <v>0</v>
      </c>
      <c r="H45" s="12"/>
    </row>
    <row r="46" spans="1:8" ht="15" customHeight="1">
      <c r="A46" s="136" t="s">
        <v>586</v>
      </c>
      <c r="B46" s="136" t="s">
        <v>395</v>
      </c>
      <c r="C46" s="355" t="s">
        <v>265</v>
      </c>
      <c r="D46" s="355"/>
      <c r="E46" s="145">
        <v>0</v>
      </c>
      <c r="F46" s="145">
        <v>0</v>
      </c>
      <c r="G46" s="145">
        <f t="shared" si="0"/>
        <v>0</v>
      </c>
      <c r="H46" s="12"/>
    </row>
    <row r="47" spans="1:8" ht="15" customHeight="1">
      <c r="A47" s="136" t="s">
        <v>586</v>
      </c>
      <c r="B47" s="136" t="s">
        <v>918</v>
      </c>
      <c r="C47" s="355" t="s">
        <v>741</v>
      </c>
      <c r="D47" s="355"/>
      <c r="E47" s="145">
        <v>0</v>
      </c>
      <c r="F47" s="145">
        <v>0</v>
      </c>
      <c r="G47" s="145">
        <f t="shared" si="0"/>
        <v>0</v>
      </c>
      <c r="H47" s="12"/>
    </row>
    <row r="48" spans="1:8" ht="15" customHeight="1">
      <c r="A48" s="136" t="s">
        <v>586</v>
      </c>
      <c r="B48" s="136" t="s">
        <v>682</v>
      </c>
      <c r="C48" s="355" t="s">
        <v>378</v>
      </c>
      <c r="D48" s="355"/>
      <c r="E48" s="145">
        <v>0</v>
      </c>
      <c r="F48" s="145">
        <v>0</v>
      </c>
      <c r="G48" s="145">
        <f t="shared" si="0"/>
        <v>0</v>
      </c>
      <c r="H48" s="12"/>
    </row>
    <row r="49" spans="1:9" ht="15" customHeight="1">
      <c r="A49" s="136" t="s">
        <v>586</v>
      </c>
      <c r="B49" s="136" t="s">
        <v>489</v>
      </c>
      <c r="C49" s="355" t="s">
        <v>672</v>
      </c>
      <c r="D49" s="355"/>
      <c r="E49" s="145">
        <v>0</v>
      </c>
      <c r="F49" s="145">
        <v>0</v>
      </c>
      <c r="G49" s="145">
        <f t="shared" si="0"/>
        <v>0</v>
      </c>
      <c r="H49" s="12"/>
    </row>
    <row r="50" spans="1:9" ht="15" customHeight="1">
      <c r="A50" s="136" t="s">
        <v>586</v>
      </c>
      <c r="B50" s="136" t="s">
        <v>475</v>
      </c>
      <c r="C50" s="355" t="s">
        <v>13</v>
      </c>
      <c r="D50" s="355"/>
      <c r="E50" s="145">
        <v>0</v>
      </c>
      <c r="F50" s="145">
        <v>0</v>
      </c>
      <c r="G50" s="145">
        <f t="shared" si="0"/>
        <v>0</v>
      </c>
      <c r="H50" s="12"/>
    </row>
    <row r="51" spans="1:9" ht="15" customHeight="1">
      <c r="A51" s="136"/>
      <c r="B51" s="136">
        <v>791</v>
      </c>
      <c r="C51" s="355" t="s">
        <v>956</v>
      </c>
      <c r="D51" s="355"/>
      <c r="E51" s="145">
        <v>0</v>
      </c>
      <c r="F51" s="145">
        <v>0</v>
      </c>
      <c r="G51" s="145">
        <f t="shared" si="0"/>
        <v>0</v>
      </c>
      <c r="H51" s="12"/>
    </row>
    <row r="52" spans="1:9" ht="15" customHeight="1">
      <c r="F52" s="143" t="s">
        <v>670</v>
      </c>
      <c r="G52" s="144">
        <f>SUM(G15:G51)</f>
        <v>0</v>
      </c>
    </row>
    <row r="53" spans="1:9" s="22" customFormat="1" ht="12.75">
      <c r="A53" s="14"/>
      <c r="B53" s="15"/>
      <c r="C53" s="16"/>
      <c r="D53" s="17"/>
      <c r="E53" s="18"/>
      <c r="F53" s="19" t="s">
        <v>955</v>
      </c>
      <c r="G53" s="20"/>
      <c r="H53" s="21"/>
      <c r="I53" s="21"/>
    </row>
    <row r="54" spans="1:9" s="22" customFormat="1" ht="12.75">
      <c r="A54" s="14"/>
      <c r="B54" s="17"/>
      <c r="C54" s="17"/>
      <c r="D54" s="17"/>
      <c r="E54" s="18"/>
      <c r="F54" s="19" t="s">
        <v>634</v>
      </c>
      <c r="G54" s="20"/>
      <c r="H54" s="21"/>
      <c r="I54" s="21"/>
    </row>
    <row r="55" spans="1:9" s="22" customFormat="1" ht="12.75">
      <c r="A55" s="23"/>
      <c r="B55" s="17"/>
      <c r="C55" s="16"/>
      <c r="D55" s="17"/>
      <c r="E55" s="18"/>
      <c r="F55" s="24" t="s">
        <v>957</v>
      </c>
      <c r="G55" s="154">
        <f>G52+G53+G54</f>
        <v>0</v>
      </c>
      <c r="H55" s="21"/>
      <c r="I55" s="21"/>
    </row>
    <row r="56" spans="1:9" s="22" customFormat="1" ht="12.75">
      <c r="A56" s="23"/>
      <c r="B56" s="16"/>
      <c r="C56" s="16"/>
      <c r="D56" s="16"/>
      <c r="E56" s="18"/>
      <c r="F56" s="18"/>
      <c r="G56" s="21"/>
      <c r="H56" s="21"/>
      <c r="I56" s="21"/>
    </row>
    <row r="57" spans="1:9" s="25" customFormat="1" ht="32.25" customHeight="1">
      <c r="A57" s="356" t="s">
        <v>952</v>
      </c>
      <c r="B57" s="357"/>
      <c r="C57" s="357"/>
      <c r="D57" s="357"/>
      <c r="E57" s="358"/>
      <c r="F57" s="358"/>
      <c r="G57" s="358"/>
      <c r="H57" s="21"/>
      <c r="I57" s="21"/>
    </row>
    <row r="58" spans="1:9" s="25" customFormat="1" ht="15.6" customHeight="1">
      <c r="A58" s="356" t="s">
        <v>958</v>
      </c>
      <c r="B58" s="357"/>
      <c r="C58" s="357"/>
      <c r="D58" s="357"/>
      <c r="E58" s="358"/>
      <c r="F58" s="358"/>
      <c r="G58" s="358"/>
      <c r="H58" s="21"/>
      <c r="I58" s="21"/>
    </row>
    <row r="59" spans="1:9" s="25" customFormat="1" ht="34.5" customHeight="1">
      <c r="A59" s="356" t="s">
        <v>953</v>
      </c>
      <c r="B59" s="357"/>
      <c r="C59" s="357"/>
      <c r="D59" s="357"/>
      <c r="E59" s="358"/>
      <c r="F59" s="358"/>
      <c r="G59" s="358"/>
      <c r="H59" s="21"/>
      <c r="I59" s="21"/>
    </row>
    <row r="60" spans="1:9" s="25" customFormat="1" ht="45" customHeight="1">
      <c r="A60" s="356" t="s">
        <v>954</v>
      </c>
      <c r="B60" s="357"/>
      <c r="C60" s="357"/>
      <c r="D60" s="357"/>
      <c r="E60" s="358"/>
      <c r="F60" s="358"/>
      <c r="G60" s="358"/>
      <c r="H60" s="21"/>
      <c r="I60" s="21"/>
    </row>
  </sheetData>
  <mergeCells count="68">
    <mergeCell ref="C51:D51"/>
    <mergeCell ref="C14:D14"/>
    <mergeCell ref="C2:D3"/>
    <mergeCell ref="F2:G3"/>
    <mergeCell ref="C6:D7"/>
    <mergeCell ref="C22:D22"/>
    <mergeCell ref="C23:D23"/>
    <mergeCell ref="C24:D24"/>
    <mergeCell ref="C25:D25"/>
    <mergeCell ref="C26:D26"/>
    <mergeCell ref="C27:D27"/>
    <mergeCell ref="C28:D28"/>
    <mergeCell ref="C29:D29"/>
    <mergeCell ref="C30:D30"/>
    <mergeCell ref="C31:D31"/>
    <mergeCell ref="C32:D32"/>
    <mergeCell ref="A10:B11"/>
    <mergeCell ref="C10:D11"/>
    <mergeCell ref="E10:E11"/>
    <mergeCell ref="F10:G11"/>
    <mergeCell ref="H10:H11"/>
    <mergeCell ref="H6:H7"/>
    <mergeCell ref="C8:D9"/>
    <mergeCell ref="F8:G9"/>
    <mergeCell ref="H8:H9"/>
    <mergeCell ref="H2:H3"/>
    <mergeCell ref="C4:D5"/>
    <mergeCell ref="F4:G5"/>
    <mergeCell ref="H4:H5"/>
    <mergeCell ref="F6:G7"/>
    <mergeCell ref="E6:E7"/>
    <mergeCell ref="E4:E5"/>
    <mergeCell ref="E2:E3"/>
    <mergeCell ref="E8:E9"/>
    <mergeCell ref="A57:G57"/>
    <mergeCell ref="A58:G58"/>
    <mergeCell ref="A59:G59"/>
    <mergeCell ref="A60:G60"/>
    <mergeCell ref="A1:G1"/>
    <mergeCell ref="A2:B3"/>
    <mergeCell ref="A4:B5"/>
    <mergeCell ref="A6:B7"/>
    <mergeCell ref="A8:B9"/>
    <mergeCell ref="C15:D15"/>
    <mergeCell ref="C16:D16"/>
    <mergeCell ref="C17:D17"/>
    <mergeCell ref="C18:D18"/>
    <mergeCell ref="C19:D19"/>
    <mergeCell ref="C20:D20"/>
    <mergeCell ref="C21:D21"/>
    <mergeCell ref="C33:D33"/>
    <mergeCell ref="C34:D34"/>
    <mergeCell ref="C35:D35"/>
    <mergeCell ref="C36:D36"/>
    <mergeCell ref="C37:D37"/>
    <mergeCell ref="C38:D38"/>
    <mergeCell ref="C39:D39"/>
    <mergeCell ref="C40:D40"/>
    <mergeCell ref="C41:D41"/>
    <mergeCell ref="C47:D47"/>
    <mergeCell ref="C48:D48"/>
    <mergeCell ref="C49:D49"/>
    <mergeCell ref="C50:D50"/>
    <mergeCell ref="C42:D42"/>
    <mergeCell ref="C43:D43"/>
    <mergeCell ref="C44:D44"/>
    <mergeCell ref="C45:D45"/>
    <mergeCell ref="C46:D46"/>
  </mergeCells>
  <pageMargins left="0.39400000000000002" right="0.39400000000000002" top="0.59099999999999997" bottom="0.59099999999999997" header="0" footer="0"/>
  <pageSetup paperSize="9" firstPageNumber="0" fitToHeight="0" orientation="landscape" useFirstPageNumber="1"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fitToPage="1"/>
  </sheetPr>
  <dimension ref="A1:I36"/>
  <sheetViews>
    <sheetView showOutlineSymbols="0" workbookViewId="0">
      <selection activeCell="F2" sqref="F2:G3"/>
    </sheetView>
  </sheetViews>
  <sheetFormatPr defaultColWidth="14.1640625" defaultRowHeight="15" customHeight="1"/>
  <cols>
    <col min="1" max="1" width="10.6640625" style="7" customWidth="1"/>
    <col min="2" max="2" width="15" style="7" customWidth="1"/>
    <col min="3" max="3" width="31.6640625" style="7" customWidth="1"/>
    <col min="4" max="4" width="11.6640625" style="7" customWidth="1"/>
    <col min="5" max="5" width="16.33203125" style="7" customWidth="1"/>
    <col min="6" max="6" width="31.6640625" style="7" customWidth="1"/>
    <col min="7" max="7" width="10.6640625" style="7" customWidth="1"/>
    <col min="8" max="8" width="15" style="7" customWidth="1"/>
    <col min="9" max="9" width="31.6640625" style="7" customWidth="1"/>
    <col min="10" max="256" width="14.1640625" style="7"/>
    <col min="257" max="257" width="10.6640625" style="7" customWidth="1"/>
    <col min="258" max="258" width="15" style="7" customWidth="1"/>
    <col min="259" max="259" width="31.6640625" style="7" customWidth="1"/>
    <col min="260" max="260" width="11.6640625" style="7" customWidth="1"/>
    <col min="261" max="261" width="16.33203125" style="7" customWidth="1"/>
    <col min="262" max="262" width="31.6640625" style="7" customWidth="1"/>
    <col min="263" max="263" width="10.6640625" style="7" customWidth="1"/>
    <col min="264" max="264" width="15" style="7" customWidth="1"/>
    <col min="265" max="265" width="31.6640625" style="7" customWidth="1"/>
    <col min="266" max="512" width="14.1640625" style="7"/>
    <col min="513" max="513" width="10.6640625" style="7" customWidth="1"/>
    <col min="514" max="514" width="15" style="7" customWidth="1"/>
    <col min="515" max="515" width="31.6640625" style="7" customWidth="1"/>
    <col min="516" max="516" width="11.6640625" style="7" customWidth="1"/>
    <col min="517" max="517" width="16.33203125" style="7" customWidth="1"/>
    <col min="518" max="518" width="31.6640625" style="7" customWidth="1"/>
    <col min="519" max="519" width="10.6640625" style="7" customWidth="1"/>
    <col min="520" max="520" width="15" style="7" customWidth="1"/>
    <col min="521" max="521" width="31.6640625" style="7" customWidth="1"/>
    <col min="522" max="768" width="14.1640625" style="7"/>
    <col min="769" max="769" width="10.6640625" style="7" customWidth="1"/>
    <col min="770" max="770" width="15" style="7" customWidth="1"/>
    <col min="771" max="771" width="31.6640625" style="7" customWidth="1"/>
    <col min="772" max="772" width="11.6640625" style="7" customWidth="1"/>
    <col min="773" max="773" width="16.33203125" style="7" customWidth="1"/>
    <col min="774" max="774" width="31.6640625" style="7" customWidth="1"/>
    <col min="775" max="775" width="10.6640625" style="7" customWidth="1"/>
    <col min="776" max="776" width="15" style="7" customWidth="1"/>
    <col min="777" max="777" width="31.6640625" style="7" customWidth="1"/>
    <col min="778" max="1024" width="14.1640625" style="7"/>
    <col min="1025" max="1025" width="10.6640625" style="7" customWidth="1"/>
    <col min="1026" max="1026" width="15" style="7" customWidth="1"/>
    <col min="1027" max="1027" width="31.6640625" style="7" customWidth="1"/>
    <col min="1028" max="1028" width="11.6640625" style="7" customWidth="1"/>
    <col min="1029" max="1029" width="16.33203125" style="7" customWidth="1"/>
    <col min="1030" max="1030" width="31.6640625" style="7" customWidth="1"/>
    <col min="1031" max="1031" width="10.6640625" style="7" customWidth="1"/>
    <col min="1032" max="1032" width="15" style="7" customWidth="1"/>
    <col min="1033" max="1033" width="31.6640625" style="7" customWidth="1"/>
    <col min="1034" max="1280" width="14.1640625" style="7"/>
    <col min="1281" max="1281" width="10.6640625" style="7" customWidth="1"/>
    <col min="1282" max="1282" width="15" style="7" customWidth="1"/>
    <col min="1283" max="1283" width="31.6640625" style="7" customWidth="1"/>
    <col min="1284" max="1284" width="11.6640625" style="7" customWidth="1"/>
    <col min="1285" max="1285" width="16.33203125" style="7" customWidth="1"/>
    <col min="1286" max="1286" width="31.6640625" style="7" customWidth="1"/>
    <col min="1287" max="1287" width="10.6640625" style="7" customWidth="1"/>
    <col min="1288" max="1288" width="15" style="7" customWidth="1"/>
    <col min="1289" max="1289" width="31.6640625" style="7" customWidth="1"/>
    <col min="1290" max="1536" width="14.1640625" style="7"/>
    <col min="1537" max="1537" width="10.6640625" style="7" customWidth="1"/>
    <col min="1538" max="1538" width="15" style="7" customWidth="1"/>
    <col min="1539" max="1539" width="31.6640625" style="7" customWidth="1"/>
    <col min="1540" max="1540" width="11.6640625" style="7" customWidth="1"/>
    <col min="1541" max="1541" width="16.33203125" style="7" customWidth="1"/>
    <col min="1542" max="1542" width="31.6640625" style="7" customWidth="1"/>
    <col min="1543" max="1543" width="10.6640625" style="7" customWidth="1"/>
    <col min="1544" max="1544" width="15" style="7" customWidth="1"/>
    <col min="1545" max="1545" width="31.6640625" style="7" customWidth="1"/>
    <col min="1546" max="1792" width="14.1640625" style="7"/>
    <col min="1793" max="1793" width="10.6640625" style="7" customWidth="1"/>
    <col min="1794" max="1794" width="15" style="7" customWidth="1"/>
    <col min="1795" max="1795" width="31.6640625" style="7" customWidth="1"/>
    <col min="1796" max="1796" width="11.6640625" style="7" customWidth="1"/>
    <col min="1797" max="1797" width="16.33203125" style="7" customWidth="1"/>
    <col min="1798" max="1798" width="31.6640625" style="7" customWidth="1"/>
    <col min="1799" max="1799" width="10.6640625" style="7" customWidth="1"/>
    <col min="1800" max="1800" width="15" style="7" customWidth="1"/>
    <col min="1801" max="1801" width="31.6640625" style="7" customWidth="1"/>
    <col min="1802" max="2048" width="14.1640625" style="7"/>
    <col min="2049" max="2049" width="10.6640625" style="7" customWidth="1"/>
    <col min="2050" max="2050" width="15" style="7" customWidth="1"/>
    <col min="2051" max="2051" width="31.6640625" style="7" customWidth="1"/>
    <col min="2052" max="2052" width="11.6640625" style="7" customWidth="1"/>
    <col min="2053" max="2053" width="16.33203125" style="7" customWidth="1"/>
    <col min="2054" max="2054" width="31.6640625" style="7" customWidth="1"/>
    <col min="2055" max="2055" width="10.6640625" style="7" customWidth="1"/>
    <col min="2056" max="2056" width="15" style="7" customWidth="1"/>
    <col min="2057" max="2057" width="31.6640625" style="7" customWidth="1"/>
    <col min="2058" max="2304" width="14.1640625" style="7"/>
    <col min="2305" max="2305" width="10.6640625" style="7" customWidth="1"/>
    <col min="2306" max="2306" width="15" style="7" customWidth="1"/>
    <col min="2307" max="2307" width="31.6640625" style="7" customWidth="1"/>
    <col min="2308" max="2308" width="11.6640625" style="7" customWidth="1"/>
    <col min="2309" max="2309" width="16.33203125" style="7" customWidth="1"/>
    <col min="2310" max="2310" width="31.6640625" style="7" customWidth="1"/>
    <col min="2311" max="2311" width="10.6640625" style="7" customWidth="1"/>
    <col min="2312" max="2312" width="15" style="7" customWidth="1"/>
    <col min="2313" max="2313" width="31.6640625" style="7" customWidth="1"/>
    <col min="2314" max="2560" width="14.1640625" style="7"/>
    <col min="2561" max="2561" width="10.6640625" style="7" customWidth="1"/>
    <col min="2562" max="2562" width="15" style="7" customWidth="1"/>
    <col min="2563" max="2563" width="31.6640625" style="7" customWidth="1"/>
    <col min="2564" max="2564" width="11.6640625" style="7" customWidth="1"/>
    <col min="2565" max="2565" width="16.33203125" style="7" customWidth="1"/>
    <col min="2566" max="2566" width="31.6640625" style="7" customWidth="1"/>
    <col min="2567" max="2567" width="10.6640625" style="7" customWidth="1"/>
    <col min="2568" max="2568" width="15" style="7" customWidth="1"/>
    <col min="2569" max="2569" width="31.6640625" style="7" customWidth="1"/>
    <col min="2570" max="2816" width="14.1640625" style="7"/>
    <col min="2817" max="2817" width="10.6640625" style="7" customWidth="1"/>
    <col min="2818" max="2818" width="15" style="7" customWidth="1"/>
    <col min="2819" max="2819" width="31.6640625" style="7" customWidth="1"/>
    <col min="2820" max="2820" width="11.6640625" style="7" customWidth="1"/>
    <col min="2821" max="2821" width="16.33203125" style="7" customWidth="1"/>
    <col min="2822" max="2822" width="31.6640625" style="7" customWidth="1"/>
    <col min="2823" max="2823" width="10.6640625" style="7" customWidth="1"/>
    <col min="2824" max="2824" width="15" style="7" customWidth="1"/>
    <col min="2825" max="2825" width="31.6640625" style="7" customWidth="1"/>
    <col min="2826" max="3072" width="14.1640625" style="7"/>
    <col min="3073" max="3073" width="10.6640625" style="7" customWidth="1"/>
    <col min="3074" max="3074" width="15" style="7" customWidth="1"/>
    <col min="3075" max="3075" width="31.6640625" style="7" customWidth="1"/>
    <col min="3076" max="3076" width="11.6640625" style="7" customWidth="1"/>
    <col min="3077" max="3077" width="16.33203125" style="7" customWidth="1"/>
    <col min="3078" max="3078" width="31.6640625" style="7" customWidth="1"/>
    <col min="3079" max="3079" width="10.6640625" style="7" customWidth="1"/>
    <col min="3080" max="3080" width="15" style="7" customWidth="1"/>
    <col min="3081" max="3081" width="31.6640625" style="7" customWidth="1"/>
    <col min="3082" max="3328" width="14.1640625" style="7"/>
    <col min="3329" max="3329" width="10.6640625" style="7" customWidth="1"/>
    <col min="3330" max="3330" width="15" style="7" customWidth="1"/>
    <col min="3331" max="3331" width="31.6640625" style="7" customWidth="1"/>
    <col min="3332" max="3332" width="11.6640625" style="7" customWidth="1"/>
    <col min="3333" max="3333" width="16.33203125" style="7" customWidth="1"/>
    <col min="3334" max="3334" width="31.6640625" style="7" customWidth="1"/>
    <col min="3335" max="3335" width="10.6640625" style="7" customWidth="1"/>
    <col min="3336" max="3336" width="15" style="7" customWidth="1"/>
    <col min="3337" max="3337" width="31.6640625" style="7" customWidth="1"/>
    <col min="3338" max="3584" width="14.1640625" style="7"/>
    <col min="3585" max="3585" width="10.6640625" style="7" customWidth="1"/>
    <col min="3586" max="3586" width="15" style="7" customWidth="1"/>
    <col min="3587" max="3587" width="31.6640625" style="7" customWidth="1"/>
    <col min="3588" max="3588" width="11.6640625" style="7" customWidth="1"/>
    <col min="3589" max="3589" width="16.33203125" style="7" customWidth="1"/>
    <col min="3590" max="3590" width="31.6640625" style="7" customWidth="1"/>
    <col min="3591" max="3591" width="10.6640625" style="7" customWidth="1"/>
    <col min="3592" max="3592" width="15" style="7" customWidth="1"/>
    <col min="3593" max="3593" width="31.6640625" style="7" customWidth="1"/>
    <col min="3594" max="3840" width="14.1640625" style="7"/>
    <col min="3841" max="3841" width="10.6640625" style="7" customWidth="1"/>
    <col min="3842" max="3842" width="15" style="7" customWidth="1"/>
    <col min="3843" max="3843" width="31.6640625" style="7" customWidth="1"/>
    <col min="3844" max="3844" width="11.6640625" style="7" customWidth="1"/>
    <col min="3845" max="3845" width="16.33203125" style="7" customWidth="1"/>
    <col min="3846" max="3846" width="31.6640625" style="7" customWidth="1"/>
    <col min="3847" max="3847" width="10.6640625" style="7" customWidth="1"/>
    <col min="3848" max="3848" width="15" style="7" customWidth="1"/>
    <col min="3849" max="3849" width="31.6640625" style="7" customWidth="1"/>
    <col min="3850" max="4096" width="14.1640625" style="7"/>
    <col min="4097" max="4097" width="10.6640625" style="7" customWidth="1"/>
    <col min="4098" max="4098" width="15" style="7" customWidth="1"/>
    <col min="4099" max="4099" width="31.6640625" style="7" customWidth="1"/>
    <col min="4100" max="4100" width="11.6640625" style="7" customWidth="1"/>
    <col min="4101" max="4101" width="16.33203125" style="7" customWidth="1"/>
    <col min="4102" max="4102" width="31.6640625" style="7" customWidth="1"/>
    <col min="4103" max="4103" width="10.6640625" style="7" customWidth="1"/>
    <col min="4104" max="4104" width="15" style="7" customWidth="1"/>
    <col min="4105" max="4105" width="31.6640625" style="7" customWidth="1"/>
    <col min="4106" max="4352" width="14.1640625" style="7"/>
    <col min="4353" max="4353" width="10.6640625" style="7" customWidth="1"/>
    <col min="4354" max="4354" width="15" style="7" customWidth="1"/>
    <col min="4355" max="4355" width="31.6640625" style="7" customWidth="1"/>
    <col min="4356" max="4356" width="11.6640625" style="7" customWidth="1"/>
    <col min="4357" max="4357" width="16.33203125" style="7" customWidth="1"/>
    <col min="4358" max="4358" width="31.6640625" style="7" customWidth="1"/>
    <col min="4359" max="4359" width="10.6640625" style="7" customWidth="1"/>
    <col min="4360" max="4360" width="15" style="7" customWidth="1"/>
    <col min="4361" max="4361" width="31.6640625" style="7" customWidth="1"/>
    <col min="4362" max="4608" width="14.1640625" style="7"/>
    <col min="4609" max="4609" width="10.6640625" style="7" customWidth="1"/>
    <col min="4610" max="4610" width="15" style="7" customWidth="1"/>
    <col min="4611" max="4611" width="31.6640625" style="7" customWidth="1"/>
    <col min="4612" max="4612" width="11.6640625" style="7" customWidth="1"/>
    <col min="4613" max="4613" width="16.33203125" style="7" customWidth="1"/>
    <col min="4614" max="4614" width="31.6640625" style="7" customWidth="1"/>
    <col min="4615" max="4615" width="10.6640625" style="7" customWidth="1"/>
    <col min="4616" max="4616" width="15" style="7" customWidth="1"/>
    <col min="4617" max="4617" width="31.6640625" style="7" customWidth="1"/>
    <col min="4618" max="4864" width="14.1640625" style="7"/>
    <col min="4865" max="4865" width="10.6640625" style="7" customWidth="1"/>
    <col min="4866" max="4866" width="15" style="7" customWidth="1"/>
    <col min="4867" max="4867" width="31.6640625" style="7" customWidth="1"/>
    <col min="4868" max="4868" width="11.6640625" style="7" customWidth="1"/>
    <col min="4869" max="4869" width="16.33203125" style="7" customWidth="1"/>
    <col min="4870" max="4870" width="31.6640625" style="7" customWidth="1"/>
    <col min="4871" max="4871" width="10.6640625" style="7" customWidth="1"/>
    <col min="4872" max="4872" width="15" style="7" customWidth="1"/>
    <col min="4873" max="4873" width="31.6640625" style="7" customWidth="1"/>
    <col min="4874" max="5120" width="14.1640625" style="7"/>
    <col min="5121" max="5121" width="10.6640625" style="7" customWidth="1"/>
    <col min="5122" max="5122" width="15" style="7" customWidth="1"/>
    <col min="5123" max="5123" width="31.6640625" style="7" customWidth="1"/>
    <col min="5124" max="5124" width="11.6640625" style="7" customWidth="1"/>
    <col min="5125" max="5125" width="16.33203125" style="7" customWidth="1"/>
    <col min="5126" max="5126" width="31.6640625" style="7" customWidth="1"/>
    <col min="5127" max="5127" width="10.6640625" style="7" customWidth="1"/>
    <col min="5128" max="5128" width="15" style="7" customWidth="1"/>
    <col min="5129" max="5129" width="31.6640625" style="7" customWidth="1"/>
    <col min="5130" max="5376" width="14.1640625" style="7"/>
    <col min="5377" max="5377" width="10.6640625" style="7" customWidth="1"/>
    <col min="5378" max="5378" width="15" style="7" customWidth="1"/>
    <col min="5379" max="5379" width="31.6640625" style="7" customWidth="1"/>
    <col min="5380" max="5380" width="11.6640625" style="7" customWidth="1"/>
    <col min="5381" max="5381" width="16.33203125" style="7" customWidth="1"/>
    <col min="5382" max="5382" width="31.6640625" style="7" customWidth="1"/>
    <col min="5383" max="5383" width="10.6640625" style="7" customWidth="1"/>
    <col min="5384" max="5384" width="15" style="7" customWidth="1"/>
    <col min="5385" max="5385" width="31.6640625" style="7" customWidth="1"/>
    <col min="5386" max="5632" width="14.1640625" style="7"/>
    <col min="5633" max="5633" width="10.6640625" style="7" customWidth="1"/>
    <col min="5634" max="5634" width="15" style="7" customWidth="1"/>
    <col min="5635" max="5635" width="31.6640625" style="7" customWidth="1"/>
    <col min="5636" max="5636" width="11.6640625" style="7" customWidth="1"/>
    <col min="5637" max="5637" width="16.33203125" style="7" customWidth="1"/>
    <col min="5638" max="5638" width="31.6640625" style="7" customWidth="1"/>
    <col min="5639" max="5639" width="10.6640625" style="7" customWidth="1"/>
    <col min="5640" max="5640" width="15" style="7" customWidth="1"/>
    <col min="5641" max="5641" width="31.6640625" style="7" customWidth="1"/>
    <col min="5642" max="5888" width="14.1640625" style="7"/>
    <col min="5889" max="5889" width="10.6640625" style="7" customWidth="1"/>
    <col min="5890" max="5890" width="15" style="7" customWidth="1"/>
    <col min="5891" max="5891" width="31.6640625" style="7" customWidth="1"/>
    <col min="5892" max="5892" width="11.6640625" style="7" customWidth="1"/>
    <col min="5893" max="5893" width="16.33203125" style="7" customWidth="1"/>
    <col min="5894" max="5894" width="31.6640625" style="7" customWidth="1"/>
    <col min="5895" max="5895" width="10.6640625" style="7" customWidth="1"/>
    <col min="5896" max="5896" width="15" style="7" customWidth="1"/>
    <col min="5897" max="5897" width="31.6640625" style="7" customWidth="1"/>
    <col min="5898" max="6144" width="14.1640625" style="7"/>
    <col min="6145" max="6145" width="10.6640625" style="7" customWidth="1"/>
    <col min="6146" max="6146" width="15" style="7" customWidth="1"/>
    <col min="6147" max="6147" width="31.6640625" style="7" customWidth="1"/>
    <col min="6148" max="6148" width="11.6640625" style="7" customWidth="1"/>
    <col min="6149" max="6149" width="16.33203125" style="7" customWidth="1"/>
    <col min="6150" max="6150" width="31.6640625" style="7" customWidth="1"/>
    <col min="6151" max="6151" width="10.6640625" style="7" customWidth="1"/>
    <col min="6152" max="6152" width="15" style="7" customWidth="1"/>
    <col min="6153" max="6153" width="31.6640625" style="7" customWidth="1"/>
    <col min="6154" max="6400" width="14.1640625" style="7"/>
    <col min="6401" max="6401" width="10.6640625" style="7" customWidth="1"/>
    <col min="6402" max="6402" width="15" style="7" customWidth="1"/>
    <col min="6403" max="6403" width="31.6640625" style="7" customWidth="1"/>
    <col min="6404" max="6404" width="11.6640625" style="7" customWidth="1"/>
    <col min="6405" max="6405" width="16.33203125" style="7" customWidth="1"/>
    <col min="6406" max="6406" width="31.6640625" style="7" customWidth="1"/>
    <col min="6407" max="6407" width="10.6640625" style="7" customWidth="1"/>
    <col min="6408" max="6408" width="15" style="7" customWidth="1"/>
    <col min="6409" max="6409" width="31.6640625" style="7" customWidth="1"/>
    <col min="6410" max="6656" width="14.1640625" style="7"/>
    <col min="6657" max="6657" width="10.6640625" style="7" customWidth="1"/>
    <col min="6658" max="6658" width="15" style="7" customWidth="1"/>
    <col min="6659" max="6659" width="31.6640625" style="7" customWidth="1"/>
    <col min="6660" max="6660" width="11.6640625" style="7" customWidth="1"/>
    <col min="6661" max="6661" width="16.33203125" style="7" customWidth="1"/>
    <col min="6662" max="6662" width="31.6640625" style="7" customWidth="1"/>
    <col min="6663" max="6663" width="10.6640625" style="7" customWidth="1"/>
    <col min="6664" max="6664" width="15" style="7" customWidth="1"/>
    <col min="6665" max="6665" width="31.6640625" style="7" customWidth="1"/>
    <col min="6666" max="6912" width="14.1640625" style="7"/>
    <col min="6913" max="6913" width="10.6640625" style="7" customWidth="1"/>
    <col min="6914" max="6914" width="15" style="7" customWidth="1"/>
    <col min="6915" max="6915" width="31.6640625" style="7" customWidth="1"/>
    <col min="6916" max="6916" width="11.6640625" style="7" customWidth="1"/>
    <col min="6917" max="6917" width="16.33203125" style="7" customWidth="1"/>
    <col min="6918" max="6918" width="31.6640625" style="7" customWidth="1"/>
    <col min="6919" max="6919" width="10.6640625" style="7" customWidth="1"/>
    <col min="6920" max="6920" width="15" style="7" customWidth="1"/>
    <col min="6921" max="6921" width="31.6640625" style="7" customWidth="1"/>
    <col min="6922" max="7168" width="14.1640625" style="7"/>
    <col min="7169" max="7169" width="10.6640625" style="7" customWidth="1"/>
    <col min="7170" max="7170" width="15" style="7" customWidth="1"/>
    <col min="7171" max="7171" width="31.6640625" style="7" customWidth="1"/>
    <col min="7172" max="7172" width="11.6640625" style="7" customWidth="1"/>
    <col min="7173" max="7173" width="16.33203125" style="7" customWidth="1"/>
    <col min="7174" max="7174" width="31.6640625" style="7" customWidth="1"/>
    <col min="7175" max="7175" width="10.6640625" style="7" customWidth="1"/>
    <col min="7176" max="7176" width="15" style="7" customWidth="1"/>
    <col min="7177" max="7177" width="31.6640625" style="7" customWidth="1"/>
    <col min="7178" max="7424" width="14.1640625" style="7"/>
    <col min="7425" max="7425" width="10.6640625" style="7" customWidth="1"/>
    <col min="7426" max="7426" width="15" style="7" customWidth="1"/>
    <col min="7427" max="7427" width="31.6640625" style="7" customWidth="1"/>
    <col min="7428" max="7428" width="11.6640625" style="7" customWidth="1"/>
    <col min="7429" max="7429" width="16.33203125" style="7" customWidth="1"/>
    <col min="7430" max="7430" width="31.6640625" style="7" customWidth="1"/>
    <col min="7431" max="7431" width="10.6640625" style="7" customWidth="1"/>
    <col min="7432" max="7432" width="15" style="7" customWidth="1"/>
    <col min="7433" max="7433" width="31.6640625" style="7" customWidth="1"/>
    <col min="7434" max="7680" width="14.1640625" style="7"/>
    <col min="7681" max="7681" width="10.6640625" style="7" customWidth="1"/>
    <col min="7682" max="7682" width="15" style="7" customWidth="1"/>
    <col min="7683" max="7683" width="31.6640625" style="7" customWidth="1"/>
    <col min="7684" max="7684" width="11.6640625" style="7" customWidth="1"/>
    <col min="7685" max="7685" width="16.33203125" style="7" customWidth="1"/>
    <col min="7686" max="7686" width="31.6640625" style="7" customWidth="1"/>
    <col min="7687" max="7687" width="10.6640625" style="7" customWidth="1"/>
    <col min="7688" max="7688" width="15" style="7" customWidth="1"/>
    <col min="7689" max="7689" width="31.6640625" style="7" customWidth="1"/>
    <col min="7690" max="7936" width="14.1640625" style="7"/>
    <col min="7937" max="7937" width="10.6640625" style="7" customWidth="1"/>
    <col min="7938" max="7938" width="15" style="7" customWidth="1"/>
    <col min="7939" max="7939" width="31.6640625" style="7" customWidth="1"/>
    <col min="7940" max="7940" width="11.6640625" style="7" customWidth="1"/>
    <col min="7941" max="7941" width="16.33203125" style="7" customWidth="1"/>
    <col min="7942" max="7942" width="31.6640625" style="7" customWidth="1"/>
    <col min="7943" max="7943" width="10.6640625" style="7" customWidth="1"/>
    <col min="7944" max="7944" width="15" style="7" customWidth="1"/>
    <col min="7945" max="7945" width="31.6640625" style="7" customWidth="1"/>
    <col min="7946" max="8192" width="14.1640625" style="7"/>
    <col min="8193" max="8193" width="10.6640625" style="7" customWidth="1"/>
    <col min="8194" max="8194" width="15" style="7" customWidth="1"/>
    <col min="8195" max="8195" width="31.6640625" style="7" customWidth="1"/>
    <col min="8196" max="8196" width="11.6640625" style="7" customWidth="1"/>
    <col min="8197" max="8197" width="16.33203125" style="7" customWidth="1"/>
    <col min="8198" max="8198" width="31.6640625" style="7" customWidth="1"/>
    <col min="8199" max="8199" width="10.6640625" style="7" customWidth="1"/>
    <col min="8200" max="8200" width="15" style="7" customWidth="1"/>
    <col min="8201" max="8201" width="31.6640625" style="7" customWidth="1"/>
    <col min="8202" max="8448" width="14.1640625" style="7"/>
    <col min="8449" max="8449" width="10.6640625" style="7" customWidth="1"/>
    <col min="8450" max="8450" width="15" style="7" customWidth="1"/>
    <col min="8451" max="8451" width="31.6640625" style="7" customWidth="1"/>
    <col min="8452" max="8452" width="11.6640625" style="7" customWidth="1"/>
    <col min="8453" max="8453" width="16.33203125" style="7" customWidth="1"/>
    <col min="8454" max="8454" width="31.6640625" style="7" customWidth="1"/>
    <col min="8455" max="8455" width="10.6640625" style="7" customWidth="1"/>
    <col min="8456" max="8456" width="15" style="7" customWidth="1"/>
    <col min="8457" max="8457" width="31.6640625" style="7" customWidth="1"/>
    <col min="8458" max="8704" width="14.1640625" style="7"/>
    <col min="8705" max="8705" width="10.6640625" style="7" customWidth="1"/>
    <col min="8706" max="8706" width="15" style="7" customWidth="1"/>
    <col min="8707" max="8707" width="31.6640625" style="7" customWidth="1"/>
    <col min="8708" max="8708" width="11.6640625" style="7" customWidth="1"/>
    <col min="8709" max="8709" width="16.33203125" style="7" customWidth="1"/>
    <col min="8710" max="8710" width="31.6640625" style="7" customWidth="1"/>
    <col min="8711" max="8711" width="10.6640625" style="7" customWidth="1"/>
    <col min="8712" max="8712" width="15" style="7" customWidth="1"/>
    <col min="8713" max="8713" width="31.6640625" style="7" customWidth="1"/>
    <col min="8714" max="8960" width="14.1640625" style="7"/>
    <col min="8961" max="8961" width="10.6640625" style="7" customWidth="1"/>
    <col min="8962" max="8962" width="15" style="7" customWidth="1"/>
    <col min="8963" max="8963" width="31.6640625" style="7" customWidth="1"/>
    <col min="8964" max="8964" width="11.6640625" style="7" customWidth="1"/>
    <col min="8965" max="8965" width="16.33203125" style="7" customWidth="1"/>
    <col min="8966" max="8966" width="31.6640625" style="7" customWidth="1"/>
    <col min="8967" max="8967" width="10.6640625" style="7" customWidth="1"/>
    <col min="8968" max="8968" width="15" style="7" customWidth="1"/>
    <col min="8969" max="8969" width="31.6640625" style="7" customWidth="1"/>
    <col min="8970" max="9216" width="14.1640625" style="7"/>
    <col min="9217" max="9217" width="10.6640625" style="7" customWidth="1"/>
    <col min="9218" max="9218" width="15" style="7" customWidth="1"/>
    <col min="9219" max="9219" width="31.6640625" style="7" customWidth="1"/>
    <col min="9220" max="9220" width="11.6640625" style="7" customWidth="1"/>
    <col min="9221" max="9221" width="16.33203125" style="7" customWidth="1"/>
    <col min="9222" max="9222" width="31.6640625" style="7" customWidth="1"/>
    <col min="9223" max="9223" width="10.6640625" style="7" customWidth="1"/>
    <col min="9224" max="9224" width="15" style="7" customWidth="1"/>
    <col min="9225" max="9225" width="31.6640625" style="7" customWidth="1"/>
    <col min="9226" max="9472" width="14.1640625" style="7"/>
    <col min="9473" max="9473" width="10.6640625" style="7" customWidth="1"/>
    <col min="9474" max="9474" width="15" style="7" customWidth="1"/>
    <col min="9475" max="9475" width="31.6640625" style="7" customWidth="1"/>
    <col min="9476" max="9476" width="11.6640625" style="7" customWidth="1"/>
    <col min="9477" max="9477" width="16.33203125" style="7" customWidth="1"/>
    <col min="9478" max="9478" width="31.6640625" style="7" customWidth="1"/>
    <col min="9479" max="9479" width="10.6640625" style="7" customWidth="1"/>
    <col min="9480" max="9480" width="15" style="7" customWidth="1"/>
    <col min="9481" max="9481" width="31.6640625" style="7" customWidth="1"/>
    <col min="9482" max="9728" width="14.1640625" style="7"/>
    <col min="9729" max="9729" width="10.6640625" style="7" customWidth="1"/>
    <col min="9730" max="9730" width="15" style="7" customWidth="1"/>
    <col min="9731" max="9731" width="31.6640625" style="7" customWidth="1"/>
    <col min="9732" max="9732" width="11.6640625" style="7" customWidth="1"/>
    <col min="9733" max="9733" width="16.33203125" style="7" customWidth="1"/>
    <col min="9734" max="9734" width="31.6640625" style="7" customWidth="1"/>
    <col min="9735" max="9735" width="10.6640625" style="7" customWidth="1"/>
    <col min="9736" max="9736" width="15" style="7" customWidth="1"/>
    <col min="9737" max="9737" width="31.6640625" style="7" customWidth="1"/>
    <col min="9738" max="9984" width="14.1640625" style="7"/>
    <col min="9985" max="9985" width="10.6640625" style="7" customWidth="1"/>
    <col min="9986" max="9986" width="15" style="7" customWidth="1"/>
    <col min="9987" max="9987" width="31.6640625" style="7" customWidth="1"/>
    <col min="9988" max="9988" width="11.6640625" style="7" customWidth="1"/>
    <col min="9989" max="9989" width="16.33203125" style="7" customWidth="1"/>
    <col min="9990" max="9990" width="31.6640625" style="7" customWidth="1"/>
    <col min="9991" max="9991" width="10.6640625" style="7" customWidth="1"/>
    <col min="9992" max="9992" width="15" style="7" customWidth="1"/>
    <col min="9993" max="9993" width="31.6640625" style="7" customWidth="1"/>
    <col min="9994" max="10240" width="14.1640625" style="7"/>
    <col min="10241" max="10241" width="10.6640625" style="7" customWidth="1"/>
    <col min="10242" max="10242" width="15" style="7" customWidth="1"/>
    <col min="10243" max="10243" width="31.6640625" style="7" customWidth="1"/>
    <col min="10244" max="10244" width="11.6640625" style="7" customWidth="1"/>
    <col min="10245" max="10245" width="16.33203125" style="7" customWidth="1"/>
    <col min="10246" max="10246" width="31.6640625" style="7" customWidth="1"/>
    <col min="10247" max="10247" width="10.6640625" style="7" customWidth="1"/>
    <col min="10248" max="10248" width="15" style="7" customWidth="1"/>
    <col min="10249" max="10249" width="31.6640625" style="7" customWidth="1"/>
    <col min="10250" max="10496" width="14.1640625" style="7"/>
    <col min="10497" max="10497" width="10.6640625" style="7" customWidth="1"/>
    <col min="10498" max="10498" width="15" style="7" customWidth="1"/>
    <col min="10499" max="10499" width="31.6640625" style="7" customWidth="1"/>
    <col min="10500" max="10500" width="11.6640625" style="7" customWidth="1"/>
    <col min="10501" max="10501" width="16.33203125" style="7" customWidth="1"/>
    <col min="10502" max="10502" width="31.6640625" style="7" customWidth="1"/>
    <col min="10503" max="10503" width="10.6640625" style="7" customWidth="1"/>
    <col min="10504" max="10504" width="15" style="7" customWidth="1"/>
    <col min="10505" max="10505" width="31.6640625" style="7" customWidth="1"/>
    <col min="10506" max="10752" width="14.1640625" style="7"/>
    <col min="10753" max="10753" width="10.6640625" style="7" customWidth="1"/>
    <col min="10754" max="10754" width="15" style="7" customWidth="1"/>
    <col min="10755" max="10755" width="31.6640625" style="7" customWidth="1"/>
    <col min="10756" max="10756" width="11.6640625" style="7" customWidth="1"/>
    <col min="10757" max="10757" width="16.33203125" style="7" customWidth="1"/>
    <col min="10758" max="10758" width="31.6640625" style="7" customWidth="1"/>
    <col min="10759" max="10759" width="10.6640625" style="7" customWidth="1"/>
    <col min="10760" max="10760" width="15" style="7" customWidth="1"/>
    <col min="10761" max="10761" width="31.6640625" style="7" customWidth="1"/>
    <col min="10762" max="11008" width="14.1640625" style="7"/>
    <col min="11009" max="11009" width="10.6640625" style="7" customWidth="1"/>
    <col min="11010" max="11010" width="15" style="7" customWidth="1"/>
    <col min="11011" max="11011" width="31.6640625" style="7" customWidth="1"/>
    <col min="11012" max="11012" width="11.6640625" style="7" customWidth="1"/>
    <col min="11013" max="11013" width="16.33203125" style="7" customWidth="1"/>
    <col min="11014" max="11014" width="31.6640625" style="7" customWidth="1"/>
    <col min="11015" max="11015" width="10.6640625" style="7" customWidth="1"/>
    <col min="11016" max="11016" width="15" style="7" customWidth="1"/>
    <col min="11017" max="11017" width="31.6640625" style="7" customWidth="1"/>
    <col min="11018" max="11264" width="14.1640625" style="7"/>
    <col min="11265" max="11265" width="10.6640625" style="7" customWidth="1"/>
    <col min="11266" max="11266" width="15" style="7" customWidth="1"/>
    <col min="11267" max="11267" width="31.6640625" style="7" customWidth="1"/>
    <col min="11268" max="11268" width="11.6640625" style="7" customWidth="1"/>
    <col min="11269" max="11269" width="16.33203125" style="7" customWidth="1"/>
    <col min="11270" max="11270" width="31.6640625" style="7" customWidth="1"/>
    <col min="11271" max="11271" width="10.6640625" style="7" customWidth="1"/>
    <col min="11272" max="11272" width="15" style="7" customWidth="1"/>
    <col min="11273" max="11273" width="31.6640625" style="7" customWidth="1"/>
    <col min="11274" max="11520" width="14.1640625" style="7"/>
    <col min="11521" max="11521" width="10.6640625" style="7" customWidth="1"/>
    <col min="11522" max="11522" width="15" style="7" customWidth="1"/>
    <col min="11523" max="11523" width="31.6640625" style="7" customWidth="1"/>
    <col min="11524" max="11524" width="11.6640625" style="7" customWidth="1"/>
    <col min="11525" max="11525" width="16.33203125" style="7" customWidth="1"/>
    <col min="11526" max="11526" width="31.6640625" style="7" customWidth="1"/>
    <col min="11527" max="11527" width="10.6640625" style="7" customWidth="1"/>
    <col min="11528" max="11528" width="15" style="7" customWidth="1"/>
    <col min="11529" max="11529" width="31.6640625" style="7" customWidth="1"/>
    <col min="11530" max="11776" width="14.1640625" style="7"/>
    <col min="11777" max="11777" width="10.6640625" style="7" customWidth="1"/>
    <col min="11778" max="11778" width="15" style="7" customWidth="1"/>
    <col min="11779" max="11779" width="31.6640625" style="7" customWidth="1"/>
    <col min="11780" max="11780" width="11.6640625" style="7" customWidth="1"/>
    <col min="11781" max="11781" width="16.33203125" style="7" customWidth="1"/>
    <col min="11782" max="11782" width="31.6640625" style="7" customWidth="1"/>
    <col min="11783" max="11783" width="10.6640625" style="7" customWidth="1"/>
    <col min="11784" max="11784" width="15" style="7" customWidth="1"/>
    <col min="11785" max="11785" width="31.6640625" style="7" customWidth="1"/>
    <col min="11786" max="12032" width="14.1640625" style="7"/>
    <col min="12033" max="12033" width="10.6640625" style="7" customWidth="1"/>
    <col min="12034" max="12034" width="15" style="7" customWidth="1"/>
    <col min="12035" max="12035" width="31.6640625" style="7" customWidth="1"/>
    <col min="12036" max="12036" width="11.6640625" style="7" customWidth="1"/>
    <col min="12037" max="12037" width="16.33203125" style="7" customWidth="1"/>
    <col min="12038" max="12038" width="31.6640625" style="7" customWidth="1"/>
    <col min="12039" max="12039" width="10.6640625" style="7" customWidth="1"/>
    <col min="12040" max="12040" width="15" style="7" customWidth="1"/>
    <col min="12041" max="12041" width="31.6640625" style="7" customWidth="1"/>
    <col min="12042" max="12288" width="14.1640625" style="7"/>
    <col min="12289" max="12289" width="10.6640625" style="7" customWidth="1"/>
    <col min="12290" max="12290" width="15" style="7" customWidth="1"/>
    <col min="12291" max="12291" width="31.6640625" style="7" customWidth="1"/>
    <col min="12292" max="12292" width="11.6640625" style="7" customWidth="1"/>
    <col min="12293" max="12293" width="16.33203125" style="7" customWidth="1"/>
    <col min="12294" max="12294" width="31.6640625" style="7" customWidth="1"/>
    <col min="12295" max="12295" width="10.6640625" style="7" customWidth="1"/>
    <col min="12296" max="12296" width="15" style="7" customWidth="1"/>
    <col min="12297" max="12297" width="31.6640625" style="7" customWidth="1"/>
    <col min="12298" max="12544" width="14.1640625" style="7"/>
    <col min="12545" max="12545" width="10.6640625" style="7" customWidth="1"/>
    <col min="12546" max="12546" width="15" style="7" customWidth="1"/>
    <col min="12547" max="12547" width="31.6640625" style="7" customWidth="1"/>
    <col min="12548" max="12548" width="11.6640625" style="7" customWidth="1"/>
    <col min="12549" max="12549" width="16.33203125" style="7" customWidth="1"/>
    <col min="12550" max="12550" width="31.6640625" style="7" customWidth="1"/>
    <col min="12551" max="12551" width="10.6640625" style="7" customWidth="1"/>
    <col min="12552" max="12552" width="15" style="7" customWidth="1"/>
    <col min="12553" max="12553" width="31.6640625" style="7" customWidth="1"/>
    <col min="12554" max="12800" width="14.1640625" style="7"/>
    <col min="12801" max="12801" width="10.6640625" style="7" customWidth="1"/>
    <col min="12802" max="12802" width="15" style="7" customWidth="1"/>
    <col min="12803" max="12803" width="31.6640625" style="7" customWidth="1"/>
    <col min="12804" max="12804" width="11.6640625" style="7" customWidth="1"/>
    <col min="12805" max="12805" width="16.33203125" style="7" customWidth="1"/>
    <col min="12806" max="12806" width="31.6640625" style="7" customWidth="1"/>
    <col min="12807" max="12807" width="10.6640625" style="7" customWidth="1"/>
    <col min="12808" max="12808" width="15" style="7" customWidth="1"/>
    <col min="12809" max="12809" width="31.6640625" style="7" customWidth="1"/>
    <col min="12810" max="13056" width="14.1640625" style="7"/>
    <col min="13057" max="13057" width="10.6640625" style="7" customWidth="1"/>
    <col min="13058" max="13058" width="15" style="7" customWidth="1"/>
    <col min="13059" max="13059" width="31.6640625" style="7" customWidth="1"/>
    <col min="13060" max="13060" width="11.6640625" style="7" customWidth="1"/>
    <col min="13061" max="13061" width="16.33203125" style="7" customWidth="1"/>
    <col min="13062" max="13062" width="31.6640625" style="7" customWidth="1"/>
    <col min="13063" max="13063" width="10.6640625" style="7" customWidth="1"/>
    <col min="13064" max="13064" width="15" style="7" customWidth="1"/>
    <col min="13065" max="13065" width="31.6640625" style="7" customWidth="1"/>
    <col min="13066" max="13312" width="14.1640625" style="7"/>
    <col min="13313" max="13313" width="10.6640625" style="7" customWidth="1"/>
    <col min="13314" max="13314" width="15" style="7" customWidth="1"/>
    <col min="13315" max="13315" width="31.6640625" style="7" customWidth="1"/>
    <col min="13316" max="13316" width="11.6640625" style="7" customWidth="1"/>
    <col min="13317" max="13317" width="16.33203125" style="7" customWidth="1"/>
    <col min="13318" max="13318" width="31.6640625" style="7" customWidth="1"/>
    <col min="13319" max="13319" width="10.6640625" style="7" customWidth="1"/>
    <col min="13320" max="13320" width="15" style="7" customWidth="1"/>
    <col min="13321" max="13321" width="31.6640625" style="7" customWidth="1"/>
    <col min="13322" max="13568" width="14.1640625" style="7"/>
    <col min="13569" max="13569" width="10.6640625" style="7" customWidth="1"/>
    <col min="13570" max="13570" width="15" style="7" customWidth="1"/>
    <col min="13571" max="13571" width="31.6640625" style="7" customWidth="1"/>
    <col min="13572" max="13572" width="11.6640625" style="7" customWidth="1"/>
    <col min="13573" max="13573" width="16.33203125" style="7" customWidth="1"/>
    <col min="13574" max="13574" width="31.6640625" style="7" customWidth="1"/>
    <col min="13575" max="13575" width="10.6640625" style="7" customWidth="1"/>
    <col min="13576" max="13576" width="15" style="7" customWidth="1"/>
    <col min="13577" max="13577" width="31.6640625" style="7" customWidth="1"/>
    <col min="13578" max="13824" width="14.1640625" style="7"/>
    <col min="13825" max="13825" width="10.6640625" style="7" customWidth="1"/>
    <col min="13826" max="13826" width="15" style="7" customWidth="1"/>
    <col min="13827" max="13827" width="31.6640625" style="7" customWidth="1"/>
    <col min="13828" max="13828" width="11.6640625" style="7" customWidth="1"/>
    <col min="13829" max="13829" width="16.33203125" style="7" customWidth="1"/>
    <col min="13830" max="13830" width="31.6640625" style="7" customWidth="1"/>
    <col min="13831" max="13831" width="10.6640625" style="7" customWidth="1"/>
    <col min="13832" max="13832" width="15" style="7" customWidth="1"/>
    <col min="13833" max="13833" width="31.6640625" style="7" customWidth="1"/>
    <col min="13834" max="14080" width="14.1640625" style="7"/>
    <col min="14081" max="14081" width="10.6640625" style="7" customWidth="1"/>
    <col min="14082" max="14082" width="15" style="7" customWidth="1"/>
    <col min="14083" max="14083" width="31.6640625" style="7" customWidth="1"/>
    <col min="14084" max="14084" width="11.6640625" style="7" customWidth="1"/>
    <col min="14085" max="14085" width="16.33203125" style="7" customWidth="1"/>
    <col min="14086" max="14086" width="31.6640625" style="7" customWidth="1"/>
    <col min="14087" max="14087" width="10.6640625" style="7" customWidth="1"/>
    <col min="14088" max="14088" width="15" style="7" customWidth="1"/>
    <col min="14089" max="14089" width="31.6640625" style="7" customWidth="1"/>
    <col min="14090" max="14336" width="14.1640625" style="7"/>
    <col min="14337" max="14337" width="10.6640625" style="7" customWidth="1"/>
    <col min="14338" max="14338" width="15" style="7" customWidth="1"/>
    <col min="14339" max="14339" width="31.6640625" style="7" customWidth="1"/>
    <col min="14340" max="14340" width="11.6640625" style="7" customWidth="1"/>
    <col min="14341" max="14341" width="16.33203125" style="7" customWidth="1"/>
    <col min="14342" max="14342" width="31.6640625" style="7" customWidth="1"/>
    <col min="14343" max="14343" width="10.6640625" style="7" customWidth="1"/>
    <col min="14344" max="14344" width="15" style="7" customWidth="1"/>
    <col min="14345" max="14345" width="31.6640625" style="7" customWidth="1"/>
    <col min="14346" max="14592" width="14.1640625" style="7"/>
    <col min="14593" max="14593" width="10.6640625" style="7" customWidth="1"/>
    <col min="14594" max="14594" width="15" style="7" customWidth="1"/>
    <col min="14595" max="14595" width="31.6640625" style="7" customWidth="1"/>
    <col min="14596" max="14596" width="11.6640625" style="7" customWidth="1"/>
    <col min="14597" max="14597" width="16.33203125" style="7" customWidth="1"/>
    <col min="14598" max="14598" width="31.6640625" style="7" customWidth="1"/>
    <col min="14599" max="14599" width="10.6640625" style="7" customWidth="1"/>
    <col min="14600" max="14600" width="15" style="7" customWidth="1"/>
    <col min="14601" max="14601" width="31.6640625" style="7" customWidth="1"/>
    <col min="14602" max="14848" width="14.1640625" style="7"/>
    <col min="14849" max="14849" width="10.6640625" style="7" customWidth="1"/>
    <col min="14850" max="14850" width="15" style="7" customWidth="1"/>
    <col min="14851" max="14851" width="31.6640625" style="7" customWidth="1"/>
    <col min="14852" max="14852" width="11.6640625" style="7" customWidth="1"/>
    <col min="14853" max="14853" width="16.33203125" style="7" customWidth="1"/>
    <col min="14854" max="14854" width="31.6640625" style="7" customWidth="1"/>
    <col min="14855" max="14855" width="10.6640625" style="7" customWidth="1"/>
    <col min="14856" max="14856" width="15" style="7" customWidth="1"/>
    <col min="14857" max="14857" width="31.6640625" style="7" customWidth="1"/>
    <col min="14858" max="15104" width="14.1640625" style="7"/>
    <col min="15105" max="15105" width="10.6640625" style="7" customWidth="1"/>
    <col min="15106" max="15106" width="15" style="7" customWidth="1"/>
    <col min="15107" max="15107" width="31.6640625" style="7" customWidth="1"/>
    <col min="15108" max="15108" width="11.6640625" style="7" customWidth="1"/>
    <col min="15109" max="15109" width="16.33203125" style="7" customWidth="1"/>
    <col min="15110" max="15110" width="31.6640625" style="7" customWidth="1"/>
    <col min="15111" max="15111" width="10.6640625" style="7" customWidth="1"/>
    <col min="15112" max="15112" width="15" style="7" customWidth="1"/>
    <col min="15113" max="15113" width="31.6640625" style="7" customWidth="1"/>
    <col min="15114" max="15360" width="14.1640625" style="7"/>
    <col min="15361" max="15361" width="10.6640625" style="7" customWidth="1"/>
    <col min="15362" max="15362" width="15" style="7" customWidth="1"/>
    <col min="15363" max="15363" width="31.6640625" style="7" customWidth="1"/>
    <col min="15364" max="15364" width="11.6640625" style="7" customWidth="1"/>
    <col min="15365" max="15365" width="16.33203125" style="7" customWidth="1"/>
    <col min="15366" max="15366" width="31.6640625" style="7" customWidth="1"/>
    <col min="15367" max="15367" width="10.6640625" style="7" customWidth="1"/>
    <col min="15368" max="15368" width="15" style="7" customWidth="1"/>
    <col min="15369" max="15369" width="31.6640625" style="7" customWidth="1"/>
    <col min="15370" max="15616" width="14.1640625" style="7"/>
    <col min="15617" max="15617" width="10.6640625" style="7" customWidth="1"/>
    <col min="15618" max="15618" width="15" style="7" customWidth="1"/>
    <col min="15619" max="15619" width="31.6640625" style="7" customWidth="1"/>
    <col min="15620" max="15620" width="11.6640625" style="7" customWidth="1"/>
    <col min="15621" max="15621" width="16.33203125" style="7" customWidth="1"/>
    <col min="15622" max="15622" width="31.6640625" style="7" customWidth="1"/>
    <col min="15623" max="15623" width="10.6640625" style="7" customWidth="1"/>
    <col min="15624" max="15624" width="15" style="7" customWidth="1"/>
    <col min="15625" max="15625" width="31.6640625" style="7" customWidth="1"/>
    <col min="15626" max="15872" width="14.1640625" style="7"/>
    <col min="15873" max="15873" width="10.6640625" style="7" customWidth="1"/>
    <col min="15874" max="15874" width="15" style="7" customWidth="1"/>
    <col min="15875" max="15875" width="31.6640625" style="7" customWidth="1"/>
    <col min="15876" max="15876" width="11.6640625" style="7" customWidth="1"/>
    <col min="15877" max="15877" width="16.33203125" style="7" customWidth="1"/>
    <col min="15878" max="15878" width="31.6640625" style="7" customWidth="1"/>
    <col min="15879" max="15879" width="10.6640625" style="7" customWidth="1"/>
    <col min="15880" max="15880" width="15" style="7" customWidth="1"/>
    <col min="15881" max="15881" width="31.6640625" style="7" customWidth="1"/>
    <col min="15882" max="16128" width="14.1640625" style="7"/>
    <col min="16129" max="16129" width="10.6640625" style="7" customWidth="1"/>
    <col min="16130" max="16130" width="15" style="7" customWidth="1"/>
    <col min="16131" max="16131" width="31.6640625" style="7" customWidth="1"/>
    <col min="16132" max="16132" width="11.6640625" style="7" customWidth="1"/>
    <col min="16133" max="16133" width="16.33203125" style="7" customWidth="1"/>
    <col min="16134" max="16134" width="31.6640625" style="7" customWidth="1"/>
    <col min="16135" max="16135" width="10.6640625" style="7" customWidth="1"/>
    <col min="16136" max="16136" width="15" style="7" customWidth="1"/>
    <col min="16137" max="16137" width="31.6640625" style="7" customWidth="1"/>
    <col min="16138" max="16384" width="14.1640625" style="7"/>
  </cols>
  <sheetData>
    <row r="1" spans="1:9" ht="45" customHeight="1">
      <c r="A1" s="390" t="s">
        <v>194</v>
      </c>
      <c r="B1" s="359"/>
      <c r="C1" s="359"/>
      <c r="D1" s="359"/>
      <c r="E1" s="359"/>
      <c r="F1" s="359"/>
      <c r="G1" s="359"/>
      <c r="H1" s="359"/>
      <c r="I1" s="359"/>
    </row>
    <row r="2" spans="1:9" ht="15" customHeight="1">
      <c r="A2" s="360" t="s">
        <v>55</v>
      </c>
      <c r="B2" s="355"/>
      <c r="C2" s="360" t="s">
        <v>951</v>
      </c>
      <c r="D2" s="355"/>
      <c r="E2" s="360" t="s">
        <v>715</v>
      </c>
      <c r="F2" s="360" t="s">
        <v>1167</v>
      </c>
      <c r="G2" s="355"/>
      <c r="H2" s="360" t="s">
        <v>548</v>
      </c>
      <c r="I2" s="355" t="s">
        <v>1166</v>
      </c>
    </row>
    <row r="3" spans="1:9" ht="22.5" customHeight="1">
      <c r="A3" s="355"/>
      <c r="B3" s="355"/>
      <c r="C3" s="355"/>
      <c r="D3" s="355"/>
      <c r="E3" s="355"/>
      <c r="F3" s="355"/>
      <c r="G3" s="355"/>
      <c r="H3" s="355"/>
      <c r="I3" s="355"/>
    </row>
    <row r="4" spans="1:9" ht="15" customHeight="1">
      <c r="A4" s="360" t="s">
        <v>468</v>
      </c>
      <c r="B4" s="355"/>
      <c r="C4" s="360" t="s">
        <v>1167</v>
      </c>
      <c r="D4" s="355"/>
      <c r="E4" s="360" t="s">
        <v>582</v>
      </c>
      <c r="F4" s="360" t="str">
        <f>'[1]Stavební rozpočet'!J4</f>
        <v>iMK Kladno, s.r.o.Kladno</v>
      </c>
      <c r="G4" s="355"/>
      <c r="H4" s="360" t="s">
        <v>548</v>
      </c>
      <c r="I4" s="355" t="s">
        <v>586</v>
      </c>
    </row>
    <row r="5" spans="1:9" ht="15" customHeight="1">
      <c r="A5" s="355"/>
      <c r="B5" s="355"/>
      <c r="C5" s="355"/>
      <c r="D5" s="355"/>
      <c r="E5" s="355"/>
      <c r="F5" s="355"/>
      <c r="G5" s="355"/>
      <c r="H5" s="355"/>
      <c r="I5" s="355"/>
    </row>
    <row r="6" spans="1:9" ht="15" customHeight="1">
      <c r="A6" s="360" t="s">
        <v>70</v>
      </c>
      <c r="B6" s="355"/>
      <c r="C6" s="360" t="str">
        <f>'[1]Stavební rozpočet'!C6</f>
        <v>Cyrila Boudy 2954, Kladno, kat.úz.Kladno</v>
      </c>
      <c r="D6" s="355"/>
      <c r="E6" s="360" t="s">
        <v>738</v>
      </c>
      <c r="F6" s="360" t="str">
        <f>'[1]Stavební rozpočet'!J6</f>
        <v>Dle výběrového řízení</v>
      </c>
      <c r="G6" s="355"/>
      <c r="H6" s="360" t="s">
        <v>548</v>
      </c>
      <c r="I6" s="355" t="s">
        <v>586</v>
      </c>
    </row>
    <row r="7" spans="1:9" ht="15" customHeight="1">
      <c r="A7" s="355"/>
      <c r="B7" s="355"/>
      <c r="C7" s="355"/>
      <c r="D7" s="355"/>
      <c r="E7" s="355"/>
      <c r="F7" s="355"/>
      <c r="G7" s="355"/>
      <c r="H7" s="355"/>
      <c r="I7" s="355"/>
    </row>
    <row r="8" spans="1:9" ht="15" customHeight="1">
      <c r="A8" s="360" t="s">
        <v>749</v>
      </c>
      <c r="B8" s="355"/>
      <c r="C8" s="360" t="str">
        <f>'[1]Stavební rozpočet'!G4</f>
        <v xml:space="preserve"> </v>
      </c>
      <c r="D8" s="355"/>
      <c r="E8" s="360" t="s">
        <v>281</v>
      </c>
      <c r="F8" s="360" t="str">
        <f>'[1]Stavební rozpočet'!G6</f>
        <v xml:space="preserve"> </v>
      </c>
      <c r="G8" s="355"/>
      <c r="H8" s="355" t="s">
        <v>854</v>
      </c>
      <c r="I8" s="391"/>
    </row>
    <row r="9" spans="1:9" ht="15" customHeight="1">
      <c r="A9" s="355"/>
      <c r="B9" s="355"/>
      <c r="C9" s="355"/>
      <c r="D9" s="355"/>
      <c r="E9" s="355"/>
      <c r="F9" s="355"/>
      <c r="G9" s="355"/>
      <c r="H9" s="355"/>
      <c r="I9" s="355"/>
    </row>
    <row r="10" spans="1:9" ht="15" customHeight="1">
      <c r="A10" s="360" t="s">
        <v>422</v>
      </c>
      <c r="B10" s="355"/>
      <c r="C10" s="360" t="str">
        <f>'[1]Stavební rozpočet'!C8</f>
        <v xml:space="preserve"> </v>
      </c>
      <c r="D10" s="355"/>
      <c r="E10" s="360" t="s">
        <v>559</v>
      </c>
      <c r="F10" s="360" t="str">
        <f>'[1]Stavební rozpočet'!J8</f>
        <v> </v>
      </c>
      <c r="G10" s="355"/>
      <c r="H10" s="355" t="s">
        <v>821</v>
      </c>
      <c r="I10" s="360"/>
    </row>
    <row r="11" spans="1:9" ht="15" customHeight="1">
      <c r="A11" s="355"/>
      <c r="B11" s="355"/>
      <c r="C11" s="355"/>
      <c r="D11" s="355"/>
      <c r="E11" s="355"/>
      <c r="F11" s="355"/>
      <c r="G11" s="355"/>
      <c r="H11" s="355"/>
      <c r="I11" s="355"/>
    </row>
    <row r="12" spans="1:9" ht="22.5" customHeight="1">
      <c r="A12" s="359" t="s">
        <v>140</v>
      </c>
      <c r="B12" s="359"/>
      <c r="C12" s="359"/>
      <c r="D12" s="359"/>
      <c r="E12" s="359"/>
      <c r="F12" s="359"/>
      <c r="G12" s="359"/>
      <c r="H12" s="359"/>
      <c r="I12" s="359"/>
    </row>
    <row r="13" spans="1:9" ht="26.25" customHeight="1">
      <c r="A13" s="26" t="s">
        <v>755</v>
      </c>
      <c r="B13" s="385" t="s">
        <v>102</v>
      </c>
      <c r="C13" s="386"/>
      <c r="D13" s="27" t="s">
        <v>150</v>
      </c>
      <c r="E13" s="385" t="s">
        <v>319</v>
      </c>
      <c r="F13" s="386"/>
      <c r="G13" s="27" t="s">
        <v>539</v>
      </c>
      <c r="H13" s="385" t="s">
        <v>154</v>
      </c>
      <c r="I13" s="386"/>
    </row>
    <row r="14" spans="1:9" ht="15" customHeight="1">
      <c r="A14" s="28" t="s">
        <v>328</v>
      </c>
      <c r="B14" s="29" t="s">
        <v>220</v>
      </c>
      <c r="C14" s="30"/>
      <c r="D14" s="377" t="s">
        <v>606</v>
      </c>
      <c r="E14" s="378"/>
      <c r="F14" s="30"/>
      <c r="G14" s="377" t="s">
        <v>84</v>
      </c>
      <c r="H14" s="378"/>
      <c r="I14" s="31"/>
    </row>
    <row r="15" spans="1:9" ht="15" customHeight="1">
      <c r="A15" s="32" t="s">
        <v>586</v>
      </c>
      <c r="B15" s="29" t="s">
        <v>159</v>
      </c>
      <c r="C15" s="30"/>
      <c r="D15" s="377" t="s">
        <v>77</v>
      </c>
      <c r="E15" s="378"/>
      <c r="F15" s="30"/>
      <c r="G15" s="377" t="s">
        <v>671</v>
      </c>
      <c r="H15" s="378"/>
      <c r="I15" s="31"/>
    </row>
    <row r="16" spans="1:9" ht="15" customHeight="1">
      <c r="A16" s="28" t="s">
        <v>74</v>
      </c>
      <c r="B16" s="29" t="s">
        <v>220</v>
      </c>
      <c r="C16" s="30"/>
      <c r="D16" s="377" t="s">
        <v>626</v>
      </c>
      <c r="E16" s="378"/>
      <c r="F16" s="30"/>
      <c r="G16" s="377" t="s">
        <v>805</v>
      </c>
      <c r="H16" s="378"/>
      <c r="I16" s="31"/>
    </row>
    <row r="17" spans="1:9" ht="15" customHeight="1">
      <c r="A17" s="32" t="s">
        <v>586</v>
      </c>
      <c r="B17" s="29" t="s">
        <v>159</v>
      </c>
      <c r="C17" s="30"/>
      <c r="D17" s="377" t="s">
        <v>586</v>
      </c>
      <c r="E17" s="378"/>
      <c r="F17" s="31"/>
      <c r="G17" s="377" t="s">
        <v>453</v>
      </c>
      <c r="H17" s="378"/>
      <c r="I17" s="31"/>
    </row>
    <row r="18" spans="1:9" ht="15" customHeight="1">
      <c r="A18" s="28" t="s">
        <v>264</v>
      </c>
      <c r="B18" s="29" t="s">
        <v>220</v>
      </c>
      <c r="C18" s="30"/>
      <c r="D18" s="377" t="s">
        <v>586</v>
      </c>
      <c r="E18" s="378"/>
      <c r="F18" s="31"/>
      <c r="G18" s="377" t="s">
        <v>550</v>
      </c>
      <c r="H18" s="378"/>
      <c r="I18" s="31"/>
    </row>
    <row r="19" spans="1:9" ht="15" customHeight="1">
      <c r="A19" s="32" t="s">
        <v>586</v>
      </c>
      <c r="B19" s="29" t="s">
        <v>159</v>
      </c>
      <c r="C19" s="30"/>
      <c r="D19" s="377" t="s">
        <v>586</v>
      </c>
      <c r="E19" s="378"/>
      <c r="F19" s="31"/>
      <c r="G19" s="377" t="s">
        <v>836</v>
      </c>
      <c r="H19" s="378"/>
      <c r="I19" s="31"/>
    </row>
    <row r="20" spans="1:9" ht="15" customHeight="1">
      <c r="A20" s="379" t="s">
        <v>56</v>
      </c>
      <c r="B20" s="387"/>
      <c r="C20" s="30"/>
      <c r="D20" s="377" t="s">
        <v>586</v>
      </c>
      <c r="E20" s="378"/>
      <c r="F20" s="31"/>
      <c r="G20" s="377" t="s">
        <v>586</v>
      </c>
      <c r="H20" s="378"/>
      <c r="I20" s="31"/>
    </row>
    <row r="21" spans="1:9" ht="15" customHeight="1">
      <c r="A21" s="388" t="s">
        <v>835</v>
      </c>
      <c r="B21" s="389"/>
      <c r="C21" s="33"/>
      <c r="D21" s="371" t="s">
        <v>586</v>
      </c>
      <c r="E21" s="384"/>
      <c r="F21" s="34"/>
      <c r="G21" s="371" t="s">
        <v>586</v>
      </c>
      <c r="H21" s="384"/>
      <c r="I21" s="34"/>
    </row>
    <row r="22" spans="1:9" ht="16.5" customHeight="1">
      <c r="A22" s="383" t="s">
        <v>164</v>
      </c>
      <c r="B22" s="382"/>
      <c r="C22" s="149">
        <f>C14+C15+C16+C17+C18+C19+C20+C21</f>
        <v>0</v>
      </c>
      <c r="D22" s="381" t="s">
        <v>441</v>
      </c>
      <c r="E22" s="382"/>
      <c r="F22" s="149">
        <f>F14+F15+F16</f>
        <v>0</v>
      </c>
      <c r="G22" s="381" t="s">
        <v>856</v>
      </c>
      <c r="H22" s="382"/>
      <c r="I22" s="150">
        <f>I14+I15+I16+I17+I18+I19</f>
        <v>0</v>
      </c>
    </row>
    <row r="23" spans="1:9" ht="15" customHeight="1">
      <c r="G23" s="379" t="s">
        <v>583</v>
      </c>
      <c r="H23" s="380"/>
      <c r="I23" s="151">
        <f>C22+F22+I22</f>
        <v>0</v>
      </c>
    </row>
    <row r="25" spans="1:9" ht="15" customHeight="1">
      <c r="A25" s="363" t="s">
        <v>118</v>
      </c>
      <c r="B25" s="363"/>
      <c r="C25" s="146"/>
    </row>
    <row r="26" spans="1:9" ht="15" customHeight="1">
      <c r="A26" s="363" t="s">
        <v>955</v>
      </c>
      <c r="B26" s="363"/>
      <c r="C26" s="146"/>
      <c r="D26" s="376"/>
      <c r="E26" s="364"/>
      <c r="F26" s="152"/>
      <c r="G26" s="364"/>
      <c r="H26" s="364"/>
      <c r="I26" s="152"/>
    </row>
    <row r="27" spans="1:9" ht="15" customHeight="1">
      <c r="A27" s="363" t="s">
        <v>634</v>
      </c>
      <c r="B27" s="363"/>
      <c r="C27" s="146"/>
      <c r="D27" s="364"/>
      <c r="E27" s="364"/>
      <c r="F27" s="152"/>
      <c r="G27" s="364"/>
      <c r="H27" s="364"/>
      <c r="I27" s="152"/>
    </row>
    <row r="28" spans="1:9" ht="15" customHeight="1">
      <c r="A28" s="363" t="s">
        <v>349</v>
      </c>
      <c r="B28" s="363"/>
      <c r="C28" s="146">
        <f>C25+C26+C27</f>
        <v>0</v>
      </c>
      <c r="D28" s="364"/>
      <c r="E28" s="364"/>
      <c r="F28" s="152"/>
      <c r="G28" s="153"/>
      <c r="H28" s="153"/>
      <c r="I28" s="152"/>
    </row>
    <row r="30" spans="1:9" ht="15" customHeight="1">
      <c r="A30" s="367" t="s">
        <v>8</v>
      </c>
      <c r="B30" s="368"/>
      <c r="C30" s="369"/>
      <c r="D30" s="368" t="s">
        <v>798</v>
      </c>
      <c r="E30" s="368"/>
      <c r="F30" s="369"/>
      <c r="G30" s="368" t="s">
        <v>571</v>
      </c>
      <c r="H30" s="368"/>
      <c r="I30" s="369"/>
    </row>
    <row r="31" spans="1:9" ht="15" customHeight="1">
      <c r="A31" s="370" t="s">
        <v>586</v>
      </c>
      <c r="B31" s="371"/>
      <c r="C31" s="372"/>
      <c r="D31" s="371" t="s">
        <v>586</v>
      </c>
      <c r="E31" s="371"/>
      <c r="F31" s="372"/>
      <c r="G31" s="371" t="s">
        <v>586</v>
      </c>
      <c r="H31" s="371"/>
      <c r="I31" s="372"/>
    </row>
    <row r="32" spans="1:9" ht="15" customHeight="1">
      <c r="A32" s="370" t="s">
        <v>586</v>
      </c>
      <c r="B32" s="371"/>
      <c r="C32" s="372"/>
      <c r="D32" s="371" t="s">
        <v>586</v>
      </c>
      <c r="E32" s="371"/>
      <c r="F32" s="372"/>
      <c r="G32" s="371" t="s">
        <v>586</v>
      </c>
      <c r="H32" s="371"/>
      <c r="I32" s="372"/>
    </row>
    <row r="33" spans="1:9" ht="15" customHeight="1">
      <c r="A33" s="370" t="s">
        <v>586</v>
      </c>
      <c r="B33" s="371"/>
      <c r="C33" s="372"/>
      <c r="D33" s="371" t="s">
        <v>586</v>
      </c>
      <c r="E33" s="371"/>
      <c r="F33" s="372"/>
      <c r="G33" s="371" t="s">
        <v>586</v>
      </c>
      <c r="H33" s="371"/>
      <c r="I33" s="372"/>
    </row>
    <row r="34" spans="1:9" ht="15" customHeight="1">
      <c r="A34" s="375" t="s">
        <v>163</v>
      </c>
      <c r="B34" s="373"/>
      <c r="C34" s="374"/>
      <c r="D34" s="373" t="s">
        <v>163</v>
      </c>
      <c r="E34" s="373"/>
      <c r="F34" s="374"/>
      <c r="G34" s="373" t="s">
        <v>163</v>
      </c>
      <c r="H34" s="373"/>
      <c r="I34" s="374"/>
    </row>
    <row r="35" spans="1:9" ht="15" customHeight="1">
      <c r="A35" s="35" t="s">
        <v>67</v>
      </c>
    </row>
    <row r="36" spans="1:9" ht="12.75" customHeight="1">
      <c r="A36" s="365" t="s">
        <v>586</v>
      </c>
      <c r="B36" s="366"/>
      <c r="C36" s="366"/>
      <c r="D36" s="366"/>
      <c r="E36" s="366"/>
      <c r="F36" s="366"/>
      <c r="G36" s="366"/>
      <c r="H36" s="366"/>
      <c r="I36" s="366"/>
    </row>
  </sheetData>
  <mergeCells count="82">
    <mergeCell ref="A1:I1"/>
    <mergeCell ref="A2:B3"/>
    <mergeCell ref="A4:B5"/>
    <mergeCell ref="A6:B7"/>
    <mergeCell ref="A8:B9"/>
    <mergeCell ref="I2:I3"/>
    <mergeCell ref="I4:I5"/>
    <mergeCell ref="I6:I7"/>
    <mergeCell ref="I8:I9"/>
    <mergeCell ref="E8:E9"/>
    <mergeCell ref="E10:E11"/>
    <mergeCell ref="C2:D3"/>
    <mergeCell ref="C4:D5"/>
    <mergeCell ref="C6:D7"/>
    <mergeCell ref="C8:D9"/>
    <mergeCell ref="C10:D11"/>
    <mergeCell ref="I10:I11"/>
    <mergeCell ref="A12:I12"/>
    <mergeCell ref="F2:G3"/>
    <mergeCell ref="F4:G5"/>
    <mergeCell ref="F6:G7"/>
    <mergeCell ref="F8:G9"/>
    <mergeCell ref="F10:G11"/>
    <mergeCell ref="H2:H3"/>
    <mergeCell ref="H4:H5"/>
    <mergeCell ref="H6:H7"/>
    <mergeCell ref="H8:H9"/>
    <mergeCell ref="H10:H11"/>
    <mergeCell ref="A10:B11"/>
    <mergeCell ref="E2:E3"/>
    <mergeCell ref="E4:E5"/>
    <mergeCell ref="E6:E7"/>
    <mergeCell ref="B13:C13"/>
    <mergeCell ref="E13:F13"/>
    <mergeCell ref="H13:I13"/>
    <mergeCell ref="A20:B20"/>
    <mergeCell ref="A21:B21"/>
    <mergeCell ref="D14:E14"/>
    <mergeCell ref="D15:E15"/>
    <mergeCell ref="D16:E16"/>
    <mergeCell ref="D17:E17"/>
    <mergeCell ref="D18:E18"/>
    <mergeCell ref="G19:H19"/>
    <mergeCell ref="G20:H20"/>
    <mergeCell ref="G21:H21"/>
    <mergeCell ref="G14:H14"/>
    <mergeCell ref="G15:H15"/>
    <mergeCell ref="G16:H16"/>
    <mergeCell ref="A22:B22"/>
    <mergeCell ref="D19:E19"/>
    <mergeCell ref="D20:E20"/>
    <mergeCell ref="D21:E21"/>
    <mergeCell ref="D22:E22"/>
    <mergeCell ref="G17:H17"/>
    <mergeCell ref="G18:H18"/>
    <mergeCell ref="D33:F33"/>
    <mergeCell ref="D34:F34"/>
    <mergeCell ref="G23:H23"/>
    <mergeCell ref="G26:H26"/>
    <mergeCell ref="G27:H27"/>
    <mergeCell ref="G22:H22"/>
    <mergeCell ref="A25:B25"/>
    <mergeCell ref="A26:B26"/>
    <mergeCell ref="A27:B27"/>
    <mergeCell ref="D26:E26"/>
    <mergeCell ref="D27:E27"/>
    <mergeCell ref="A28:B28"/>
    <mergeCell ref="D28:E28"/>
    <mergeCell ref="A36:I36"/>
    <mergeCell ref="A30:C30"/>
    <mergeCell ref="A31:C31"/>
    <mergeCell ref="A32:C32"/>
    <mergeCell ref="A33:C33"/>
    <mergeCell ref="G30:I30"/>
    <mergeCell ref="G31:I31"/>
    <mergeCell ref="G32:I32"/>
    <mergeCell ref="G33:I33"/>
    <mergeCell ref="G34:I34"/>
    <mergeCell ref="A34:C34"/>
    <mergeCell ref="D30:F30"/>
    <mergeCell ref="D31:F31"/>
    <mergeCell ref="D32:F32"/>
  </mergeCells>
  <pageMargins left="0.39400000000000002" right="0.39400000000000002" top="0.59099999999999997" bottom="0.59099999999999997" header="0" footer="0"/>
  <pageSetup paperSize="9" firstPageNumber="0" orientation="landscape" useFirstPageNumber="1"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autoPageBreaks="0" fitToPage="1"/>
  </sheetPr>
  <dimension ref="A1:BV332"/>
  <sheetViews>
    <sheetView showOutlineSymbols="0" workbookViewId="0">
      <pane ySplit="3" topLeftCell="A16" activePane="bottomLeft" state="frozenSplit"/>
      <selection activeCell="A383" sqref="A383:M383"/>
      <selection pane="bottomLeft" activeCell="C260" sqref="C260:F260"/>
    </sheetView>
  </sheetViews>
  <sheetFormatPr defaultColWidth="14.1640625" defaultRowHeight="15" customHeight="1"/>
  <cols>
    <col min="1" max="1" width="4.6640625" style="7" customWidth="1"/>
    <col min="2" max="2" width="20.83203125" style="7" customWidth="1"/>
    <col min="3" max="3" width="1.6640625" style="7" customWidth="1"/>
    <col min="4" max="4" width="84.1640625" style="7" customWidth="1"/>
    <col min="5" max="6" width="14.1640625" style="7"/>
    <col min="7" max="7" width="5" style="7" customWidth="1"/>
    <col min="8" max="8" width="15" style="7" customWidth="1"/>
    <col min="9" max="9" width="14" style="7" customWidth="1"/>
    <col min="10" max="12" width="18.33203125" style="7" customWidth="1"/>
    <col min="13" max="13" width="15.6640625" style="7" customWidth="1"/>
    <col min="14" max="24" width="14.1640625" style="7"/>
    <col min="25" max="74" width="14.1640625" style="7" hidden="1" customWidth="1"/>
    <col min="75" max="16384" width="14.1640625" style="7"/>
  </cols>
  <sheetData>
    <row r="1" spans="1:64" ht="34.5" customHeight="1">
      <c r="A1" s="397" t="s">
        <v>1165</v>
      </c>
      <c r="B1" s="397"/>
      <c r="C1" s="397"/>
      <c r="D1" s="397"/>
      <c r="E1" s="397"/>
      <c r="F1" s="397"/>
      <c r="G1" s="397"/>
      <c r="H1" s="397"/>
      <c r="I1" s="397"/>
      <c r="J1" s="397"/>
      <c r="K1" s="397"/>
      <c r="L1" s="397"/>
      <c r="M1" s="397"/>
      <c r="AS1" s="36">
        <f>SUM(AJ1:AJ1)</f>
        <v>0</v>
      </c>
      <c r="AT1" s="36">
        <f>SUM(AK1:AK1)</f>
        <v>0</v>
      </c>
      <c r="AU1" s="36">
        <f>SUM(AL1:AL1)</f>
        <v>0</v>
      </c>
    </row>
    <row r="2" spans="1:64" ht="15" customHeight="1">
      <c r="A2" s="37" t="s">
        <v>62</v>
      </c>
      <c r="B2" s="8" t="s">
        <v>287</v>
      </c>
      <c r="C2" s="398" t="s">
        <v>585</v>
      </c>
      <c r="D2" s="398"/>
      <c r="E2" s="398"/>
      <c r="F2" s="399"/>
      <c r="G2" s="8" t="s">
        <v>304</v>
      </c>
      <c r="H2" s="38" t="s">
        <v>514</v>
      </c>
      <c r="I2" s="39" t="s">
        <v>280</v>
      </c>
      <c r="J2" s="402" t="s">
        <v>541</v>
      </c>
      <c r="K2" s="403"/>
      <c r="L2" s="404"/>
      <c r="M2" s="38" t="s">
        <v>233</v>
      </c>
      <c r="BK2" s="40" t="s">
        <v>347</v>
      </c>
      <c r="BL2" s="41" t="s">
        <v>447</v>
      </c>
    </row>
    <row r="3" spans="1:64" ht="15" customHeight="1">
      <c r="A3" s="42" t="s">
        <v>783</v>
      </c>
      <c r="B3" s="43" t="s">
        <v>783</v>
      </c>
      <c r="C3" s="400" t="s">
        <v>848</v>
      </c>
      <c r="D3" s="400"/>
      <c r="E3" s="400"/>
      <c r="F3" s="401"/>
      <c r="G3" s="43" t="s">
        <v>783</v>
      </c>
      <c r="H3" s="43" t="s">
        <v>783</v>
      </c>
      <c r="I3" s="44" t="s">
        <v>801</v>
      </c>
      <c r="J3" s="45" t="s">
        <v>41</v>
      </c>
      <c r="K3" s="46" t="s">
        <v>159</v>
      </c>
      <c r="L3" s="47" t="s">
        <v>81</v>
      </c>
      <c r="M3" s="46" t="s">
        <v>223</v>
      </c>
      <c r="Z3" s="40" t="s">
        <v>659</v>
      </c>
      <c r="AA3" s="40" t="s">
        <v>524</v>
      </c>
      <c r="AB3" s="40" t="s">
        <v>878</v>
      </c>
      <c r="AC3" s="40" t="s">
        <v>243</v>
      </c>
      <c r="AD3" s="40" t="s">
        <v>724</v>
      </c>
      <c r="AE3" s="40" t="s">
        <v>327</v>
      </c>
      <c r="AF3" s="40" t="s">
        <v>757</v>
      </c>
      <c r="AG3" s="40" t="s">
        <v>376</v>
      </c>
      <c r="AH3" s="40" t="s">
        <v>228</v>
      </c>
      <c r="BH3" s="40" t="s">
        <v>660</v>
      </c>
      <c r="BI3" s="40" t="s">
        <v>858</v>
      </c>
      <c r="BJ3" s="40" t="s">
        <v>919</v>
      </c>
    </row>
    <row r="4" spans="1:64" ht="15" customHeight="1">
      <c r="A4" s="48" t="s">
        <v>586</v>
      </c>
      <c r="B4" s="49" t="s">
        <v>255</v>
      </c>
      <c r="C4" s="392" t="s">
        <v>3</v>
      </c>
      <c r="D4" s="392"/>
      <c r="E4" s="392"/>
      <c r="F4" s="392"/>
      <c r="G4" s="50" t="s">
        <v>783</v>
      </c>
      <c r="H4" s="50" t="s">
        <v>783</v>
      </c>
      <c r="I4" s="50" t="s">
        <v>783</v>
      </c>
      <c r="J4" s="36">
        <f>SUM(J5:J5)</f>
        <v>0</v>
      </c>
      <c r="K4" s="36">
        <f>SUM(K5:K5)</f>
        <v>0</v>
      </c>
      <c r="L4" s="36">
        <f>SUM(L5:L5)</f>
        <v>0</v>
      </c>
      <c r="M4" s="51" t="s">
        <v>586</v>
      </c>
      <c r="AI4" s="40" t="s">
        <v>586</v>
      </c>
      <c r="AS4" s="36">
        <f>SUM(AJ5:AJ5)</f>
        <v>0</v>
      </c>
      <c r="AT4" s="36">
        <f>SUM(AK5:AK5)</f>
        <v>0</v>
      </c>
      <c r="AU4" s="36">
        <f>SUM(AL5:AL5)</f>
        <v>0</v>
      </c>
    </row>
    <row r="5" spans="1:64" ht="15" customHeight="1">
      <c r="A5" s="9" t="s">
        <v>841</v>
      </c>
      <c r="B5" s="10" t="s">
        <v>421</v>
      </c>
      <c r="C5" s="366" t="s">
        <v>642</v>
      </c>
      <c r="D5" s="366"/>
      <c r="E5" s="366"/>
      <c r="F5" s="366"/>
      <c r="G5" s="10" t="s">
        <v>811</v>
      </c>
      <c r="H5" s="11">
        <v>5.7</v>
      </c>
      <c r="I5" s="11">
        <v>0</v>
      </c>
      <c r="J5" s="11">
        <f>H5*AO5</f>
        <v>0</v>
      </c>
      <c r="K5" s="11">
        <f>H5*AP5</f>
        <v>0</v>
      </c>
      <c r="L5" s="11">
        <f>H5*I5</f>
        <v>0</v>
      </c>
      <c r="M5" s="52" t="s">
        <v>575</v>
      </c>
      <c r="Z5" s="11">
        <f>IF(AQ5="5",BJ5,0)</f>
        <v>0</v>
      </c>
      <c r="AB5" s="11">
        <f>IF(AQ5="1",BH5,0)</f>
        <v>0</v>
      </c>
      <c r="AC5" s="11">
        <f>IF(AQ5="1",BI5,0)</f>
        <v>0</v>
      </c>
      <c r="AD5" s="11">
        <f>IF(AQ5="7",BH5,0)</f>
        <v>0</v>
      </c>
      <c r="AE5" s="11">
        <f>IF(AQ5="7",BI5,0)</f>
        <v>0</v>
      </c>
      <c r="AF5" s="11">
        <f>IF(AQ5="2",BH5,0)</f>
        <v>0</v>
      </c>
      <c r="AG5" s="11">
        <f>IF(AQ5="2",BI5,0)</f>
        <v>0</v>
      </c>
      <c r="AH5" s="11">
        <f>IF(AQ5="0",BJ5,0)</f>
        <v>0</v>
      </c>
      <c r="AI5" s="40" t="s">
        <v>586</v>
      </c>
      <c r="AJ5" s="11">
        <f>IF(AN5=0,L5,0)</f>
        <v>0</v>
      </c>
      <c r="AK5" s="11">
        <f>IF(AN5=15,L5,0)</f>
        <v>0</v>
      </c>
      <c r="AL5" s="11">
        <f>IF(AN5=21,L5,0)</f>
        <v>0</v>
      </c>
      <c r="AN5" s="11">
        <v>21</v>
      </c>
      <c r="AO5" s="11">
        <f>I5*0</f>
        <v>0</v>
      </c>
      <c r="AP5" s="11">
        <f>I5*(1-0)</f>
        <v>0</v>
      </c>
      <c r="AQ5" s="12" t="s">
        <v>841</v>
      </c>
      <c r="AV5" s="11">
        <f>AW5+AX5</f>
        <v>0</v>
      </c>
      <c r="AW5" s="11">
        <f>H5*AO5</f>
        <v>0</v>
      </c>
      <c r="AX5" s="11">
        <f>H5*AP5</f>
        <v>0</v>
      </c>
      <c r="AY5" s="12" t="s">
        <v>760</v>
      </c>
      <c r="AZ5" s="12" t="s">
        <v>90</v>
      </c>
      <c r="BA5" s="40" t="s">
        <v>647</v>
      </c>
      <c r="BC5" s="11">
        <f>AW5+AX5</f>
        <v>0</v>
      </c>
      <c r="BD5" s="11">
        <f>I5/(100-BE5)*100</f>
        <v>0</v>
      </c>
      <c r="BE5" s="11">
        <v>0</v>
      </c>
      <c r="BF5" s="11">
        <f>13</f>
        <v>13</v>
      </c>
      <c r="BH5" s="11">
        <f>H5*AO5</f>
        <v>0</v>
      </c>
      <c r="BI5" s="11">
        <f>H5*AP5</f>
        <v>0</v>
      </c>
      <c r="BJ5" s="11">
        <f>H5*I5</f>
        <v>0</v>
      </c>
      <c r="BK5" s="11"/>
      <c r="BL5" s="11">
        <v>13</v>
      </c>
    </row>
    <row r="6" spans="1:64" ht="15" customHeight="1">
      <c r="A6" s="48" t="s">
        <v>586</v>
      </c>
      <c r="B6" s="49" t="s">
        <v>73</v>
      </c>
      <c r="C6" s="392" t="s">
        <v>705</v>
      </c>
      <c r="D6" s="392"/>
      <c r="E6" s="392"/>
      <c r="F6" s="392"/>
      <c r="G6" s="50" t="s">
        <v>783</v>
      </c>
      <c r="H6" s="50" t="s">
        <v>783</v>
      </c>
      <c r="I6" s="50" t="s">
        <v>783</v>
      </c>
      <c r="J6" s="36">
        <f>SUM(J7:J7)</f>
        <v>0</v>
      </c>
      <c r="K6" s="36">
        <f>SUM(K7:K7)</f>
        <v>0</v>
      </c>
      <c r="L6" s="36">
        <f>SUM(L7:L7)</f>
        <v>0</v>
      </c>
      <c r="M6" s="51" t="s">
        <v>586</v>
      </c>
      <c r="AI6" s="40" t="s">
        <v>586</v>
      </c>
      <c r="AS6" s="36">
        <f>SUM(AJ7:AJ7)</f>
        <v>0</v>
      </c>
      <c r="AT6" s="36">
        <f>SUM(AK7:AK7)</f>
        <v>0</v>
      </c>
      <c r="AU6" s="36">
        <f>SUM(AL7:AL7)</f>
        <v>0</v>
      </c>
    </row>
    <row r="7" spans="1:64" ht="15" customHeight="1">
      <c r="A7" s="9" t="s">
        <v>581</v>
      </c>
      <c r="B7" s="10" t="s">
        <v>7</v>
      </c>
      <c r="C7" s="366" t="s">
        <v>710</v>
      </c>
      <c r="D7" s="366"/>
      <c r="E7" s="366"/>
      <c r="F7" s="366"/>
      <c r="G7" s="10" t="s">
        <v>811</v>
      </c>
      <c r="H7" s="11">
        <v>5.7</v>
      </c>
      <c r="I7" s="11">
        <v>0</v>
      </c>
      <c r="J7" s="11">
        <f>H7*AO7</f>
        <v>0</v>
      </c>
      <c r="K7" s="11">
        <f>H7*AP7</f>
        <v>0</v>
      </c>
      <c r="L7" s="11">
        <f>H7*I7</f>
        <v>0</v>
      </c>
      <c r="M7" s="52" t="s">
        <v>575</v>
      </c>
      <c r="Z7" s="11">
        <f>IF(AQ7="5",BJ7,0)</f>
        <v>0</v>
      </c>
      <c r="AB7" s="11">
        <f>IF(AQ7="1",BH7,0)</f>
        <v>0</v>
      </c>
      <c r="AC7" s="11">
        <f>IF(AQ7="1",BI7,0)</f>
        <v>0</v>
      </c>
      <c r="AD7" s="11">
        <f>IF(AQ7="7",BH7,0)</f>
        <v>0</v>
      </c>
      <c r="AE7" s="11">
        <f>IF(AQ7="7",BI7,0)</f>
        <v>0</v>
      </c>
      <c r="AF7" s="11">
        <f>IF(AQ7="2",BH7,0)</f>
        <v>0</v>
      </c>
      <c r="AG7" s="11">
        <f>IF(AQ7="2",BI7,0)</f>
        <v>0</v>
      </c>
      <c r="AH7" s="11">
        <f>IF(AQ7="0",BJ7,0)</f>
        <v>0</v>
      </c>
      <c r="AI7" s="40" t="s">
        <v>586</v>
      </c>
      <c r="AJ7" s="11">
        <f>IF(AN7=0,L7,0)</f>
        <v>0</v>
      </c>
      <c r="AK7" s="11">
        <f>IF(AN7=15,L7,0)</f>
        <v>0</v>
      </c>
      <c r="AL7" s="11">
        <f>IF(AN7=21,L7,0)</f>
        <v>0</v>
      </c>
      <c r="AN7" s="11">
        <v>21</v>
      </c>
      <c r="AO7" s="11">
        <f>I7*0</f>
        <v>0</v>
      </c>
      <c r="AP7" s="11">
        <f>I7*(1-0)</f>
        <v>0</v>
      </c>
      <c r="AQ7" s="12" t="s">
        <v>841</v>
      </c>
      <c r="AV7" s="11">
        <f>AW7+AX7</f>
        <v>0</v>
      </c>
      <c r="AW7" s="11">
        <f>H7*AO7</f>
        <v>0</v>
      </c>
      <c r="AX7" s="11">
        <f>H7*AP7</f>
        <v>0</v>
      </c>
      <c r="AY7" s="12" t="s">
        <v>784</v>
      </c>
      <c r="AZ7" s="12" t="s">
        <v>90</v>
      </c>
      <c r="BA7" s="40" t="s">
        <v>647</v>
      </c>
      <c r="BC7" s="11">
        <f>AW7+AX7</f>
        <v>0</v>
      </c>
      <c r="BD7" s="11">
        <f>I7/(100-BE7)*100</f>
        <v>0</v>
      </c>
      <c r="BE7" s="11">
        <v>0</v>
      </c>
      <c r="BF7" s="11">
        <f>15</f>
        <v>15</v>
      </c>
      <c r="BH7" s="11">
        <f>H7*AO7</f>
        <v>0</v>
      </c>
      <c r="BI7" s="11">
        <f>H7*AP7</f>
        <v>0</v>
      </c>
      <c r="BJ7" s="11">
        <f>H7*I7</f>
        <v>0</v>
      </c>
      <c r="BK7" s="11"/>
      <c r="BL7" s="11">
        <v>16</v>
      </c>
    </row>
    <row r="8" spans="1:64" ht="13.5" customHeight="1">
      <c r="A8" s="53"/>
      <c r="B8" s="54" t="s">
        <v>440</v>
      </c>
      <c r="C8" s="394" t="s">
        <v>695</v>
      </c>
      <c r="D8" s="395"/>
      <c r="E8" s="395"/>
      <c r="F8" s="395"/>
      <c r="G8" s="395"/>
      <c r="H8" s="395"/>
      <c r="I8" s="395"/>
      <c r="J8" s="395"/>
      <c r="K8" s="395"/>
      <c r="L8" s="395"/>
      <c r="M8" s="396"/>
    </row>
    <row r="9" spans="1:64" ht="15" customHeight="1">
      <c r="A9" s="48" t="s">
        <v>586</v>
      </c>
      <c r="B9" s="49" t="s">
        <v>589</v>
      </c>
      <c r="C9" s="392" t="s">
        <v>115</v>
      </c>
      <c r="D9" s="392"/>
      <c r="E9" s="392"/>
      <c r="F9" s="392"/>
      <c r="G9" s="50" t="s">
        <v>783</v>
      </c>
      <c r="H9" s="50" t="s">
        <v>783</v>
      </c>
      <c r="I9" s="50" t="s">
        <v>783</v>
      </c>
      <c r="J9" s="36">
        <f>SUM(J10:J12)</f>
        <v>0</v>
      </c>
      <c r="K9" s="36">
        <f>SUM(K10:K12)</f>
        <v>0</v>
      </c>
      <c r="L9" s="36">
        <f>SUM(L10:L12)</f>
        <v>0</v>
      </c>
      <c r="M9" s="51" t="s">
        <v>586</v>
      </c>
      <c r="AI9" s="40" t="s">
        <v>586</v>
      </c>
      <c r="AS9" s="36">
        <f>SUM(AJ10:AJ12)</f>
        <v>0</v>
      </c>
      <c r="AT9" s="36">
        <f>SUM(AK10:AK12)</f>
        <v>0</v>
      </c>
      <c r="AU9" s="36">
        <f>SUM(AL10:AL12)</f>
        <v>0</v>
      </c>
    </row>
    <row r="10" spans="1:64" ht="15" customHeight="1">
      <c r="A10" s="9" t="s">
        <v>731</v>
      </c>
      <c r="B10" s="10" t="s">
        <v>279</v>
      </c>
      <c r="C10" s="366" t="s">
        <v>79</v>
      </c>
      <c r="D10" s="366"/>
      <c r="E10" s="366"/>
      <c r="F10" s="366"/>
      <c r="G10" s="10" t="s">
        <v>811</v>
      </c>
      <c r="H10" s="11">
        <v>5.7</v>
      </c>
      <c r="I10" s="11">
        <v>0</v>
      </c>
      <c r="J10" s="11">
        <f>H10*AO10</f>
        <v>0</v>
      </c>
      <c r="K10" s="11">
        <f>H10*AP10</f>
        <v>0</v>
      </c>
      <c r="L10" s="11">
        <f>H10*I10</f>
        <v>0</v>
      </c>
      <c r="M10" s="52" t="s">
        <v>575</v>
      </c>
      <c r="Z10" s="11">
        <f>IF(AQ10="5",BJ10,0)</f>
        <v>0</v>
      </c>
      <c r="AB10" s="11">
        <f>IF(AQ10="1",BH10,0)</f>
        <v>0</v>
      </c>
      <c r="AC10" s="11">
        <f>IF(AQ10="1",BI10,0)</f>
        <v>0</v>
      </c>
      <c r="AD10" s="11">
        <f>IF(AQ10="7",BH10,0)</f>
        <v>0</v>
      </c>
      <c r="AE10" s="11">
        <f>IF(AQ10="7",BI10,0)</f>
        <v>0</v>
      </c>
      <c r="AF10" s="11">
        <f>IF(AQ10="2",BH10,0)</f>
        <v>0</v>
      </c>
      <c r="AG10" s="11">
        <f>IF(AQ10="2",BI10,0)</f>
        <v>0</v>
      </c>
      <c r="AH10" s="11">
        <f>IF(AQ10="0",BJ10,0)</f>
        <v>0</v>
      </c>
      <c r="AI10" s="40" t="s">
        <v>586</v>
      </c>
      <c r="AJ10" s="11">
        <f>IF(AN10=0,L10,0)</f>
        <v>0</v>
      </c>
      <c r="AK10" s="11">
        <f>IF(AN10=15,L10,0)</f>
        <v>0</v>
      </c>
      <c r="AL10" s="11">
        <f>IF(AN10=21,L10,0)</f>
        <v>0</v>
      </c>
      <c r="AN10" s="11">
        <v>21</v>
      </c>
      <c r="AO10" s="11">
        <f>I10*0</f>
        <v>0</v>
      </c>
      <c r="AP10" s="11">
        <f>I10*(1-0)</f>
        <v>0</v>
      </c>
      <c r="AQ10" s="12" t="s">
        <v>841</v>
      </c>
      <c r="AV10" s="11">
        <f>AW10+AX10</f>
        <v>0</v>
      </c>
      <c r="AW10" s="11">
        <f>H10*AO10</f>
        <v>0</v>
      </c>
      <c r="AX10" s="11">
        <f>H10*AP10</f>
        <v>0</v>
      </c>
      <c r="AY10" s="12" t="s">
        <v>172</v>
      </c>
      <c r="AZ10" s="12" t="s">
        <v>90</v>
      </c>
      <c r="BA10" s="40" t="s">
        <v>647</v>
      </c>
      <c r="BC10" s="11">
        <f>AW10+AX10</f>
        <v>0</v>
      </c>
      <c r="BD10" s="11">
        <f>I10/(100-BE10)*100</f>
        <v>0</v>
      </c>
      <c r="BE10" s="11">
        <v>0</v>
      </c>
      <c r="BF10" s="11">
        <f>18</f>
        <v>18</v>
      </c>
      <c r="BH10" s="11">
        <f>H10*AO10</f>
        <v>0</v>
      </c>
      <c r="BI10" s="11">
        <f>H10*AP10</f>
        <v>0</v>
      </c>
      <c r="BJ10" s="11">
        <f>H10*I10</f>
        <v>0</v>
      </c>
      <c r="BK10" s="11"/>
      <c r="BL10" s="11">
        <v>17</v>
      </c>
    </row>
    <row r="11" spans="1:64" ht="15" customHeight="1">
      <c r="A11" s="9" t="s">
        <v>92</v>
      </c>
      <c r="B11" s="10" t="s">
        <v>572</v>
      </c>
      <c r="C11" s="366" t="s">
        <v>905</v>
      </c>
      <c r="D11" s="366"/>
      <c r="E11" s="366"/>
      <c r="F11" s="366"/>
      <c r="G11" s="10" t="s">
        <v>811</v>
      </c>
      <c r="H11" s="11">
        <v>5.7</v>
      </c>
      <c r="I11" s="11">
        <v>0</v>
      </c>
      <c r="J11" s="11">
        <f>H11*AO11</f>
        <v>0</v>
      </c>
      <c r="K11" s="11">
        <f>H11*AP11</f>
        <v>0</v>
      </c>
      <c r="L11" s="11">
        <f>H11*I11</f>
        <v>0</v>
      </c>
      <c r="M11" s="52" t="s">
        <v>575</v>
      </c>
      <c r="Z11" s="11">
        <f>IF(AQ11="5",BJ11,0)</f>
        <v>0</v>
      </c>
      <c r="AB11" s="11">
        <f>IF(AQ11="1",BH11,0)</f>
        <v>0</v>
      </c>
      <c r="AC11" s="11">
        <f>IF(AQ11="1",BI11,0)</f>
        <v>0</v>
      </c>
      <c r="AD11" s="11">
        <f>IF(AQ11="7",BH11,0)</f>
        <v>0</v>
      </c>
      <c r="AE11" s="11">
        <f>IF(AQ11="7",BI11,0)</f>
        <v>0</v>
      </c>
      <c r="AF11" s="11">
        <f>IF(AQ11="2",BH11,0)</f>
        <v>0</v>
      </c>
      <c r="AG11" s="11">
        <f>IF(AQ11="2",BI11,0)</f>
        <v>0</v>
      </c>
      <c r="AH11" s="11">
        <f>IF(AQ11="0",BJ11,0)</f>
        <v>0</v>
      </c>
      <c r="AI11" s="40" t="s">
        <v>586</v>
      </c>
      <c r="AJ11" s="11">
        <f>IF(AN11=0,L11,0)</f>
        <v>0</v>
      </c>
      <c r="AK11" s="11">
        <f>IF(AN11=15,L11,0)</f>
        <v>0</v>
      </c>
      <c r="AL11" s="11">
        <f>IF(AN11=21,L11,0)</f>
        <v>0</v>
      </c>
      <c r="AN11" s="11">
        <v>21</v>
      </c>
      <c r="AO11" s="11">
        <f>I11*0</f>
        <v>0</v>
      </c>
      <c r="AP11" s="11">
        <f>I11*(1-0)</f>
        <v>0</v>
      </c>
      <c r="AQ11" s="12" t="s">
        <v>841</v>
      </c>
      <c r="AV11" s="11">
        <f>AW11+AX11</f>
        <v>0</v>
      </c>
      <c r="AW11" s="11">
        <f>H11*AO11</f>
        <v>0</v>
      </c>
      <c r="AX11" s="11">
        <f>H11*AP11</f>
        <v>0</v>
      </c>
      <c r="AY11" s="12" t="s">
        <v>172</v>
      </c>
      <c r="AZ11" s="12" t="s">
        <v>90</v>
      </c>
      <c r="BA11" s="40" t="s">
        <v>647</v>
      </c>
      <c r="BC11" s="11">
        <f>AW11+AX11</f>
        <v>0</v>
      </c>
      <c r="BD11" s="11">
        <f>I11/(100-BE11)*100</f>
        <v>0</v>
      </c>
      <c r="BE11" s="11">
        <v>0</v>
      </c>
      <c r="BF11" s="11">
        <f>19</f>
        <v>19</v>
      </c>
      <c r="BH11" s="11">
        <f>H11*AO11</f>
        <v>0</v>
      </c>
      <c r="BI11" s="11">
        <f>H11*AP11</f>
        <v>0</v>
      </c>
      <c r="BJ11" s="11">
        <f>H11*I11</f>
        <v>0</v>
      </c>
      <c r="BK11" s="11"/>
      <c r="BL11" s="11">
        <v>17</v>
      </c>
    </row>
    <row r="12" spans="1:64" ht="15" customHeight="1">
      <c r="A12" s="9" t="s">
        <v>454</v>
      </c>
      <c r="B12" s="10" t="s">
        <v>739</v>
      </c>
      <c r="C12" s="366" t="s">
        <v>356</v>
      </c>
      <c r="D12" s="366"/>
      <c r="E12" s="366"/>
      <c r="F12" s="366"/>
      <c r="G12" s="10" t="s">
        <v>811</v>
      </c>
      <c r="H12" s="11">
        <v>6.0839999999999996</v>
      </c>
      <c r="I12" s="11">
        <v>0</v>
      </c>
      <c r="J12" s="11">
        <f>H12*AO12</f>
        <v>0</v>
      </c>
      <c r="K12" s="11">
        <f>H12*AP12</f>
        <v>0</v>
      </c>
      <c r="L12" s="11">
        <f>H12*I12</f>
        <v>0</v>
      </c>
      <c r="M12" s="52" t="s">
        <v>575</v>
      </c>
      <c r="Z12" s="11">
        <f>IF(AQ12="5",BJ12,0)</f>
        <v>0</v>
      </c>
      <c r="AB12" s="11">
        <f>IF(AQ12="1",BH12,0)</f>
        <v>0</v>
      </c>
      <c r="AC12" s="11">
        <f>IF(AQ12="1",BI12,0)</f>
        <v>0</v>
      </c>
      <c r="AD12" s="11">
        <f>IF(AQ12="7",BH12,0)</f>
        <v>0</v>
      </c>
      <c r="AE12" s="11">
        <f>IF(AQ12="7",BI12,0)</f>
        <v>0</v>
      </c>
      <c r="AF12" s="11">
        <f>IF(AQ12="2",BH12,0)</f>
        <v>0</v>
      </c>
      <c r="AG12" s="11">
        <f>IF(AQ12="2",BI12,0)</f>
        <v>0</v>
      </c>
      <c r="AH12" s="11">
        <f>IF(AQ12="0",BJ12,0)</f>
        <v>0</v>
      </c>
      <c r="AI12" s="40" t="s">
        <v>586</v>
      </c>
      <c r="AJ12" s="11">
        <f>IF(AN12=0,L12,0)</f>
        <v>0</v>
      </c>
      <c r="AK12" s="11">
        <f>IF(AN12=15,L12,0)</f>
        <v>0</v>
      </c>
      <c r="AL12" s="11">
        <f>IF(AN12=21,L12,0)</f>
        <v>0</v>
      </c>
      <c r="AN12" s="11">
        <v>21</v>
      </c>
      <c r="AO12" s="11">
        <f>I12*0.563822067986434</f>
        <v>0</v>
      </c>
      <c r="AP12" s="11">
        <f>I12*(1-0.563822067986434)</f>
        <v>0</v>
      </c>
      <c r="AQ12" s="12" t="s">
        <v>841</v>
      </c>
      <c r="AV12" s="11">
        <f>AW12+AX12</f>
        <v>0</v>
      </c>
      <c r="AW12" s="11">
        <f>H12*AO12</f>
        <v>0</v>
      </c>
      <c r="AX12" s="11">
        <f>H12*AP12</f>
        <v>0</v>
      </c>
      <c r="AY12" s="12" t="s">
        <v>172</v>
      </c>
      <c r="AZ12" s="12" t="s">
        <v>90</v>
      </c>
      <c r="BA12" s="40" t="s">
        <v>647</v>
      </c>
      <c r="BC12" s="11">
        <f>AW12+AX12</f>
        <v>0</v>
      </c>
      <c r="BD12" s="11">
        <f>I12/(100-BE12)*100</f>
        <v>0</v>
      </c>
      <c r="BE12" s="11">
        <v>0</v>
      </c>
      <c r="BF12" s="11">
        <f>20</f>
        <v>20</v>
      </c>
      <c r="BH12" s="11">
        <f>H12*AO12</f>
        <v>0</v>
      </c>
      <c r="BI12" s="11">
        <f>H12*AP12</f>
        <v>0</v>
      </c>
      <c r="BJ12" s="11">
        <f>H12*I12</f>
        <v>0</v>
      </c>
      <c r="BK12" s="11"/>
      <c r="BL12" s="11">
        <v>17</v>
      </c>
    </row>
    <row r="13" spans="1:64" ht="13.5" customHeight="1">
      <c r="A13" s="53"/>
      <c r="B13" s="54" t="s">
        <v>440</v>
      </c>
      <c r="C13" s="394" t="s">
        <v>573</v>
      </c>
      <c r="D13" s="395"/>
      <c r="E13" s="395"/>
      <c r="F13" s="395"/>
      <c r="G13" s="395"/>
      <c r="H13" s="395"/>
      <c r="I13" s="395"/>
      <c r="J13" s="395"/>
      <c r="K13" s="395"/>
      <c r="L13" s="395"/>
      <c r="M13" s="396"/>
    </row>
    <row r="14" spans="1:64" ht="15" customHeight="1">
      <c r="A14" s="48" t="s">
        <v>586</v>
      </c>
      <c r="B14" s="49" t="s">
        <v>826</v>
      </c>
      <c r="C14" s="392" t="s">
        <v>697</v>
      </c>
      <c r="D14" s="392"/>
      <c r="E14" s="392"/>
      <c r="F14" s="392"/>
      <c r="G14" s="50" t="s">
        <v>783</v>
      </c>
      <c r="H14" s="50" t="s">
        <v>783</v>
      </c>
      <c r="I14" s="50" t="s">
        <v>783</v>
      </c>
      <c r="J14" s="36">
        <f>SUM(J15:J22)</f>
        <v>0</v>
      </c>
      <c r="K14" s="36">
        <f>SUM(K15:K22)</f>
        <v>0</v>
      </c>
      <c r="L14" s="36">
        <f>SUM(L15:L22)</f>
        <v>0</v>
      </c>
      <c r="M14" s="51" t="s">
        <v>586</v>
      </c>
      <c r="AI14" s="40" t="s">
        <v>586</v>
      </c>
      <c r="AS14" s="36">
        <f>SUM(AJ15:AJ22)</f>
        <v>0</v>
      </c>
      <c r="AT14" s="36">
        <f>SUM(AK15:AK22)</f>
        <v>0</v>
      </c>
      <c r="AU14" s="36">
        <f>SUM(AL15:AL22)</f>
        <v>0</v>
      </c>
    </row>
    <row r="15" spans="1:64" ht="15" customHeight="1">
      <c r="A15" s="9" t="s">
        <v>139</v>
      </c>
      <c r="B15" s="10" t="s">
        <v>236</v>
      </c>
      <c r="C15" s="366" t="s">
        <v>529</v>
      </c>
      <c r="D15" s="366"/>
      <c r="E15" s="366"/>
      <c r="F15" s="366"/>
      <c r="G15" s="10" t="s">
        <v>811</v>
      </c>
      <c r="H15" s="11">
        <v>2.8</v>
      </c>
      <c r="I15" s="11">
        <v>0</v>
      </c>
      <c r="J15" s="11">
        <f>H15*AO15</f>
        <v>0</v>
      </c>
      <c r="K15" s="11">
        <f>H15*AP15</f>
        <v>0</v>
      </c>
      <c r="L15" s="11">
        <f>H15*I15</f>
        <v>0</v>
      </c>
      <c r="M15" s="52" t="s">
        <v>575</v>
      </c>
      <c r="Z15" s="11">
        <f>IF(AQ15="5",BJ15,0)</f>
        <v>0</v>
      </c>
      <c r="AB15" s="11">
        <f>IF(AQ15="1",BH15,0)</f>
        <v>0</v>
      </c>
      <c r="AC15" s="11">
        <f>IF(AQ15="1",BI15,0)</f>
        <v>0</v>
      </c>
      <c r="AD15" s="11">
        <f>IF(AQ15="7",BH15,0)</f>
        <v>0</v>
      </c>
      <c r="AE15" s="11">
        <f>IF(AQ15="7",BI15,0)</f>
        <v>0</v>
      </c>
      <c r="AF15" s="11">
        <f>IF(AQ15="2",BH15,0)</f>
        <v>0</v>
      </c>
      <c r="AG15" s="11">
        <f>IF(AQ15="2",BI15,0)</f>
        <v>0</v>
      </c>
      <c r="AH15" s="11">
        <f>IF(AQ15="0",BJ15,0)</f>
        <v>0</v>
      </c>
      <c r="AI15" s="40" t="s">
        <v>586</v>
      </c>
      <c r="AJ15" s="11">
        <f>IF(AN15=0,L15,0)</f>
        <v>0</v>
      </c>
      <c r="AK15" s="11">
        <f>IF(AN15=15,L15,0)</f>
        <v>0</v>
      </c>
      <c r="AL15" s="11">
        <f>IF(AN15=21,L15,0)</f>
        <v>0</v>
      </c>
      <c r="AN15" s="11">
        <v>21</v>
      </c>
      <c r="AO15" s="11">
        <f>I15*0.906171761280932</f>
        <v>0</v>
      </c>
      <c r="AP15" s="11">
        <f>I15*(1-0.906171761280932)</f>
        <v>0</v>
      </c>
      <c r="AQ15" s="12" t="s">
        <v>841</v>
      </c>
      <c r="AV15" s="11">
        <f>AW15+AX15</f>
        <v>0</v>
      </c>
      <c r="AW15" s="11">
        <f>H15*AO15</f>
        <v>0</v>
      </c>
      <c r="AX15" s="11">
        <f>H15*AP15</f>
        <v>0</v>
      </c>
      <c r="AY15" s="12" t="s">
        <v>580</v>
      </c>
      <c r="AZ15" s="12" t="s">
        <v>125</v>
      </c>
      <c r="BA15" s="40" t="s">
        <v>647</v>
      </c>
      <c r="BC15" s="11">
        <f>AW15+AX15</f>
        <v>0</v>
      </c>
      <c r="BD15" s="11">
        <f>I15/(100-BE15)*100</f>
        <v>0</v>
      </c>
      <c r="BE15" s="11">
        <v>0</v>
      </c>
      <c r="BF15" s="11">
        <f>23</f>
        <v>23</v>
      </c>
      <c r="BH15" s="11">
        <f>H15*AO15</f>
        <v>0</v>
      </c>
      <c r="BI15" s="11">
        <f>H15*AP15</f>
        <v>0</v>
      </c>
      <c r="BJ15" s="11">
        <f>H15*I15</f>
        <v>0</v>
      </c>
      <c r="BK15" s="11"/>
      <c r="BL15" s="11">
        <v>27</v>
      </c>
    </row>
    <row r="16" spans="1:64" ht="15" customHeight="1">
      <c r="A16" s="9" t="s">
        <v>845</v>
      </c>
      <c r="B16" s="10" t="s">
        <v>769</v>
      </c>
      <c r="C16" s="366" t="s">
        <v>732</v>
      </c>
      <c r="D16" s="366"/>
      <c r="E16" s="366"/>
      <c r="F16" s="366"/>
      <c r="G16" s="10" t="s">
        <v>830</v>
      </c>
      <c r="H16" s="11">
        <v>2.0299999999999998</v>
      </c>
      <c r="I16" s="11">
        <v>0</v>
      </c>
      <c r="J16" s="11">
        <f>H16*AO16</f>
        <v>0</v>
      </c>
      <c r="K16" s="11">
        <f>H16*AP16</f>
        <v>0</v>
      </c>
      <c r="L16" s="11">
        <f>H16*I16</f>
        <v>0</v>
      </c>
      <c r="M16" s="52" t="s">
        <v>575</v>
      </c>
      <c r="Z16" s="11">
        <f>IF(AQ16="5",BJ16,0)</f>
        <v>0</v>
      </c>
      <c r="AB16" s="11">
        <f>IF(AQ16="1",BH16,0)</f>
        <v>0</v>
      </c>
      <c r="AC16" s="11">
        <f>IF(AQ16="1",BI16,0)</f>
        <v>0</v>
      </c>
      <c r="AD16" s="11">
        <f>IF(AQ16="7",BH16,0)</f>
        <v>0</v>
      </c>
      <c r="AE16" s="11">
        <f>IF(AQ16="7",BI16,0)</f>
        <v>0</v>
      </c>
      <c r="AF16" s="11">
        <f>IF(AQ16="2",BH16,0)</f>
        <v>0</v>
      </c>
      <c r="AG16" s="11">
        <f>IF(AQ16="2",BI16,0)</f>
        <v>0</v>
      </c>
      <c r="AH16" s="11">
        <f>IF(AQ16="0",BJ16,0)</f>
        <v>0</v>
      </c>
      <c r="AI16" s="40" t="s">
        <v>586</v>
      </c>
      <c r="AJ16" s="11">
        <f>IF(AN16=0,L16,0)</f>
        <v>0</v>
      </c>
      <c r="AK16" s="11">
        <f>IF(AN16=15,L16,0)</f>
        <v>0</v>
      </c>
      <c r="AL16" s="11">
        <f>IF(AN16=21,L16,0)</f>
        <v>0</v>
      </c>
      <c r="AN16" s="11">
        <v>21</v>
      </c>
      <c r="AO16" s="11">
        <f>I16*0.256727618655834</f>
        <v>0</v>
      </c>
      <c r="AP16" s="11">
        <f>I16*(1-0.256727618655834)</f>
        <v>0</v>
      </c>
      <c r="AQ16" s="12" t="s">
        <v>841</v>
      </c>
      <c r="AV16" s="11">
        <f>AW16+AX16</f>
        <v>0</v>
      </c>
      <c r="AW16" s="11">
        <f>H16*AO16</f>
        <v>0</v>
      </c>
      <c r="AX16" s="11">
        <f>H16*AP16</f>
        <v>0</v>
      </c>
      <c r="AY16" s="12" t="s">
        <v>580</v>
      </c>
      <c r="AZ16" s="12" t="s">
        <v>125</v>
      </c>
      <c r="BA16" s="40" t="s">
        <v>647</v>
      </c>
      <c r="BC16" s="11">
        <f>AW16+AX16</f>
        <v>0</v>
      </c>
      <c r="BD16" s="11">
        <f>I16/(100-BE16)*100</f>
        <v>0</v>
      </c>
      <c r="BE16" s="11">
        <v>0</v>
      </c>
      <c r="BF16" s="11">
        <f>24</f>
        <v>24</v>
      </c>
      <c r="BH16" s="11">
        <f>H16*AO16</f>
        <v>0</v>
      </c>
      <c r="BI16" s="11">
        <f>H16*AP16</f>
        <v>0</v>
      </c>
      <c r="BJ16" s="11">
        <f>H16*I16</f>
        <v>0</v>
      </c>
      <c r="BK16" s="11"/>
      <c r="BL16" s="11">
        <v>27</v>
      </c>
    </row>
    <row r="17" spans="1:64" ht="15" customHeight="1">
      <c r="A17" s="9" t="s">
        <v>669</v>
      </c>
      <c r="B17" s="10" t="s">
        <v>238</v>
      </c>
      <c r="C17" s="366" t="s">
        <v>609</v>
      </c>
      <c r="D17" s="366"/>
      <c r="E17" s="366"/>
      <c r="F17" s="366"/>
      <c r="G17" s="10" t="s">
        <v>830</v>
      </c>
      <c r="H17" s="11">
        <v>2.0299999999999998</v>
      </c>
      <c r="I17" s="11">
        <v>0</v>
      </c>
      <c r="J17" s="11">
        <f>H17*AO17</f>
        <v>0</v>
      </c>
      <c r="K17" s="11">
        <f>H17*AP17</f>
        <v>0</v>
      </c>
      <c r="L17" s="11">
        <f>H17*I17</f>
        <v>0</v>
      </c>
      <c r="M17" s="52" t="s">
        <v>575</v>
      </c>
      <c r="Z17" s="11">
        <f>IF(AQ17="5",BJ17,0)</f>
        <v>0</v>
      </c>
      <c r="AB17" s="11">
        <f>IF(AQ17="1",BH17,0)</f>
        <v>0</v>
      </c>
      <c r="AC17" s="11">
        <f>IF(AQ17="1",BI17,0)</f>
        <v>0</v>
      </c>
      <c r="AD17" s="11">
        <f>IF(AQ17="7",BH17,0)</f>
        <v>0</v>
      </c>
      <c r="AE17" s="11">
        <f>IF(AQ17="7",BI17,0)</f>
        <v>0</v>
      </c>
      <c r="AF17" s="11">
        <f>IF(AQ17="2",BH17,0)</f>
        <v>0</v>
      </c>
      <c r="AG17" s="11">
        <f>IF(AQ17="2",BI17,0)</f>
        <v>0</v>
      </c>
      <c r="AH17" s="11">
        <f>IF(AQ17="0",BJ17,0)</f>
        <v>0</v>
      </c>
      <c r="AI17" s="40" t="s">
        <v>586</v>
      </c>
      <c r="AJ17" s="11">
        <f>IF(AN17=0,L17,0)</f>
        <v>0</v>
      </c>
      <c r="AK17" s="11">
        <f>IF(AN17=15,L17,0)</f>
        <v>0</v>
      </c>
      <c r="AL17" s="11">
        <f>IF(AN17=21,L17,0)</f>
        <v>0</v>
      </c>
      <c r="AN17" s="11">
        <v>21</v>
      </c>
      <c r="AO17" s="11">
        <f>I17*0</f>
        <v>0</v>
      </c>
      <c r="AP17" s="11">
        <f>I17*(1-0)</f>
        <v>0</v>
      </c>
      <c r="AQ17" s="12" t="s">
        <v>841</v>
      </c>
      <c r="AV17" s="11">
        <f>AW17+AX17</f>
        <v>0</v>
      </c>
      <c r="AW17" s="11">
        <f>H17*AO17</f>
        <v>0</v>
      </c>
      <c r="AX17" s="11">
        <f>H17*AP17</f>
        <v>0</v>
      </c>
      <c r="AY17" s="12" t="s">
        <v>580</v>
      </c>
      <c r="AZ17" s="12" t="s">
        <v>125</v>
      </c>
      <c r="BA17" s="40" t="s">
        <v>647</v>
      </c>
      <c r="BC17" s="11">
        <f>AW17+AX17</f>
        <v>0</v>
      </c>
      <c r="BD17" s="11">
        <f>I17/(100-BE17)*100</f>
        <v>0</v>
      </c>
      <c r="BE17" s="11">
        <v>0</v>
      </c>
      <c r="BF17" s="11">
        <f>25</f>
        <v>25</v>
      </c>
      <c r="BH17" s="11">
        <f>H17*AO17</f>
        <v>0</v>
      </c>
      <c r="BI17" s="11">
        <f>H17*AP17</f>
        <v>0</v>
      </c>
      <c r="BJ17" s="11">
        <f>H17*I17</f>
        <v>0</v>
      </c>
      <c r="BK17" s="11"/>
      <c r="BL17" s="11">
        <v>27</v>
      </c>
    </row>
    <row r="18" spans="1:64" ht="15" customHeight="1">
      <c r="A18" s="9" t="s">
        <v>332</v>
      </c>
      <c r="B18" s="10" t="s">
        <v>687</v>
      </c>
      <c r="C18" s="366" t="s">
        <v>363</v>
      </c>
      <c r="D18" s="366"/>
      <c r="E18" s="366"/>
      <c r="F18" s="366"/>
      <c r="G18" s="10" t="s">
        <v>401</v>
      </c>
      <c r="H18" s="11">
        <v>0.23499999999999999</v>
      </c>
      <c r="I18" s="11">
        <v>0</v>
      </c>
      <c r="J18" s="11">
        <f>H18*AO18</f>
        <v>0</v>
      </c>
      <c r="K18" s="11">
        <f>H18*AP18</f>
        <v>0</v>
      </c>
      <c r="L18" s="11">
        <f>H18*I18</f>
        <v>0</v>
      </c>
      <c r="M18" s="52" t="s">
        <v>575</v>
      </c>
      <c r="Z18" s="11">
        <f>IF(AQ18="5",BJ18,0)</f>
        <v>0</v>
      </c>
      <c r="AB18" s="11">
        <f>IF(AQ18="1",BH18,0)</f>
        <v>0</v>
      </c>
      <c r="AC18" s="11">
        <f>IF(AQ18="1",BI18,0)</f>
        <v>0</v>
      </c>
      <c r="AD18" s="11">
        <f>IF(AQ18="7",BH18,0)</f>
        <v>0</v>
      </c>
      <c r="AE18" s="11">
        <f>IF(AQ18="7",BI18,0)</f>
        <v>0</v>
      </c>
      <c r="AF18" s="11">
        <f>IF(AQ18="2",BH18,0)</f>
        <v>0</v>
      </c>
      <c r="AG18" s="11">
        <f>IF(AQ18="2",BI18,0)</f>
        <v>0</v>
      </c>
      <c r="AH18" s="11">
        <f>IF(AQ18="0",BJ18,0)</f>
        <v>0</v>
      </c>
      <c r="AI18" s="40" t="s">
        <v>586</v>
      </c>
      <c r="AJ18" s="11">
        <f>IF(AN18=0,L18,0)</f>
        <v>0</v>
      </c>
      <c r="AK18" s="11">
        <f>IF(AN18=15,L18,0)</f>
        <v>0</v>
      </c>
      <c r="AL18" s="11">
        <f>IF(AN18=21,L18,0)</f>
        <v>0</v>
      </c>
      <c r="AN18" s="11">
        <v>21</v>
      </c>
      <c r="AO18" s="11">
        <f>I18*0.841384496539748</f>
        <v>0</v>
      </c>
      <c r="AP18" s="11">
        <f>I18*(1-0.841384496539748)</f>
        <v>0</v>
      </c>
      <c r="AQ18" s="12" t="s">
        <v>841</v>
      </c>
      <c r="AV18" s="11">
        <f>AW18+AX18</f>
        <v>0</v>
      </c>
      <c r="AW18" s="11">
        <f>H18*AO18</f>
        <v>0</v>
      </c>
      <c r="AX18" s="11">
        <f>H18*AP18</f>
        <v>0</v>
      </c>
      <c r="AY18" s="12" t="s">
        <v>580</v>
      </c>
      <c r="AZ18" s="12" t="s">
        <v>125</v>
      </c>
      <c r="BA18" s="40" t="s">
        <v>647</v>
      </c>
      <c r="BC18" s="11">
        <f>AW18+AX18</f>
        <v>0</v>
      </c>
      <c r="BD18" s="11">
        <f>I18/(100-BE18)*100</f>
        <v>0</v>
      </c>
      <c r="BE18" s="11">
        <v>0</v>
      </c>
      <c r="BF18" s="11">
        <f>26</f>
        <v>26</v>
      </c>
      <c r="BH18" s="11">
        <f>H18*AO18</f>
        <v>0</v>
      </c>
      <c r="BI18" s="11">
        <f>H18*AP18</f>
        <v>0</v>
      </c>
      <c r="BJ18" s="11">
        <f>H18*I18</f>
        <v>0</v>
      </c>
      <c r="BK18" s="11"/>
      <c r="BL18" s="11">
        <v>27</v>
      </c>
    </row>
    <row r="19" spans="1:64" ht="13.5" customHeight="1">
      <c r="A19" s="53"/>
      <c r="B19" s="54" t="s">
        <v>440</v>
      </c>
      <c r="C19" s="394" t="s">
        <v>511</v>
      </c>
      <c r="D19" s="395"/>
      <c r="E19" s="395"/>
      <c r="F19" s="395"/>
      <c r="G19" s="395"/>
      <c r="H19" s="395"/>
      <c r="I19" s="395"/>
      <c r="J19" s="395"/>
      <c r="K19" s="395"/>
      <c r="L19" s="395"/>
      <c r="M19" s="396"/>
    </row>
    <row r="20" spans="1:64" ht="15" customHeight="1">
      <c r="A20" s="9" t="s">
        <v>497</v>
      </c>
      <c r="B20" s="10" t="s">
        <v>599</v>
      </c>
      <c r="C20" s="366" t="s">
        <v>311</v>
      </c>
      <c r="D20" s="366"/>
      <c r="E20" s="366"/>
      <c r="F20" s="366"/>
      <c r="G20" s="10" t="s">
        <v>811</v>
      </c>
      <c r="H20" s="11">
        <v>0.56999999999999995</v>
      </c>
      <c r="I20" s="11">
        <v>0</v>
      </c>
      <c r="J20" s="11">
        <f>H20*AO20</f>
        <v>0</v>
      </c>
      <c r="K20" s="11">
        <f>H20*AP20</f>
        <v>0</v>
      </c>
      <c r="L20" s="11">
        <f>H20*I20</f>
        <v>0</v>
      </c>
      <c r="M20" s="52" t="s">
        <v>575</v>
      </c>
      <c r="Z20" s="11">
        <f>IF(AQ20="5",BJ20,0)</f>
        <v>0</v>
      </c>
      <c r="AB20" s="11">
        <f>IF(AQ20="1",BH20,0)</f>
        <v>0</v>
      </c>
      <c r="AC20" s="11">
        <f>IF(AQ20="1",BI20,0)</f>
        <v>0</v>
      </c>
      <c r="AD20" s="11">
        <f>IF(AQ20="7",BH20,0)</f>
        <v>0</v>
      </c>
      <c r="AE20" s="11">
        <f>IF(AQ20="7",BI20,0)</f>
        <v>0</v>
      </c>
      <c r="AF20" s="11">
        <f>IF(AQ20="2",BH20,0)</f>
        <v>0</v>
      </c>
      <c r="AG20" s="11">
        <f>IF(AQ20="2",BI20,0)</f>
        <v>0</v>
      </c>
      <c r="AH20" s="11">
        <f>IF(AQ20="0",BJ20,0)</f>
        <v>0</v>
      </c>
      <c r="AI20" s="40" t="s">
        <v>586</v>
      </c>
      <c r="AJ20" s="11">
        <f>IF(AN20=0,L20,0)</f>
        <v>0</v>
      </c>
      <c r="AK20" s="11">
        <f>IF(AN20=15,L20,0)</f>
        <v>0</v>
      </c>
      <c r="AL20" s="11">
        <f>IF(AN20=21,L20,0)</f>
        <v>0</v>
      </c>
      <c r="AN20" s="11">
        <v>21</v>
      </c>
      <c r="AO20" s="11">
        <f>I20*0.891496621621621</f>
        <v>0</v>
      </c>
      <c r="AP20" s="11">
        <f>I20*(1-0.891496621621621)</f>
        <v>0</v>
      </c>
      <c r="AQ20" s="12" t="s">
        <v>841</v>
      </c>
      <c r="AV20" s="11">
        <f>AW20+AX20</f>
        <v>0</v>
      </c>
      <c r="AW20" s="11">
        <f>H20*AO20</f>
        <v>0</v>
      </c>
      <c r="AX20" s="11">
        <f>H20*AP20</f>
        <v>0</v>
      </c>
      <c r="AY20" s="12" t="s">
        <v>580</v>
      </c>
      <c r="AZ20" s="12" t="s">
        <v>125</v>
      </c>
      <c r="BA20" s="40" t="s">
        <v>647</v>
      </c>
      <c r="BC20" s="11">
        <f>AW20+AX20</f>
        <v>0</v>
      </c>
      <c r="BD20" s="11">
        <f>I20/(100-BE20)*100</f>
        <v>0</v>
      </c>
      <c r="BE20" s="11">
        <v>0</v>
      </c>
      <c r="BF20" s="11">
        <f>28</f>
        <v>28</v>
      </c>
      <c r="BH20" s="11">
        <f>H20*AO20</f>
        <v>0</v>
      </c>
      <c r="BI20" s="11">
        <f>H20*AP20</f>
        <v>0</v>
      </c>
      <c r="BJ20" s="11">
        <f>H20*I20</f>
        <v>0</v>
      </c>
      <c r="BK20" s="11"/>
      <c r="BL20" s="11">
        <v>27</v>
      </c>
    </row>
    <row r="21" spans="1:64" ht="15" customHeight="1">
      <c r="A21" s="9" t="s">
        <v>707</v>
      </c>
      <c r="B21" s="10" t="s">
        <v>182</v>
      </c>
      <c r="C21" s="366" t="s">
        <v>492</v>
      </c>
      <c r="D21" s="366"/>
      <c r="E21" s="366"/>
      <c r="F21" s="366"/>
      <c r="G21" s="10" t="s">
        <v>811</v>
      </c>
      <c r="H21" s="11">
        <v>5.13</v>
      </c>
      <c r="I21" s="11">
        <v>0</v>
      </c>
      <c r="J21" s="11">
        <f>H21*AO21</f>
        <v>0</v>
      </c>
      <c r="K21" s="11">
        <f>H21*AP21</f>
        <v>0</v>
      </c>
      <c r="L21" s="11">
        <f>H21*I21</f>
        <v>0</v>
      </c>
      <c r="M21" s="52" t="s">
        <v>575</v>
      </c>
      <c r="Z21" s="11">
        <f>IF(AQ21="5",BJ21,0)</f>
        <v>0</v>
      </c>
      <c r="AB21" s="11">
        <f>IF(AQ21="1",BH21,0)</f>
        <v>0</v>
      </c>
      <c r="AC21" s="11">
        <f>IF(AQ21="1",BI21,0)</f>
        <v>0</v>
      </c>
      <c r="AD21" s="11">
        <f>IF(AQ21="7",BH21,0)</f>
        <v>0</v>
      </c>
      <c r="AE21" s="11">
        <f>IF(AQ21="7",BI21,0)</f>
        <v>0</v>
      </c>
      <c r="AF21" s="11">
        <f>IF(AQ21="2",BH21,0)</f>
        <v>0</v>
      </c>
      <c r="AG21" s="11">
        <f>IF(AQ21="2",BI21,0)</f>
        <v>0</v>
      </c>
      <c r="AH21" s="11">
        <f>IF(AQ21="0",BJ21,0)</f>
        <v>0</v>
      </c>
      <c r="AI21" s="40" t="s">
        <v>586</v>
      </c>
      <c r="AJ21" s="11">
        <f>IF(AN21=0,L21,0)</f>
        <v>0</v>
      </c>
      <c r="AK21" s="11">
        <f>IF(AN21=15,L21,0)</f>
        <v>0</v>
      </c>
      <c r="AL21" s="11">
        <f>IF(AN21=21,L21,0)</f>
        <v>0</v>
      </c>
      <c r="AN21" s="11">
        <v>21</v>
      </c>
      <c r="AO21" s="11">
        <f>I21*0.896032258064516</f>
        <v>0</v>
      </c>
      <c r="AP21" s="11">
        <f>I21*(1-0.896032258064516)</f>
        <v>0</v>
      </c>
      <c r="AQ21" s="12" t="s">
        <v>841</v>
      </c>
      <c r="AV21" s="11">
        <f>AW21+AX21</f>
        <v>0</v>
      </c>
      <c r="AW21" s="11">
        <f>H21*AO21</f>
        <v>0</v>
      </c>
      <c r="AX21" s="11">
        <f>H21*AP21</f>
        <v>0</v>
      </c>
      <c r="AY21" s="12" t="s">
        <v>580</v>
      </c>
      <c r="AZ21" s="12" t="s">
        <v>125</v>
      </c>
      <c r="BA21" s="40" t="s">
        <v>647</v>
      </c>
      <c r="BC21" s="11">
        <f>AW21+AX21</f>
        <v>0</v>
      </c>
      <c r="BD21" s="11">
        <f>I21/(100-BE21)*100</f>
        <v>0</v>
      </c>
      <c r="BE21" s="11">
        <v>0</v>
      </c>
      <c r="BF21" s="11">
        <f>29</f>
        <v>29</v>
      </c>
      <c r="BH21" s="11">
        <f>H21*AO21</f>
        <v>0</v>
      </c>
      <c r="BI21" s="11">
        <f>H21*AP21</f>
        <v>0</v>
      </c>
      <c r="BJ21" s="11">
        <f>H21*I21</f>
        <v>0</v>
      </c>
      <c r="BK21" s="11"/>
      <c r="BL21" s="11">
        <v>27</v>
      </c>
    </row>
    <row r="22" spans="1:64" ht="15" customHeight="1">
      <c r="A22" s="9" t="s">
        <v>623</v>
      </c>
      <c r="B22" s="10" t="s">
        <v>846</v>
      </c>
      <c r="C22" s="366" t="s">
        <v>19</v>
      </c>
      <c r="D22" s="366"/>
      <c r="E22" s="366"/>
      <c r="F22" s="366"/>
      <c r="G22" s="10" t="s">
        <v>401</v>
      </c>
      <c r="H22" s="11">
        <v>3.5000000000000003E-2</v>
      </c>
      <c r="I22" s="11">
        <v>0</v>
      </c>
      <c r="J22" s="11">
        <f>H22*AO22</f>
        <v>0</v>
      </c>
      <c r="K22" s="11">
        <f>H22*AP22</f>
        <v>0</v>
      </c>
      <c r="L22" s="11">
        <f>H22*I22</f>
        <v>0</v>
      </c>
      <c r="M22" s="52" t="s">
        <v>575</v>
      </c>
      <c r="Z22" s="11">
        <f>IF(AQ22="5",BJ22,0)</f>
        <v>0</v>
      </c>
      <c r="AB22" s="11">
        <f>IF(AQ22="1",BH22,0)</f>
        <v>0</v>
      </c>
      <c r="AC22" s="11">
        <f>IF(AQ22="1",BI22,0)</f>
        <v>0</v>
      </c>
      <c r="AD22" s="11">
        <f>IF(AQ22="7",BH22,0)</f>
        <v>0</v>
      </c>
      <c r="AE22" s="11">
        <f>IF(AQ22="7",BI22,0)</f>
        <v>0</v>
      </c>
      <c r="AF22" s="11">
        <f>IF(AQ22="2",BH22,0)</f>
        <v>0</v>
      </c>
      <c r="AG22" s="11">
        <f>IF(AQ22="2",BI22,0)</f>
        <v>0</v>
      </c>
      <c r="AH22" s="11">
        <f>IF(AQ22="0",BJ22,0)</f>
        <v>0</v>
      </c>
      <c r="AI22" s="40" t="s">
        <v>586</v>
      </c>
      <c r="AJ22" s="11">
        <f>IF(AN22=0,L22,0)</f>
        <v>0</v>
      </c>
      <c r="AK22" s="11">
        <f>IF(AN22=15,L22,0)</f>
        <v>0</v>
      </c>
      <c r="AL22" s="11">
        <f>IF(AN22=21,L22,0)</f>
        <v>0</v>
      </c>
      <c r="AN22" s="11">
        <v>21</v>
      </c>
      <c r="AO22" s="11">
        <f>I22*0.844407182103611</f>
        <v>0</v>
      </c>
      <c r="AP22" s="11">
        <f>I22*(1-0.844407182103611)</f>
        <v>0</v>
      </c>
      <c r="AQ22" s="12" t="s">
        <v>841</v>
      </c>
      <c r="AV22" s="11">
        <f>AW22+AX22</f>
        <v>0</v>
      </c>
      <c r="AW22" s="11">
        <f>H22*AO22</f>
        <v>0</v>
      </c>
      <c r="AX22" s="11">
        <f>H22*AP22</f>
        <v>0</v>
      </c>
      <c r="AY22" s="12" t="s">
        <v>580</v>
      </c>
      <c r="AZ22" s="12" t="s">
        <v>125</v>
      </c>
      <c r="BA22" s="40" t="s">
        <v>647</v>
      </c>
      <c r="BC22" s="11">
        <f>AW22+AX22</f>
        <v>0</v>
      </c>
      <c r="BD22" s="11">
        <f>I22/(100-BE22)*100</f>
        <v>0</v>
      </c>
      <c r="BE22" s="11">
        <v>0</v>
      </c>
      <c r="BF22" s="11">
        <f>30</f>
        <v>30</v>
      </c>
      <c r="BH22" s="11">
        <f>H22*AO22</f>
        <v>0</v>
      </c>
      <c r="BI22" s="11">
        <f>H22*AP22</f>
        <v>0</v>
      </c>
      <c r="BJ22" s="11">
        <f>H22*I22</f>
        <v>0</v>
      </c>
      <c r="BK22" s="11"/>
      <c r="BL22" s="11">
        <v>27</v>
      </c>
    </row>
    <row r="23" spans="1:64" ht="13.5" customHeight="1">
      <c r="A23" s="53"/>
      <c r="B23" s="54" t="s">
        <v>440</v>
      </c>
      <c r="C23" s="394" t="s">
        <v>567</v>
      </c>
      <c r="D23" s="395"/>
      <c r="E23" s="395"/>
      <c r="F23" s="395"/>
      <c r="G23" s="395"/>
      <c r="H23" s="395"/>
      <c r="I23" s="395"/>
      <c r="J23" s="395"/>
      <c r="K23" s="395"/>
      <c r="L23" s="395"/>
      <c r="M23" s="396"/>
    </row>
    <row r="24" spans="1:64" ht="15" customHeight="1">
      <c r="A24" s="48" t="s">
        <v>586</v>
      </c>
      <c r="B24" s="49" t="s">
        <v>506</v>
      </c>
      <c r="C24" s="392" t="s">
        <v>806</v>
      </c>
      <c r="D24" s="392"/>
      <c r="E24" s="392"/>
      <c r="F24" s="392"/>
      <c r="G24" s="50" t="s">
        <v>783</v>
      </c>
      <c r="H24" s="50" t="s">
        <v>783</v>
      </c>
      <c r="I24" s="50" t="s">
        <v>783</v>
      </c>
      <c r="J24" s="36">
        <f>SUM(J25:J35)</f>
        <v>0</v>
      </c>
      <c r="K24" s="36">
        <f>SUM(K25:K35)</f>
        <v>0</v>
      </c>
      <c r="L24" s="36">
        <f>SUM(L25:L35)</f>
        <v>0</v>
      </c>
      <c r="M24" s="51" t="s">
        <v>586</v>
      </c>
      <c r="AI24" s="40" t="s">
        <v>586</v>
      </c>
      <c r="AS24" s="36">
        <f>SUM(AJ25:AJ35)</f>
        <v>0</v>
      </c>
      <c r="AT24" s="36">
        <f>SUM(AK25:AK35)</f>
        <v>0</v>
      </c>
      <c r="AU24" s="36">
        <f>SUM(AL25:AL35)</f>
        <v>0</v>
      </c>
    </row>
    <row r="25" spans="1:64" ht="15" customHeight="1">
      <c r="A25" s="9" t="s">
        <v>255</v>
      </c>
      <c r="B25" s="10" t="s">
        <v>96</v>
      </c>
      <c r="C25" s="366" t="s">
        <v>528</v>
      </c>
      <c r="D25" s="366"/>
      <c r="E25" s="366"/>
      <c r="F25" s="366"/>
      <c r="G25" s="10" t="s">
        <v>830</v>
      </c>
      <c r="H25" s="11">
        <v>17.786999999999999</v>
      </c>
      <c r="I25" s="11">
        <v>0</v>
      </c>
      <c r="J25" s="11">
        <f>H25*AO25</f>
        <v>0</v>
      </c>
      <c r="K25" s="11">
        <f>H25*AP25</f>
        <v>0</v>
      </c>
      <c r="L25" s="11">
        <f>H25*I25</f>
        <v>0</v>
      </c>
      <c r="M25" s="52" t="s">
        <v>575</v>
      </c>
      <c r="Z25" s="11">
        <f>IF(AQ25="5",BJ25,0)</f>
        <v>0</v>
      </c>
      <c r="AB25" s="11">
        <f>IF(AQ25="1",BH25,0)</f>
        <v>0</v>
      </c>
      <c r="AC25" s="11">
        <f>IF(AQ25="1",BI25,0)</f>
        <v>0</v>
      </c>
      <c r="AD25" s="11">
        <f>IF(AQ25="7",BH25,0)</f>
        <v>0</v>
      </c>
      <c r="AE25" s="11">
        <f>IF(AQ25="7",BI25,0)</f>
        <v>0</v>
      </c>
      <c r="AF25" s="11">
        <f>IF(AQ25="2",BH25,0)</f>
        <v>0</v>
      </c>
      <c r="AG25" s="11">
        <f>IF(AQ25="2",BI25,0)</f>
        <v>0</v>
      </c>
      <c r="AH25" s="11">
        <f>IF(AQ25="0",BJ25,0)</f>
        <v>0</v>
      </c>
      <c r="AI25" s="40" t="s">
        <v>586</v>
      </c>
      <c r="AJ25" s="11">
        <f>IF(AN25=0,L25,0)</f>
        <v>0</v>
      </c>
      <c r="AK25" s="11">
        <f>IF(AN25=15,L25,0)</f>
        <v>0</v>
      </c>
      <c r="AL25" s="11">
        <f>IF(AN25=21,L25,0)</f>
        <v>0</v>
      </c>
      <c r="AN25" s="11">
        <v>21</v>
      </c>
      <c r="AO25" s="11">
        <f>I25*0.707163045193617</f>
        <v>0</v>
      </c>
      <c r="AP25" s="11">
        <f>I25*(1-0.707163045193617)</f>
        <v>0</v>
      </c>
      <c r="AQ25" s="12" t="s">
        <v>841</v>
      </c>
      <c r="AV25" s="11">
        <f>AW25+AX25</f>
        <v>0</v>
      </c>
      <c r="AW25" s="11">
        <f>H25*AO25</f>
        <v>0</v>
      </c>
      <c r="AX25" s="11">
        <f>H25*AP25</f>
        <v>0</v>
      </c>
      <c r="AY25" s="12" t="s">
        <v>608</v>
      </c>
      <c r="AZ25" s="12" t="s">
        <v>44</v>
      </c>
      <c r="BA25" s="40" t="s">
        <v>647</v>
      </c>
      <c r="BC25" s="11">
        <f>AW25+AX25</f>
        <v>0</v>
      </c>
      <c r="BD25" s="11">
        <f>I25/(100-BE25)*100</f>
        <v>0</v>
      </c>
      <c r="BE25" s="11">
        <v>0</v>
      </c>
      <c r="BF25" s="11">
        <f>33</f>
        <v>33</v>
      </c>
      <c r="BH25" s="11">
        <f>H25*AO25</f>
        <v>0</v>
      </c>
      <c r="BI25" s="11">
        <f>H25*AP25</f>
        <v>0</v>
      </c>
      <c r="BJ25" s="11">
        <f>H25*I25</f>
        <v>0</v>
      </c>
      <c r="BK25" s="11"/>
      <c r="BL25" s="11">
        <v>31</v>
      </c>
    </row>
    <row r="26" spans="1:64" ht="13.5" customHeight="1">
      <c r="A26" s="53"/>
      <c r="B26" s="54" t="s">
        <v>440</v>
      </c>
      <c r="C26" s="394" t="s">
        <v>941</v>
      </c>
      <c r="D26" s="395"/>
      <c r="E26" s="395"/>
      <c r="F26" s="395"/>
      <c r="G26" s="395"/>
      <c r="H26" s="395"/>
      <c r="I26" s="395"/>
      <c r="J26" s="395"/>
      <c r="K26" s="395"/>
      <c r="L26" s="395"/>
      <c r="M26" s="396"/>
    </row>
    <row r="27" spans="1:64" ht="15" customHeight="1">
      <c r="A27" s="9" t="s">
        <v>504</v>
      </c>
      <c r="B27" s="10" t="s">
        <v>66</v>
      </c>
      <c r="C27" s="366" t="s">
        <v>226</v>
      </c>
      <c r="D27" s="366"/>
      <c r="E27" s="366"/>
      <c r="F27" s="366"/>
      <c r="G27" s="10" t="s">
        <v>401</v>
      </c>
      <c r="H27" s="11">
        <v>0.14499999999999999</v>
      </c>
      <c r="I27" s="11">
        <v>0</v>
      </c>
      <c r="J27" s="11">
        <f>H27*AO27</f>
        <v>0</v>
      </c>
      <c r="K27" s="11">
        <f>H27*AP27</f>
        <v>0</v>
      </c>
      <c r="L27" s="11">
        <f>H27*I27</f>
        <v>0</v>
      </c>
      <c r="M27" s="52" t="s">
        <v>575</v>
      </c>
      <c r="Z27" s="11">
        <f>IF(AQ27="5",BJ27,0)</f>
        <v>0</v>
      </c>
      <c r="AB27" s="11">
        <f>IF(AQ27="1",BH27,0)</f>
        <v>0</v>
      </c>
      <c r="AC27" s="11">
        <f>IF(AQ27="1",BI27,0)</f>
        <v>0</v>
      </c>
      <c r="AD27" s="11">
        <f>IF(AQ27="7",BH27,0)</f>
        <v>0</v>
      </c>
      <c r="AE27" s="11">
        <f>IF(AQ27="7",BI27,0)</f>
        <v>0</v>
      </c>
      <c r="AF27" s="11">
        <f>IF(AQ27="2",BH27,0)</f>
        <v>0</v>
      </c>
      <c r="AG27" s="11">
        <f>IF(AQ27="2",BI27,0)</f>
        <v>0</v>
      </c>
      <c r="AH27" s="11">
        <f>IF(AQ27="0",BJ27,0)</f>
        <v>0</v>
      </c>
      <c r="AI27" s="40" t="s">
        <v>586</v>
      </c>
      <c r="AJ27" s="11">
        <f>IF(AN27=0,L27,0)</f>
        <v>0</v>
      </c>
      <c r="AK27" s="11">
        <f>IF(AN27=15,L27,0)</f>
        <v>0</v>
      </c>
      <c r="AL27" s="11">
        <f>IF(AN27=21,L27,0)</f>
        <v>0</v>
      </c>
      <c r="AN27" s="11">
        <v>21</v>
      </c>
      <c r="AO27" s="11">
        <f>I27*0.766598460215812</f>
        <v>0</v>
      </c>
      <c r="AP27" s="11">
        <f>I27*(1-0.766598460215812)</f>
        <v>0</v>
      </c>
      <c r="AQ27" s="12" t="s">
        <v>841</v>
      </c>
      <c r="AV27" s="11">
        <f>AW27+AX27</f>
        <v>0</v>
      </c>
      <c r="AW27" s="11">
        <f>H27*AO27</f>
        <v>0</v>
      </c>
      <c r="AX27" s="11">
        <f>H27*AP27</f>
        <v>0</v>
      </c>
      <c r="AY27" s="12" t="s">
        <v>608</v>
      </c>
      <c r="AZ27" s="12" t="s">
        <v>44</v>
      </c>
      <c r="BA27" s="40" t="s">
        <v>647</v>
      </c>
      <c r="BC27" s="11">
        <f>AW27+AX27</f>
        <v>0</v>
      </c>
      <c r="BD27" s="11">
        <f>I27/(100-BE27)*100</f>
        <v>0</v>
      </c>
      <c r="BE27" s="11">
        <v>0</v>
      </c>
      <c r="BF27" s="11">
        <f>35</f>
        <v>35</v>
      </c>
      <c r="BH27" s="11">
        <f>H27*AO27</f>
        <v>0</v>
      </c>
      <c r="BI27" s="11">
        <f>H27*AP27</f>
        <v>0</v>
      </c>
      <c r="BJ27" s="11">
        <f>H27*I27</f>
        <v>0</v>
      </c>
      <c r="BK27" s="11"/>
      <c r="BL27" s="11">
        <v>31</v>
      </c>
    </row>
    <row r="28" spans="1:64" ht="15" customHeight="1">
      <c r="A28" s="9" t="s">
        <v>342</v>
      </c>
      <c r="B28" s="10" t="s">
        <v>271</v>
      </c>
      <c r="C28" s="366" t="s">
        <v>513</v>
      </c>
      <c r="D28" s="366"/>
      <c r="E28" s="366"/>
      <c r="F28" s="366"/>
      <c r="G28" s="10" t="s">
        <v>401</v>
      </c>
      <c r="H28" s="11">
        <v>0.182</v>
      </c>
      <c r="I28" s="11">
        <v>0</v>
      </c>
      <c r="J28" s="11">
        <f>H28*AO28</f>
        <v>0</v>
      </c>
      <c r="K28" s="11">
        <f>H28*AP28</f>
        <v>0</v>
      </c>
      <c r="L28" s="11">
        <f>H28*I28</f>
        <v>0</v>
      </c>
      <c r="M28" s="52" t="s">
        <v>575</v>
      </c>
      <c r="Z28" s="11">
        <f>IF(AQ28="5",BJ28,0)</f>
        <v>0</v>
      </c>
      <c r="AB28" s="11">
        <f>IF(AQ28="1",BH28,0)</f>
        <v>0</v>
      </c>
      <c r="AC28" s="11">
        <f>IF(AQ28="1",BI28,0)</f>
        <v>0</v>
      </c>
      <c r="AD28" s="11">
        <f>IF(AQ28="7",BH28,0)</f>
        <v>0</v>
      </c>
      <c r="AE28" s="11">
        <f>IF(AQ28="7",BI28,0)</f>
        <v>0</v>
      </c>
      <c r="AF28" s="11">
        <f>IF(AQ28="2",BH28,0)</f>
        <v>0</v>
      </c>
      <c r="AG28" s="11">
        <f>IF(AQ28="2",BI28,0)</f>
        <v>0</v>
      </c>
      <c r="AH28" s="11">
        <f>IF(AQ28="0",BJ28,0)</f>
        <v>0</v>
      </c>
      <c r="AI28" s="40" t="s">
        <v>586</v>
      </c>
      <c r="AJ28" s="11">
        <f>IF(AN28=0,L28,0)</f>
        <v>0</v>
      </c>
      <c r="AK28" s="11">
        <f>IF(AN28=15,L28,0)</f>
        <v>0</v>
      </c>
      <c r="AL28" s="11">
        <f>IF(AN28=21,L28,0)</f>
        <v>0</v>
      </c>
      <c r="AN28" s="11">
        <v>21</v>
      </c>
      <c r="AO28" s="11">
        <f>I28*0.598782274374026</f>
        <v>0</v>
      </c>
      <c r="AP28" s="11">
        <f>I28*(1-0.598782274374026)</f>
        <v>0</v>
      </c>
      <c r="AQ28" s="12" t="s">
        <v>841</v>
      </c>
      <c r="AV28" s="11">
        <f>AW28+AX28</f>
        <v>0</v>
      </c>
      <c r="AW28" s="11">
        <f>H28*AO28</f>
        <v>0</v>
      </c>
      <c r="AX28" s="11">
        <f>H28*AP28</f>
        <v>0</v>
      </c>
      <c r="AY28" s="12" t="s">
        <v>608</v>
      </c>
      <c r="AZ28" s="12" t="s">
        <v>44</v>
      </c>
      <c r="BA28" s="40" t="s">
        <v>647</v>
      </c>
      <c r="BC28" s="11">
        <f>AW28+AX28</f>
        <v>0</v>
      </c>
      <c r="BD28" s="11">
        <f>I28/(100-BE28)*100</f>
        <v>0</v>
      </c>
      <c r="BE28" s="11">
        <v>0</v>
      </c>
      <c r="BF28" s="11">
        <f>36</f>
        <v>36</v>
      </c>
      <c r="BH28" s="11">
        <f>H28*AO28</f>
        <v>0</v>
      </c>
      <c r="BI28" s="11">
        <f>H28*AP28</f>
        <v>0</v>
      </c>
      <c r="BJ28" s="11">
        <f>H28*I28</f>
        <v>0</v>
      </c>
      <c r="BK28" s="11"/>
      <c r="BL28" s="11">
        <v>31</v>
      </c>
    </row>
    <row r="29" spans="1:64" ht="13.5" customHeight="1">
      <c r="A29" s="53"/>
      <c r="B29" s="54" t="s">
        <v>440</v>
      </c>
      <c r="C29" s="394" t="s">
        <v>86</v>
      </c>
      <c r="D29" s="395"/>
      <c r="E29" s="395"/>
      <c r="F29" s="395"/>
      <c r="G29" s="395"/>
      <c r="H29" s="395"/>
      <c r="I29" s="395"/>
      <c r="J29" s="395"/>
      <c r="K29" s="395"/>
      <c r="L29" s="395"/>
      <c r="M29" s="396"/>
    </row>
    <row r="30" spans="1:64" ht="15" customHeight="1">
      <c r="A30" s="9" t="s">
        <v>73</v>
      </c>
      <c r="B30" s="10" t="s">
        <v>85</v>
      </c>
      <c r="C30" s="366" t="s">
        <v>35</v>
      </c>
      <c r="D30" s="366"/>
      <c r="E30" s="366"/>
      <c r="F30" s="366"/>
      <c r="G30" s="10" t="s">
        <v>811</v>
      </c>
      <c r="H30" s="11">
        <v>0.224</v>
      </c>
      <c r="I30" s="11">
        <v>0</v>
      </c>
      <c r="J30" s="11">
        <f>H30*AO30</f>
        <v>0</v>
      </c>
      <c r="K30" s="11">
        <f>H30*AP30</f>
        <v>0</v>
      </c>
      <c r="L30" s="11">
        <f>H30*I30</f>
        <v>0</v>
      </c>
      <c r="M30" s="52" t="s">
        <v>575</v>
      </c>
      <c r="Z30" s="11">
        <f>IF(AQ30="5",BJ30,0)</f>
        <v>0</v>
      </c>
      <c r="AB30" s="11">
        <f>IF(AQ30="1",BH30,0)</f>
        <v>0</v>
      </c>
      <c r="AC30" s="11">
        <f>IF(AQ30="1",BI30,0)</f>
        <v>0</v>
      </c>
      <c r="AD30" s="11">
        <f>IF(AQ30="7",BH30,0)</f>
        <v>0</v>
      </c>
      <c r="AE30" s="11">
        <f>IF(AQ30="7",BI30,0)</f>
        <v>0</v>
      </c>
      <c r="AF30" s="11">
        <f>IF(AQ30="2",BH30,0)</f>
        <v>0</v>
      </c>
      <c r="AG30" s="11">
        <f>IF(AQ30="2",BI30,0)</f>
        <v>0</v>
      </c>
      <c r="AH30" s="11">
        <f>IF(AQ30="0",BJ30,0)</f>
        <v>0</v>
      </c>
      <c r="AI30" s="40" t="s">
        <v>586</v>
      </c>
      <c r="AJ30" s="11">
        <f>IF(AN30=0,L30,0)</f>
        <v>0</v>
      </c>
      <c r="AK30" s="11">
        <f>IF(AN30=15,L30,0)</f>
        <v>0</v>
      </c>
      <c r="AL30" s="11">
        <f>IF(AN30=21,L30,0)</f>
        <v>0</v>
      </c>
      <c r="AN30" s="11">
        <v>21</v>
      </c>
      <c r="AO30" s="11">
        <f>I30*0.646535</f>
        <v>0</v>
      </c>
      <c r="AP30" s="11">
        <f>I30*(1-0.646535)</f>
        <v>0</v>
      </c>
      <c r="AQ30" s="12" t="s">
        <v>841</v>
      </c>
      <c r="AV30" s="11">
        <f>AW30+AX30</f>
        <v>0</v>
      </c>
      <c r="AW30" s="11">
        <f>H30*AO30</f>
        <v>0</v>
      </c>
      <c r="AX30" s="11">
        <f>H30*AP30</f>
        <v>0</v>
      </c>
      <c r="AY30" s="12" t="s">
        <v>608</v>
      </c>
      <c r="AZ30" s="12" t="s">
        <v>44</v>
      </c>
      <c r="BA30" s="40" t="s">
        <v>647</v>
      </c>
      <c r="BC30" s="11">
        <f>AW30+AX30</f>
        <v>0</v>
      </c>
      <c r="BD30" s="11">
        <f>I30/(100-BE30)*100</f>
        <v>0</v>
      </c>
      <c r="BE30" s="11">
        <v>0</v>
      </c>
      <c r="BF30" s="11">
        <f>38</f>
        <v>38</v>
      </c>
      <c r="BH30" s="11">
        <f>H30*AO30</f>
        <v>0</v>
      </c>
      <c r="BI30" s="11">
        <f>H30*AP30</f>
        <v>0</v>
      </c>
      <c r="BJ30" s="11">
        <f>H30*I30</f>
        <v>0</v>
      </c>
      <c r="BK30" s="11"/>
      <c r="BL30" s="11">
        <v>31</v>
      </c>
    </row>
    <row r="31" spans="1:64" ht="13.5" customHeight="1">
      <c r="A31" s="53"/>
      <c r="B31" s="54" t="s">
        <v>440</v>
      </c>
      <c r="C31" s="394" t="s">
        <v>64</v>
      </c>
      <c r="D31" s="395"/>
      <c r="E31" s="395"/>
      <c r="F31" s="395"/>
      <c r="G31" s="395"/>
      <c r="H31" s="395"/>
      <c r="I31" s="395"/>
      <c r="J31" s="395"/>
      <c r="K31" s="395"/>
      <c r="L31" s="395"/>
      <c r="M31" s="396"/>
    </row>
    <row r="32" spans="1:64" ht="15" customHeight="1">
      <c r="A32" s="9" t="s">
        <v>589</v>
      </c>
      <c r="B32" s="10" t="s">
        <v>915</v>
      </c>
      <c r="C32" s="366" t="s">
        <v>408</v>
      </c>
      <c r="D32" s="366"/>
      <c r="E32" s="366"/>
      <c r="F32" s="366"/>
      <c r="G32" s="10" t="s">
        <v>830</v>
      </c>
      <c r="H32" s="11">
        <v>22.603000000000002</v>
      </c>
      <c r="I32" s="11">
        <v>0</v>
      </c>
      <c r="J32" s="11">
        <f>H32*AO32</f>
        <v>0</v>
      </c>
      <c r="K32" s="11">
        <f>H32*AP32</f>
        <v>0</v>
      </c>
      <c r="L32" s="11">
        <f>H32*I32</f>
        <v>0</v>
      </c>
      <c r="M32" s="52" t="s">
        <v>575</v>
      </c>
      <c r="Z32" s="11">
        <f>IF(AQ32="5",BJ32,0)</f>
        <v>0</v>
      </c>
      <c r="AB32" s="11">
        <f>IF(AQ32="1",BH32,0)</f>
        <v>0</v>
      </c>
      <c r="AC32" s="11">
        <f>IF(AQ32="1",BI32,0)</f>
        <v>0</v>
      </c>
      <c r="AD32" s="11">
        <f>IF(AQ32="7",BH32,0)</f>
        <v>0</v>
      </c>
      <c r="AE32" s="11">
        <f>IF(AQ32="7",BI32,0)</f>
        <v>0</v>
      </c>
      <c r="AF32" s="11">
        <f>IF(AQ32="2",BH32,0)</f>
        <v>0</v>
      </c>
      <c r="AG32" s="11">
        <f>IF(AQ32="2",BI32,0)</f>
        <v>0</v>
      </c>
      <c r="AH32" s="11">
        <f>IF(AQ32="0",BJ32,0)</f>
        <v>0</v>
      </c>
      <c r="AI32" s="40" t="s">
        <v>586</v>
      </c>
      <c r="AJ32" s="11">
        <f>IF(AN32=0,L32,0)</f>
        <v>0</v>
      </c>
      <c r="AK32" s="11">
        <f>IF(AN32=15,L32,0)</f>
        <v>0</v>
      </c>
      <c r="AL32" s="11">
        <f>IF(AN32=21,L32,0)</f>
        <v>0</v>
      </c>
      <c r="AN32" s="11">
        <v>21</v>
      </c>
      <c r="AO32" s="11">
        <f>I32*0.797135221785721</f>
        <v>0</v>
      </c>
      <c r="AP32" s="11">
        <f>I32*(1-0.797135221785721)</f>
        <v>0</v>
      </c>
      <c r="AQ32" s="12" t="s">
        <v>841</v>
      </c>
      <c r="AV32" s="11">
        <f>AW32+AX32</f>
        <v>0</v>
      </c>
      <c r="AW32" s="11">
        <f>H32*AO32</f>
        <v>0</v>
      </c>
      <c r="AX32" s="11">
        <f>H32*AP32</f>
        <v>0</v>
      </c>
      <c r="AY32" s="12" t="s">
        <v>608</v>
      </c>
      <c r="AZ32" s="12" t="s">
        <v>44</v>
      </c>
      <c r="BA32" s="40" t="s">
        <v>647</v>
      </c>
      <c r="BC32" s="11">
        <f>AW32+AX32</f>
        <v>0</v>
      </c>
      <c r="BD32" s="11">
        <f>I32/(100-BE32)*100</f>
        <v>0</v>
      </c>
      <c r="BE32" s="11">
        <v>0</v>
      </c>
      <c r="BF32" s="11">
        <f>40</f>
        <v>40</v>
      </c>
      <c r="BH32" s="11">
        <f>H32*AO32</f>
        <v>0</v>
      </c>
      <c r="BI32" s="11">
        <f>H32*AP32</f>
        <v>0</v>
      </c>
      <c r="BJ32" s="11">
        <f>H32*I32</f>
        <v>0</v>
      </c>
      <c r="BK32" s="11"/>
      <c r="BL32" s="11">
        <v>31</v>
      </c>
    </row>
    <row r="33" spans="1:64" ht="15" customHeight="1">
      <c r="A33" s="9" t="s">
        <v>675</v>
      </c>
      <c r="B33" s="10" t="s">
        <v>612</v>
      </c>
      <c r="C33" s="366" t="s">
        <v>950</v>
      </c>
      <c r="D33" s="366"/>
      <c r="E33" s="366"/>
      <c r="F33" s="366"/>
      <c r="G33" s="10" t="s">
        <v>216</v>
      </c>
      <c r="H33" s="11">
        <v>1</v>
      </c>
      <c r="I33" s="11">
        <v>0</v>
      </c>
      <c r="J33" s="11">
        <f>H33*AO33</f>
        <v>0</v>
      </c>
      <c r="K33" s="11">
        <f>H33*AP33</f>
        <v>0</v>
      </c>
      <c r="L33" s="11">
        <f>H33*I33</f>
        <v>0</v>
      </c>
      <c r="M33" s="52" t="s">
        <v>575</v>
      </c>
      <c r="Z33" s="11">
        <f>IF(AQ33="5",BJ33,0)</f>
        <v>0</v>
      </c>
      <c r="AB33" s="11">
        <f>IF(AQ33="1",BH33,0)</f>
        <v>0</v>
      </c>
      <c r="AC33" s="11">
        <f>IF(AQ33="1",BI33,0)</f>
        <v>0</v>
      </c>
      <c r="AD33" s="11">
        <f>IF(AQ33="7",BH33,0)</f>
        <v>0</v>
      </c>
      <c r="AE33" s="11">
        <f>IF(AQ33="7",BI33,0)</f>
        <v>0</v>
      </c>
      <c r="AF33" s="11">
        <f>IF(AQ33="2",BH33,0)</f>
        <v>0</v>
      </c>
      <c r="AG33" s="11">
        <f>IF(AQ33="2",BI33,0)</f>
        <v>0</v>
      </c>
      <c r="AH33" s="11">
        <f>IF(AQ33="0",BJ33,0)</f>
        <v>0</v>
      </c>
      <c r="AI33" s="40" t="s">
        <v>586</v>
      </c>
      <c r="AJ33" s="11">
        <f>IF(AN33=0,L33,0)</f>
        <v>0</v>
      </c>
      <c r="AK33" s="11">
        <f>IF(AN33=15,L33,0)</f>
        <v>0</v>
      </c>
      <c r="AL33" s="11">
        <f>IF(AN33=21,L33,0)</f>
        <v>0</v>
      </c>
      <c r="AN33" s="11">
        <v>21</v>
      </c>
      <c r="AO33" s="11">
        <f>I33*0.851755555555556</f>
        <v>0</v>
      </c>
      <c r="AP33" s="11">
        <f>I33*(1-0.851755555555556)</f>
        <v>0</v>
      </c>
      <c r="AQ33" s="12" t="s">
        <v>841</v>
      </c>
      <c r="AV33" s="11">
        <f>AW33+AX33</f>
        <v>0</v>
      </c>
      <c r="AW33" s="11">
        <f>H33*AO33</f>
        <v>0</v>
      </c>
      <c r="AX33" s="11">
        <f>H33*AP33</f>
        <v>0</v>
      </c>
      <c r="AY33" s="12" t="s">
        <v>608</v>
      </c>
      <c r="AZ33" s="12" t="s">
        <v>44</v>
      </c>
      <c r="BA33" s="40" t="s">
        <v>647</v>
      </c>
      <c r="BC33" s="11">
        <f>AW33+AX33</f>
        <v>0</v>
      </c>
      <c r="BD33" s="11">
        <f>I33/(100-BE33)*100</f>
        <v>0</v>
      </c>
      <c r="BE33" s="11">
        <v>0</v>
      </c>
      <c r="BF33" s="11">
        <f>41</f>
        <v>41</v>
      </c>
      <c r="BH33" s="11">
        <f>H33*AO33</f>
        <v>0</v>
      </c>
      <c r="BI33" s="11">
        <f>H33*AP33</f>
        <v>0</v>
      </c>
      <c r="BJ33" s="11">
        <f>H33*I33</f>
        <v>0</v>
      </c>
      <c r="BK33" s="11"/>
      <c r="BL33" s="11">
        <v>31</v>
      </c>
    </row>
    <row r="34" spans="1:64" ht="15" customHeight="1">
      <c r="A34" s="9" t="s">
        <v>538</v>
      </c>
      <c r="B34" s="10" t="s">
        <v>889</v>
      </c>
      <c r="C34" s="366" t="s">
        <v>193</v>
      </c>
      <c r="D34" s="366"/>
      <c r="E34" s="366"/>
      <c r="F34" s="366"/>
      <c r="G34" s="10" t="s">
        <v>216</v>
      </c>
      <c r="H34" s="11">
        <v>1</v>
      </c>
      <c r="I34" s="11">
        <v>0</v>
      </c>
      <c r="J34" s="11">
        <f>H34*AO34</f>
        <v>0</v>
      </c>
      <c r="K34" s="11">
        <f>H34*AP34</f>
        <v>0</v>
      </c>
      <c r="L34" s="11">
        <f>H34*I34</f>
        <v>0</v>
      </c>
      <c r="M34" s="52" t="s">
        <v>575</v>
      </c>
      <c r="Z34" s="11">
        <f>IF(AQ34="5",BJ34,0)</f>
        <v>0</v>
      </c>
      <c r="AB34" s="11">
        <f>IF(AQ34="1",BH34,0)</f>
        <v>0</v>
      </c>
      <c r="AC34" s="11">
        <f>IF(AQ34="1",BI34,0)</f>
        <v>0</v>
      </c>
      <c r="AD34" s="11">
        <f>IF(AQ34="7",BH34,0)</f>
        <v>0</v>
      </c>
      <c r="AE34" s="11">
        <f>IF(AQ34="7",BI34,0)</f>
        <v>0</v>
      </c>
      <c r="AF34" s="11">
        <f>IF(AQ34="2",BH34,0)</f>
        <v>0</v>
      </c>
      <c r="AG34" s="11">
        <f>IF(AQ34="2",BI34,0)</f>
        <v>0</v>
      </c>
      <c r="AH34" s="11">
        <f>IF(AQ34="0",BJ34,0)</f>
        <v>0</v>
      </c>
      <c r="AI34" s="40" t="s">
        <v>586</v>
      </c>
      <c r="AJ34" s="11">
        <f>IF(AN34=0,L34,0)</f>
        <v>0</v>
      </c>
      <c r="AK34" s="11">
        <f>IF(AN34=15,L34,0)</f>
        <v>0</v>
      </c>
      <c r="AL34" s="11">
        <f>IF(AN34=21,L34,0)</f>
        <v>0</v>
      </c>
      <c r="AN34" s="11">
        <v>21</v>
      </c>
      <c r="AO34" s="11">
        <f>I34*0.870549450549451</f>
        <v>0</v>
      </c>
      <c r="AP34" s="11">
        <f>I34*(1-0.870549450549451)</f>
        <v>0</v>
      </c>
      <c r="AQ34" s="12" t="s">
        <v>841</v>
      </c>
      <c r="AV34" s="11">
        <f>AW34+AX34</f>
        <v>0</v>
      </c>
      <c r="AW34" s="11">
        <f>H34*AO34</f>
        <v>0</v>
      </c>
      <c r="AX34" s="11">
        <f>H34*AP34</f>
        <v>0</v>
      </c>
      <c r="AY34" s="12" t="s">
        <v>608</v>
      </c>
      <c r="AZ34" s="12" t="s">
        <v>44</v>
      </c>
      <c r="BA34" s="40" t="s">
        <v>647</v>
      </c>
      <c r="BC34" s="11">
        <f>AW34+AX34</f>
        <v>0</v>
      </c>
      <c r="BD34" s="11">
        <f>I34/(100-BE34)*100</f>
        <v>0</v>
      </c>
      <c r="BE34" s="11">
        <v>0</v>
      </c>
      <c r="BF34" s="11">
        <f>42</f>
        <v>42</v>
      </c>
      <c r="BH34" s="11">
        <f>H34*AO34</f>
        <v>0</v>
      </c>
      <c r="BI34" s="11">
        <f>H34*AP34</f>
        <v>0</v>
      </c>
      <c r="BJ34" s="11">
        <f>H34*I34</f>
        <v>0</v>
      </c>
      <c r="BK34" s="11"/>
      <c r="BL34" s="11">
        <v>31</v>
      </c>
    </row>
    <row r="35" spans="1:64" ht="15" customHeight="1">
      <c r="A35" s="9" t="s">
        <v>34</v>
      </c>
      <c r="B35" s="10" t="s">
        <v>902</v>
      </c>
      <c r="C35" s="366" t="s">
        <v>398</v>
      </c>
      <c r="D35" s="366"/>
      <c r="E35" s="366"/>
      <c r="F35" s="366"/>
      <c r="G35" s="10" t="s">
        <v>216</v>
      </c>
      <c r="H35" s="11">
        <v>1</v>
      </c>
      <c r="I35" s="11">
        <v>0</v>
      </c>
      <c r="J35" s="11">
        <f>H35*AO35</f>
        <v>0</v>
      </c>
      <c r="K35" s="11">
        <f>H35*AP35</f>
        <v>0</v>
      </c>
      <c r="L35" s="11">
        <f>H35*I35</f>
        <v>0</v>
      </c>
      <c r="M35" s="52" t="s">
        <v>575</v>
      </c>
      <c r="Z35" s="11">
        <f>IF(AQ35="5",BJ35,0)</f>
        <v>0</v>
      </c>
      <c r="AB35" s="11">
        <f>IF(AQ35="1",BH35,0)</f>
        <v>0</v>
      </c>
      <c r="AC35" s="11">
        <f>IF(AQ35="1",BI35,0)</f>
        <v>0</v>
      </c>
      <c r="AD35" s="11">
        <f>IF(AQ35="7",BH35,0)</f>
        <v>0</v>
      </c>
      <c r="AE35" s="11">
        <f>IF(AQ35="7",BI35,0)</f>
        <v>0</v>
      </c>
      <c r="AF35" s="11">
        <f>IF(AQ35="2",BH35,0)</f>
        <v>0</v>
      </c>
      <c r="AG35" s="11">
        <f>IF(AQ35="2",BI35,0)</f>
        <v>0</v>
      </c>
      <c r="AH35" s="11">
        <f>IF(AQ35="0",BJ35,0)</f>
        <v>0</v>
      </c>
      <c r="AI35" s="40" t="s">
        <v>586</v>
      </c>
      <c r="AJ35" s="11">
        <f>IF(AN35=0,L35,0)</f>
        <v>0</v>
      </c>
      <c r="AK35" s="11">
        <f>IF(AN35=15,L35,0)</f>
        <v>0</v>
      </c>
      <c r="AL35" s="11">
        <f>IF(AN35=21,L35,0)</f>
        <v>0</v>
      </c>
      <c r="AN35" s="11">
        <v>21</v>
      </c>
      <c r="AO35" s="11">
        <f>I35*0.858272017837235</f>
        <v>0</v>
      </c>
      <c r="AP35" s="11">
        <f>I35*(1-0.858272017837235)</f>
        <v>0</v>
      </c>
      <c r="AQ35" s="12" t="s">
        <v>841</v>
      </c>
      <c r="AV35" s="11">
        <f>AW35+AX35</f>
        <v>0</v>
      </c>
      <c r="AW35" s="11">
        <f>H35*AO35</f>
        <v>0</v>
      </c>
      <c r="AX35" s="11">
        <f>H35*AP35</f>
        <v>0</v>
      </c>
      <c r="AY35" s="12" t="s">
        <v>608</v>
      </c>
      <c r="AZ35" s="12" t="s">
        <v>44</v>
      </c>
      <c r="BA35" s="40" t="s">
        <v>647</v>
      </c>
      <c r="BC35" s="11">
        <f>AW35+AX35</f>
        <v>0</v>
      </c>
      <c r="BD35" s="11">
        <f>I35/(100-BE35)*100</f>
        <v>0</v>
      </c>
      <c r="BE35" s="11">
        <v>0</v>
      </c>
      <c r="BF35" s="11">
        <f>43</f>
        <v>43</v>
      </c>
      <c r="BH35" s="11">
        <f>H35*AO35</f>
        <v>0</v>
      </c>
      <c r="BI35" s="11">
        <f>H35*AP35</f>
        <v>0</v>
      </c>
      <c r="BJ35" s="11">
        <f>H35*I35</f>
        <v>0</v>
      </c>
      <c r="BK35" s="11"/>
      <c r="BL35" s="11">
        <v>31</v>
      </c>
    </row>
    <row r="36" spans="1:64" ht="15" customHeight="1">
      <c r="A36" s="48" t="s">
        <v>586</v>
      </c>
      <c r="B36" s="49" t="s">
        <v>932</v>
      </c>
      <c r="C36" s="392" t="s">
        <v>203</v>
      </c>
      <c r="D36" s="392"/>
      <c r="E36" s="392"/>
      <c r="F36" s="392"/>
      <c r="G36" s="50" t="s">
        <v>783</v>
      </c>
      <c r="H36" s="50" t="s">
        <v>783</v>
      </c>
      <c r="I36" s="50" t="s">
        <v>783</v>
      </c>
      <c r="J36" s="36">
        <f>SUM(J37:J43)</f>
        <v>0</v>
      </c>
      <c r="K36" s="36">
        <f>SUM(K37:K43)</f>
        <v>0</v>
      </c>
      <c r="L36" s="36">
        <f>SUM(L37:L43)</f>
        <v>0</v>
      </c>
      <c r="M36" s="51" t="s">
        <v>586</v>
      </c>
      <c r="AI36" s="40" t="s">
        <v>586</v>
      </c>
      <c r="AS36" s="36">
        <f>SUM(AJ37:AJ43)</f>
        <v>0</v>
      </c>
      <c r="AT36" s="36">
        <f>SUM(AK37:AK43)</f>
        <v>0</v>
      </c>
      <c r="AU36" s="36">
        <f>SUM(AL37:AL43)</f>
        <v>0</v>
      </c>
    </row>
    <row r="37" spans="1:64" ht="15" customHeight="1">
      <c r="A37" s="9" t="s">
        <v>597</v>
      </c>
      <c r="B37" s="10" t="s">
        <v>168</v>
      </c>
      <c r="C37" s="366" t="s">
        <v>945</v>
      </c>
      <c r="D37" s="366"/>
      <c r="E37" s="366"/>
      <c r="F37" s="366"/>
      <c r="G37" s="10" t="s">
        <v>830</v>
      </c>
      <c r="H37" s="11">
        <v>0.89600000000000002</v>
      </c>
      <c r="I37" s="11">
        <v>0</v>
      </c>
      <c r="J37" s="11">
        <f t="shared" ref="J37:J43" si="0">H37*AO37</f>
        <v>0</v>
      </c>
      <c r="K37" s="11">
        <f t="shared" ref="K37:K43" si="1">H37*AP37</f>
        <v>0</v>
      </c>
      <c r="L37" s="11">
        <f t="shared" ref="L37:L43" si="2">H37*I37</f>
        <v>0</v>
      </c>
      <c r="M37" s="52" t="s">
        <v>575</v>
      </c>
      <c r="Z37" s="11">
        <f t="shared" ref="Z37:Z43" si="3">IF(AQ37="5",BJ37,0)</f>
        <v>0</v>
      </c>
      <c r="AB37" s="11">
        <f t="shared" ref="AB37:AB43" si="4">IF(AQ37="1",BH37,0)</f>
        <v>0</v>
      </c>
      <c r="AC37" s="11">
        <f t="shared" ref="AC37:AC43" si="5">IF(AQ37="1",BI37,0)</f>
        <v>0</v>
      </c>
      <c r="AD37" s="11">
        <f t="shared" ref="AD37:AD43" si="6">IF(AQ37="7",BH37,0)</f>
        <v>0</v>
      </c>
      <c r="AE37" s="11">
        <f t="shared" ref="AE37:AE43" si="7">IF(AQ37="7",BI37,0)</f>
        <v>0</v>
      </c>
      <c r="AF37" s="11">
        <f t="shared" ref="AF37:AF43" si="8">IF(AQ37="2",BH37,0)</f>
        <v>0</v>
      </c>
      <c r="AG37" s="11">
        <f t="shared" ref="AG37:AG43" si="9">IF(AQ37="2",BI37,0)</f>
        <v>0</v>
      </c>
      <c r="AH37" s="11">
        <f t="shared" ref="AH37:AH43" si="10">IF(AQ37="0",BJ37,0)</f>
        <v>0</v>
      </c>
      <c r="AI37" s="40" t="s">
        <v>586</v>
      </c>
      <c r="AJ37" s="11">
        <f t="shared" ref="AJ37:AJ43" si="11">IF(AN37=0,L37,0)</f>
        <v>0</v>
      </c>
      <c r="AK37" s="11">
        <f t="shared" ref="AK37:AK43" si="12">IF(AN37=15,L37,0)</f>
        <v>0</v>
      </c>
      <c r="AL37" s="11">
        <f t="shared" ref="AL37:AL43" si="13">IF(AN37=21,L37,0)</f>
        <v>0</v>
      </c>
      <c r="AN37" s="11">
        <v>21</v>
      </c>
      <c r="AO37" s="11">
        <f>I37*0.374216451756336</f>
        <v>0</v>
      </c>
      <c r="AP37" s="11">
        <f>I37*(1-0.374216451756336)</f>
        <v>0</v>
      </c>
      <c r="AQ37" s="12" t="s">
        <v>841</v>
      </c>
      <c r="AV37" s="11">
        <f t="shared" ref="AV37:AV43" si="14">AW37+AX37</f>
        <v>0</v>
      </c>
      <c r="AW37" s="11">
        <f t="shared" ref="AW37:AW43" si="15">H37*AO37</f>
        <v>0</v>
      </c>
      <c r="AX37" s="11">
        <f t="shared" ref="AX37:AX43" si="16">H37*AP37</f>
        <v>0</v>
      </c>
      <c r="AY37" s="12" t="s">
        <v>601</v>
      </c>
      <c r="AZ37" s="12" t="s">
        <v>44</v>
      </c>
      <c r="BA37" s="40" t="s">
        <v>647</v>
      </c>
      <c r="BC37" s="11">
        <f t="shared" ref="BC37:BC43" si="17">AW37+AX37</f>
        <v>0</v>
      </c>
      <c r="BD37" s="11">
        <f t="shared" ref="BD37:BD43" si="18">I37/(100-BE37)*100</f>
        <v>0</v>
      </c>
      <c r="BE37" s="11">
        <v>0</v>
      </c>
      <c r="BF37" s="11">
        <f>45</f>
        <v>45</v>
      </c>
      <c r="BH37" s="11">
        <f t="shared" ref="BH37:BH43" si="19">H37*AO37</f>
        <v>0</v>
      </c>
      <c r="BI37" s="11">
        <f t="shared" ref="BI37:BI43" si="20">H37*AP37</f>
        <v>0</v>
      </c>
      <c r="BJ37" s="11">
        <f t="shared" ref="BJ37:BJ43" si="21">H37*I37</f>
        <v>0</v>
      </c>
      <c r="BK37" s="11"/>
      <c r="BL37" s="11">
        <v>34</v>
      </c>
    </row>
    <row r="38" spans="1:64" ht="15" customHeight="1">
      <c r="A38" s="9" t="s">
        <v>803</v>
      </c>
      <c r="B38" s="10" t="s">
        <v>137</v>
      </c>
      <c r="C38" s="366" t="s">
        <v>496</v>
      </c>
      <c r="D38" s="366"/>
      <c r="E38" s="366"/>
      <c r="F38" s="366"/>
      <c r="G38" s="10" t="s">
        <v>830</v>
      </c>
      <c r="H38" s="11">
        <v>53.162999999999997</v>
      </c>
      <c r="I38" s="11">
        <v>0</v>
      </c>
      <c r="J38" s="11">
        <f t="shared" si="0"/>
        <v>0</v>
      </c>
      <c r="K38" s="11">
        <f t="shared" si="1"/>
        <v>0</v>
      </c>
      <c r="L38" s="11">
        <f t="shared" si="2"/>
        <v>0</v>
      </c>
      <c r="M38" s="52" t="s">
        <v>575</v>
      </c>
      <c r="Z38" s="11">
        <f t="shared" si="3"/>
        <v>0</v>
      </c>
      <c r="AB38" s="11">
        <f t="shared" si="4"/>
        <v>0</v>
      </c>
      <c r="AC38" s="11">
        <f t="shared" si="5"/>
        <v>0</v>
      </c>
      <c r="AD38" s="11">
        <f t="shared" si="6"/>
        <v>0</v>
      </c>
      <c r="AE38" s="11">
        <f t="shared" si="7"/>
        <v>0</v>
      </c>
      <c r="AF38" s="11">
        <f t="shared" si="8"/>
        <v>0</v>
      </c>
      <c r="AG38" s="11">
        <f t="shared" si="9"/>
        <v>0</v>
      </c>
      <c r="AH38" s="11">
        <f t="shared" si="10"/>
        <v>0</v>
      </c>
      <c r="AI38" s="40" t="s">
        <v>586</v>
      </c>
      <c r="AJ38" s="11">
        <f t="shared" si="11"/>
        <v>0</v>
      </c>
      <c r="AK38" s="11">
        <f t="shared" si="12"/>
        <v>0</v>
      </c>
      <c r="AL38" s="11">
        <f t="shared" si="13"/>
        <v>0</v>
      </c>
      <c r="AN38" s="11">
        <v>21</v>
      </c>
      <c r="AO38" s="11">
        <f>I38*0.657105820376576</f>
        <v>0</v>
      </c>
      <c r="AP38" s="11">
        <f>I38*(1-0.657105820376576)</f>
        <v>0</v>
      </c>
      <c r="AQ38" s="12" t="s">
        <v>841</v>
      </c>
      <c r="AV38" s="11">
        <f t="shared" si="14"/>
        <v>0</v>
      </c>
      <c r="AW38" s="11">
        <f t="shared" si="15"/>
        <v>0</v>
      </c>
      <c r="AX38" s="11">
        <f t="shared" si="16"/>
        <v>0</v>
      </c>
      <c r="AY38" s="12" t="s">
        <v>601</v>
      </c>
      <c r="AZ38" s="12" t="s">
        <v>44</v>
      </c>
      <c r="BA38" s="40" t="s">
        <v>647</v>
      </c>
      <c r="BC38" s="11">
        <f t="shared" si="17"/>
        <v>0</v>
      </c>
      <c r="BD38" s="11">
        <f t="shared" si="18"/>
        <v>0</v>
      </c>
      <c r="BE38" s="11">
        <v>0</v>
      </c>
      <c r="BF38" s="11">
        <f>46</f>
        <v>46</v>
      </c>
      <c r="BH38" s="11">
        <f t="shared" si="19"/>
        <v>0</v>
      </c>
      <c r="BI38" s="11">
        <f t="shared" si="20"/>
        <v>0</v>
      </c>
      <c r="BJ38" s="11">
        <f t="shared" si="21"/>
        <v>0</v>
      </c>
      <c r="BK38" s="11"/>
      <c r="BL38" s="11">
        <v>34</v>
      </c>
    </row>
    <row r="39" spans="1:64" ht="15" customHeight="1">
      <c r="A39" s="9" t="s">
        <v>388</v>
      </c>
      <c r="B39" s="10" t="s">
        <v>781</v>
      </c>
      <c r="C39" s="366" t="s">
        <v>653</v>
      </c>
      <c r="D39" s="366"/>
      <c r="E39" s="366"/>
      <c r="F39" s="366"/>
      <c r="G39" s="10" t="s">
        <v>830</v>
      </c>
      <c r="H39" s="11">
        <v>19.152000000000001</v>
      </c>
      <c r="I39" s="11">
        <v>0</v>
      </c>
      <c r="J39" s="11">
        <f t="shared" si="0"/>
        <v>0</v>
      </c>
      <c r="K39" s="11">
        <f t="shared" si="1"/>
        <v>0</v>
      </c>
      <c r="L39" s="11">
        <f t="shared" si="2"/>
        <v>0</v>
      </c>
      <c r="M39" s="52" t="s">
        <v>575</v>
      </c>
      <c r="Z39" s="11">
        <f t="shared" si="3"/>
        <v>0</v>
      </c>
      <c r="AB39" s="11">
        <f t="shared" si="4"/>
        <v>0</v>
      </c>
      <c r="AC39" s="11">
        <f t="shared" si="5"/>
        <v>0</v>
      </c>
      <c r="AD39" s="11">
        <f t="shared" si="6"/>
        <v>0</v>
      </c>
      <c r="AE39" s="11">
        <f t="shared" si="7"/>
        <v>0</v>
      </c>
      <c r="AF39" s="11">
        <f t="shared" si="8"/>
        <v>0</v>
      </c>
      <c r="AG39" s="11">
        <f t="shared" si="9"/>
        <v>0</v>
      </c>
      <c r="AH39" s="11">
        <f t="shared" si="10"/>
        <v>0</v>
      </c>
      <c r="AI39" s="40" t="s">
        <v>586</v>
      </c>
      <c r="AJ39" s="11">
        <f t="shared" si="11"/>
        <v>0</v>
      </c>
      <c r="AK39" s="11">
        <f t="shared" si="12"/>
        <v>0</v>
      </c>
      <c r="AL39" s="11">
        <f t="shared" si="13"/>
        <v>0</v>
      </c>
      <c r="AN39" s="11">
        <v>21</v>
      </c>
      <c r="AO39" s="11">
        <f>I39*0.715761148712994</f>
        <v>0</v>
      </c>
      <c r="AP39" s="11">
        <f>I39*(1-0.715761148712994)</f>
        <v>0</v>
      </c>
      <c r="AQ39" s="12" t="s">
        <v>841</v>
      </c>
      <c r="AV39" s="11">
        <f t="shared" si="14"/>
        <v>0</v>
      </c>
      <c r="AW39" s="11">
        <f t="shared" si="15"/>
        <v>0</v>
      </c>
      <c r="AX39" s="11">
        <f t="shared" si="16"/>
        <v>0</v>
      </c>
      <c r="AY39" s="12" t="s">
        <v>601</v>
      </c>
      <c r="AZ39" s="12" t="s">
        <v>44</v>
      </c>
      <c r="BA39" s="40" t="s">
        <v>647</v>
      </c>
      <c r="BC39" s="11">
        <f t="shared" si="17"/>
        <v>0</v>
      </c>
      <c r="BD39" s="11">
        <f t="shared" si="18"/>
        <v>0</v>
      </c>
      <c r="BE39" s="11">
        <v>0</v>
      </c>
      <c r="BF39" s="11">
        <f>47</f>
        <v>47</v>
      </c>
      <c r="BH39" s="11">
        <f t="shared" si="19"/>
        <v>0</v>
      </c>
      <c r="BI39" s="11">
        <f t="shared" si="20"/>
        <v>0</v>
      </c>
      <c r="BJ39" s="11">
        <f t="shared" si="21"/>
        <v>0</v>
      </c>
      <c r="BK39" s="11"/>
      <c r="BL39" s="11">
        <v>34</v>
      </c>
    </row>
    <row r="40" spans="1:64" ht="15" customHeight="1">
      <c r="A40" s="9" t="s">
        <v>76</v>
      </c>
      <c r="B40" s="10" t="s">
        <v>266</v>
      </c>
      <c r="C40" s="366" t="s">
        <v>655</v>
      </c>
      <c r="D40" s="366"/>
      <c r="E40" s="366"/>
      <c r="F40" s="366"/>
      <c r="G40" s="10" t="s">
        <v>830</v>
      </c>
      <c r="H40" s="11">
        <v>7</v>
      </c>
      <c r="I40" s="11">
        <v>0</v>
      </c>
      <c r="J40" s="11">
        <f t="shared" si="0"/>
        <v>0</v>
      </c>
      <c r="K40" s="11">
        <f t="shared" si="1"/>
        <v>0</v>
      </c>
      <c r="L40" s="11">
        <f t="shared" si="2"/>
        <v>0</v>
      </c>
      <c r="M40" s="52" t="s">
        <v>575</v>
      </c>
      <c r="Z40" s="11">
        <f t="shared" si="3"/>
        <v>0</v>
      </c>
      <c r="AB40" s="11">
        <f t="shared" si="4"/>
        <v>0</v>
      </c>
      <c r="AC40" s="11">
        <f t="shared" si="5"/>
        <v>0</v>
      </c>
      <c r="AD40" s="11">
        <f t="shared" si="6"/>
        <v>0</v>
      </c>
      <c r="AE40" s="11">
        <f t="shared" si="7"/>
        <v>0</v>
      </c>
      <c r="AF40" s="11">
        <f t="shared" si="8"/>
        <v>0</v>
      </c>
      <c r="AG40" s="11">
        <f t="shared" si="9"/>
        <v>0</v>
      </c>
      <c r="AH40" s="11">
        <f t="shared" si="10"/>
        <v>0</v>
      </c>
      <c r="AI40" s="40" t="s">
        <v>586</v>
      </c>
      <c r="AJ40" s="11">
        <f t="shared" si="11"/>
        <v>0</v>
      </c>
      <c r="AK40" s="11">
        <f t="shared" si="12"/>
        <v>0</v>
      </c>
      <c r="AL40" s="11">
        <f t="shared" si="13"/>
        <v>0</v>
      </c>
      <c r="AN40" s="11">
        <v>21</v>
      </c>
      <c r="AO40" s="11">
        <f>I40*0.705650584795322</f>
        <v>0</v>
      </c>
      <c r="AP40" s="11">
        <f>I40*(1-0.705650584795322)</f>
        <v>0</v>
      </c>
      <c r="AQ40" s="12" t="s">
        <v>841</v>
      </c>
      <c r="AV40" s="11">
        <f t="shared" si="14"/>
        <v>0</v>
      </c>
      <c r="AW40" s="11">
        <f t="shared" si="15"/>
        <v>0</v>
      </c>
      <c r="AX40" s="11">
        <f t="shared" si="16"/>
        <v>0</v>
      </c>
      <c r="AY40" s="12" t="s">
        <v>601</v>
      </c>
      <c r="AZ40" s="12" t="s">
        <v>44</v>
      </c>
      <c r="BA40" s="40" t="s">
        <v>647</v>
      </c>
      <c r="BC40" s="11">
        <f t="shared" si="17"/>
        <v>0</v>
      </c>
      <c r="BD40" s="11">
        <f t="shared" si="18"/>
        <v>0</v>
      </c>
      <c r="BE40" s="11">
        <v>0</v>
      </c>
      <c r="BF40" s="11">
        <f>48</f>
        <v>48</v>
      </c>
      <c r="BH40" s="11">
        <f t="shared" si="19"/>
        <v>0</v>
      </c>
      <c r="BI40" s="11">
        <f t="shared" si="20"/>
        <v>0</v>
      </c>
      <c r="BJ40" s="11">
        <f t="shared" si="21"/>
        <v>0</v>
      </c>
      <c r="BK40" s="11"/>
      <c r="BL40" s="11">
        <v>34</v>
      </c>
    </row>
    <row r="41" spans="1:64" ht="15" customHeight="1">
      <c r="A41" s="9" t="s">
        <v>214</v>
      </c>
      <c r="B41" s="10" t="s">
        <v>579</v>
      </c>
      <c r="C41" s="366" t="s">
        <v>146</v>
      </c>
      <c r="D41" s="366"/>
      <c r="E41" s="366"/>
      <c r="F41" s="366"/>
      <c r="G41" s="10" t="s">
        <v>830</v>
      </c>
      <c r="H41" s="11">
        <v>8.9309999999999992</v>
      </c>
      <c r="I41" s="11">
        <v>0</v>
      </c>
      <c r="J41" s="11">
        <f t="shared" si="0"/>
        <v>0</v>
      </c>
      <c r="K41" s="11">
        <f t="shared" si="1"/>
        <v>0</v>
      </c>
      <c r="L41" s="11">
        <f t="shared" si="2"/>
        <v>0</v>
      </c>
      <c r="M41" s="52" t="s">
        <v>575</v>
      </c>
      <c r="Z41" s="11">
        <f t="shared" si="3"/>
        <v>0</v>
      </c>
      <c r="AB41" s="11">
        <f t="shared" si="4"/>
        <v>0</v>
      </c>
      <c r="AC41" s="11">
        <f t="shared" si="5"/>
        <v>0</v>
      </c>
      <c r="AD41" s="11">
        <f t="shared" si="6"/>
        <v>0</v>
      </c>
      <c r="AE41" s="11">
        <f t="shared" si="7"/>
        <v>0</v>
      </c>
      <c r="AF41" s="11">
        <f t="shared" si="8"/>
        <v>0</v>
      </c>
      <c r="AG41" s="11">
        <f t="shared" si="9"/>
        <v>0</v>
      </c>
      <c r="AH41" s="11">
        <f t="shared" si="10"/>
        <v>0</v>
      </c>
      <c r="AI41" s="40" t="s">
        <v>586</v>
      </c>
      <c r="AJ41" s="11">
        <f t="shared" si="11"/>
        <v>0</v>
      </c>
      <c r="AK41" s="11">
        <f t="shared" si="12"/>
        <v>0</v>
      </c>
      <c r="AL41" s="11">
        <f t="shared" si="13"/>
        <v>0</v>
      </c>
      <c r="AN41" s="11">
        <v>21</v>
      </c>
      <c r="AO41" s="11">
        <f>I41*0.644221183426641</f>
        <v>0</v>
      </c>
      <c r="AP41" s="11">
        <f>I41*(1-0.644221183426641)</f>
        <v>0</v>
      </c>
      <c r="AQ41" s="12" t="s">
        <v>841</v>
      </c>
      <c r="AV41" s="11">
        <f t="shared" si="14"/>
        <v>0</v>
      </c>
      <c r="AW41" s="11">
        <f t="shared" si="15"/>
        <v>0</v>
      </c>
      <c r="AX41" s="11">
        <f t="shared" si="16"/>
        <v>0</v>
      </c>
      <c r="AY41" s="12" t="s">
        <v>601</v>
      </c>
      <c r="AZ41" s="12" t="s">
        <v>44</v>
      </c>
      <c r="BA41" s="40" t="s">
        <v>647</v>
      </c>
      <c r="BC41" s="11">
        <f t="shared" si="17"/>
        <v>0</v>
      </c>
      <c r="BD41" s="11">
        <f t="shared" si="18"/>
        <v>0</v>
      </c>
      <c r="BE41" s="11">
        <v>0</v>
      </c>
      <c r="BF41" s="11">
        <f>49</f>
        <v>49</v>
      </c>
      <c r="BH41" s="11">
        <f t="shared" si="19"/>
        <v>0</v>
      </c>
      <c r="BI41" s="11">
        <f t="shared" si="20"/>
        <v>0</v>
      </c>
      <c r="BJ41" s="11">
        <f t="shared" si="21"/>
        <v>0</v>
      </c>
      <c r="BK41" s="11"/>
      <c r="BL41" s="11">
        <v>34</v>
      </c>
    </row>
    <row r="42" spans="1:64" ht="15" customHeight="1">
      <c r="A42" s="9" t="s">
        <v>106</v>
      </c>
      <c r="B42" s="10" t="s">
        <v>114</v>
      </c>
      <c r="C42" s="366" t="s">
        <v>5</v>
      </c>
      <c r="D42" s="366"/>
      <c r="E42" s="366"/>
      <c r="F42" s="366"/>
      <c r="G42" s="10" t="s">
        <v>700</v>
      </c>
      <c r="H42" s="11">
        <v>33.700000000000003</v>
      </c>
      <c r="I42" s="11">
        <v>0</v>
      </c>
      <c r="J42" s="11">
        <f t="shared" si="0"/>
        <v>0</v>
      </c>
      <c r="K42" s="11">
        <f t="shared" si="1"/>
        <v>0</v>
      </c>
      <c r="L42" s="11">
        <f t="shared" si="2"/>
        <v>0</v>
      </c>
      <c r="M42" s="52" t="s">
        <v>575</v>
      </c>
      <c r="Z42" s="11">
        <f t="shared" si="3"/>
        <v>0</v>
      </c>
      <c r="AB42" s="11">
        <f t="shared" si="4"/>
        <v>0</v>
      </c>
      <c r="AC42" s="11">
        <f t="shared" si="5"/>
        <v>0</v>
      </c>
      <c r="AD42" s="11">
        <f t="shared" si="6"/>
        <v>0</v>
      </c>
      <c r="AE42" s="11">
        <f t="shared" si="7"/>
        <v>0</v>
      </c>
      <c r="AF42" s="11">
        <f t="shared" si="8"/>
        <v>0</v>
      </c>
      <c r="AG42" s="11">
        <f t="shared" si="9"/>
        <v>0</v>
      </c>
      <c r="AH42" s="11">
        <f t="shared" si="10"/>
        <v>0</v>
      </c>
      <c r="AI42" s="40" t="s">
        <v>586</v>
      </c>
      <c r="AJ42" s="11">
        <f t="shared" si="11"/>
        <v>0</v>
      </c>
      <c r="AK42" s="11">
        <f t="shared" si="12"/>
        <v>0</v>
      </c>
      <c r="AL42" s="11">
        <f t="shared" si="13"/>
        <v>0</v>
      </c>
      <c r="AN42" s="11">
        <v>21</v>
      </c>
      <c r="AO42" s="11">
        <f>I42*0.372815533980583</f>
        <v>0</v>
      </c>
      <c r="AP42" s="11">
        <f>I42*(1-0.372815533980583)</f>
        <v>0</v>
      </c>
      <c r="AQ42" s="12" t="s">
        <v>841</v>
      </c>
      <c r="AV42" s="11">
        <f t="shared" si="14"/>
        <v>0</v>
      </c>
      <c r="AW42" s="11">
        <f t="shared" si="15"/>
        <v>0</v>
      </c>
      <c r="AX42" s="11">
        <f t="shared" si="16"/>
        <v>0</v>
      </c>
      <c r="AY42" s="12" t="s">
        <v>601</v>
      </c>
      <c r="AZ42" s="12" t="s">
        <v>44</v>
      </c>
      <c r="BA42" s="40" t="s">
        <v>647</v>
      </c>
      <c r="BC42" s="11">
        <f t="shared" si="17"/>
        <v>0</v>
      </c>
      <c r="BD42" s="11">
        <f t="shared" si="18"/>
        <v>0</v>
      </c>
      <c r="BE42" s="11">
        <v>0</v>
      </c>
      <c r="BF42" s="11">
        <f>50</f>
        <v>50</v>
      </c>
      <c r="BH42" s="11">
        <f t="shared" si="19"/>
        <v>0</v>
      </c>
      <c r="BI42" s="11">
        <f t="shared" si="20"/>
        <v>0</v>
      </c>
      <c r="BJ42" s="11">
        <f t="shared" si="21"/>
        <v>0</v>
      </c>
      <c r="BK42" s="11"/>
      <c r="BL42" s="11">
        <v>34</v>
      </c>
    </row>
    <row r="43" spans="1:64" ht="15" customHeight="1">
      <c r="A43" s="9" t="s">
        <v>826</v>
      </c>
      <c r="B43" s="10" t="s">
        <v>210</v>
      </c>
      <c r="C43" s="366" t="s">
        <v>503</v>
      </c>
      <c r="D43" s="366"/>
      <c r="E43" s="366"/>
      <c r="F43" s="366"/>
      <c r="G43" s="10" t="s">
        <v>700</v>
      </c>
      <c r="H43" s="11">
        <v>24.17</v>
      </c>
      <c r="I43" s="11">
        <v>0</v>
      </c>
      <c r="J43" s="11">
        <f t="shared" si="0"/>
        <v>0</v>
      </c>
      <c r="K43" s="11">
        <f t="shared" si="1"/>
        <v>0</v>
      </c>
      <c r="L43" s="11">
        <f t="shared" si="2"/>
        <v>0</v>
      </c>
      <c r="M43" s="52" t="s">
        <v>575</v>
      </c>
      <c r="Z43" s="11">
        <f t="shared" si="3"/>
        <v>0</v>
      </c>
      <c r="AB43" s="11">
        <f t="shared" si="4"/>
        <v>0</v>
      </c>
      <c r="AC43" s="11">
        <f t="shared" si="5"/>
        <v>0</v>
      </c>
      <c r="AD43" s="11">
        <f t="shared" si="6"/>
        <v>0</v>
      </c>
      <c r="AE43" s="11">
        <f t="shared" si="7"/>
        <v>0</v>
      </c>
      <c r="AF43" s="11">
        <f t="shared" si="8"/>
        <v>0</v>
      </c>
      <c r="AG43" s="11">
        <f t="shared" si="9"/>
        <v>0</v>
      </c>
      <c r="AH43" s="11">
        <f t="shared" si="10"/>
        <v>0</v>
      </c>
      <c r="AI43" s="40" t="s">
        <v>586</v>
      </c>
      <c r="AJ43" s="11">
        <f t="shared" si="11"/>
        <v>0</v>
      </c>
      <c r="AK43" s="11">
        <f t="shared" si="12"/>
        <v>0</v>
      </c>
      <c r="AL43" s="11">
        <f t="shared" si="13"/>
        <v>0</v>
      </c>
      <c r="AN43" s="11">
        <v>21</v>
      </c>
      <c r="AO43" s="11">
        <f>I43*0.478189806357326</f>
        <v>0</v>
      </c>
      <c r="AP43" s="11">
        <f>I43*(1-0.478189806357326)</f>
        <v>0</v>
      </c>
      <c r="AQ43" s="12" t="s">
        <v>841</v>
      </c>
      <c r="AV43" s="11">
        <f t="shared" si="14"/>
        <v>0</v>
      </c>
      <c r="AW43" s="11">
        <f t="shared" si="15"/>
        <v>0</v>
      </c>
      <c r="AX43" s="11">
        <f t="shared" si="16"/>
        <v>0</v>
      </c>
      <c r="AY43" s="12" t="s">
        <v>601</v>
      </c>
      <c r="AZ43" s="12" t="s">
        <v>44</v>
      </c>
      <c r="BA43" s="40" t="s">
        <v>647</v>
      </c>
      <c r="BC43" s="11">
        <f t="shared" si="17"/>
        <v>0</v>
      </c>
      <c r="BD43" s="11">
        <f t="shared" si="18"/>
        <v>0</v>
      </c>
      <c r="BE43" s="11">
        <v>0</v>
      </c>
      <c r="BF43" s="11">
        <f>51</f>
        <v>51</v>
      </c>
      <c r="BH43" s="11">
        <f t="shared" si="19"/>
        <v>0</v>
      </c>
      <c r="BI43" s="11">
        <f t="shared" si="20"/>
        <v>0</v>
      </c>
      <c r="BJ43" s="11">
        <f t="shared" si="21"/>
        <v>0</v>
      </c>
      <c r="BK43" s="11"/>
      <c r="BL43" s="11">
        <v>34</v>
      </c>
    </row>
    <row r="44" spans="1:64" ht="15" customHeight="1">
      <c r="A44" s="48" t="s">
        <v>586</v>
      </c>
      <c r="B44" s="49" t="s">
        <v>832</v>
      </c>
      <c r="C44" s="392" t="s">
        <v>630</v>
      </c>
      <c r="D44" s="392"/>
      <c r="E44" s="392"/>
      <c r="F44" s="392"/>
      <c r="G44" s="50" t="s">
        <v>783</v>
      </c>
      <c r="H44" s="50" t="s">
        <v>783</v>
      </c>
      <c r="I44" s="50" t="s">
        <v>783</v>
      </c>
      <c r="J44" s="36">
        <f>SUM(J45:J45)</f>
        <v>0</v>
      </c>
      <c r="K44" s="36">
        <f>SUM(K45:K45)</f>
        <v>0</v>
      </c>
      <c r="L44" s="36">
        <f>SUM(L45:L45)</f>
        <v>0</v>
      </c>
      <c r="M44" s="51" t="s">
        <v>586</v>
      </c>
      <c r="AI44" s="40" t="s">
        <v>586</v>
      </c>
      <c r="AS44" s="36">
        <f>SUM(AJ45:AJ45)</f>
        <v>0</v>
      </c>
      <c r="AT44" s="36">
        <f>SUM(AK45:AK45)</f>
        <v>0</v>
      </c>
      <c r="AU44" s="36">
        <f>SUM(AL45:AL45)</f>
        <v>0</v>
      </c>
    </row>
    <row r="45" spans="1:64" ht="15" customHeight="1">
      <c r="A45" s="9" t="s">
        <v>909</v>
      </c>
      <c r="B45" s="10" t="s">
        <v>20</v>
      </c>
      <c r="C45" s="366" t="s">
        <v>890</v>
      </c>
      <c r="D45" s="366"/>
      <c r="E45" s="366"/>
      <c r="F45" s="366"/>
      <c r="G45" s="10" t="s">
        <v>700</v>
      </c>
      <c r="H45" s="11">
        <v>4.8</v>
      </c>
      <c r="I45" s="11">
        <v>0</v>
      </c>
      <c r="J45" s="11">
        <f>H45*AO45</f>
        <v>0</v>
      </c>
      <c r="K45" s="11">
        <f>H45*AP45</f>
        <v>0</v>
      </c>
      <c r="L45" s="11">
        <f>H45*I45</f>
        <v>0</v>
      </c>
      <c r="M45" s="52" t="s">
        <v>575</v>
      </c>
      <c r="Z45" s="11">
        <f>IF(AQ45="5",BJ45,0)</f>
        <v>0</v>
      </c>
      <c r="AB45" s="11">
        <f>IF(AQ45="1",BH45,0)</f>
        <v>0</v>
      </c>
      <c r="AC45" s="11">
        <f>IF(AQ45="1",BI45,0)</f>
        <v>0</v>
      </c>
      <c r="AD45" s="11">
        <f>IF(AQ45="7",BH45,0)</f>
        <v>0</v>
      </c>
      <c r="AE45" s="11">
        <f>IF(AQ45="7",BI45,0)</f>
        <v>0</v>
      </c>
      <c r="AF45" s="11">
        <f>IF(AQ45="2",BH45,0)</f>
        <v>0</v>
      </c>
      <c r="AG45" s="11">
        <f>IF(AQ45="2",BI45,0)</f>
        <v>0</v>
      </c>
      <c r="AH45" s="11">
        <f>IF(AQ45="0",BJ45,0)</f>
        <v>0</v>
      </c>
      <c r="AI45" s="40" t="s">
        <v>586</v>
      </c>
      <c r="AJ45" s="11">
        <f>IF(AN45=0,L45,0)</f>
        <v>0</v>
      </c>
      <c r="AK45" s="11">
        <f>IF(AN45=15,L45,0)</f>
        <v>0</v>
      </c>
      <c r="AL45" s="11">
        <f>IF(AN45=21,L45,0)</f>
        <v>0</v>
      </c>
      <c r="AN45" s="11">
        <v>21</v>
      </c>
      <c r="AO45" s="11">
        <f>I45*0.492320768662232</f>
        <v>0</v>
      </c>
      <c r="AP45" s="11">
        <f>I45*(1-0.492320768662232)</f>
        <v>0</v>
      </c>
      <c r="AQ45" s="12" t="s">
        <v>841</v>
      </c>
      <c r="AV45" s="11">
        <f>AW45+AX45</f>
        <v>0</v>
      </c>
      <c r="AW45" s="11">
        <f>H45*AO45</f>
        <v>0</v>
      </c>
      <c r="AX45" s="11">
        <f>H45*AP45</f>
        <v>0</v>
      </c>
      <c r="AY45" s="12" t="s">
        <v>610</v>
      </c>
      <c r="AZ45" s="12" t="s">
        <v>699</v>
      </c>
      <c r="BA45" s="40" t="s">
        <v>647</v>
      </c>
      <c r="BC45" s="11">
        <f>AW45+AX45</f>
        <v>0</v>
      </c>
      <c r="BD45" s="11">
        <f>I45/(100-BE45)*100</f>
        <v>0</v>
      </c>
      <c r="BE45" s="11">
        <v>0</v>
      </c>
      <c r="BF45" s="11">
        <f>53</f>
        <v>53</v>
      </c>
      <c r="BH45" s="11">
        <f>H45*AO45</f>
        <v>0</v>
      </c>
      <c r="BI45" s="11">
        <f>H45*AP45</f>
        <v>0</v>
      </c>
      <c r="BJ45" s="11">
        <f>H45*I45</f>
        <v>0</v>
      </c>
      <c r="BK45" s="11"/>
      <c r="BL45" s="11">
        <v>41</v>
      </c>
    </row>
    <row r="46" spans="1:64" ht="13.5" customHeight="1">
      <c r="A46" s="53"/>
      <c r="B46" s="54" t="s">
        <v>440</v>
      </c>
      <c r="C46" s="394" t="s">
        <v>177</v>
      </c>
      <c r="D46" s="395"/>
      <c r="E46" s="395"/>
      <c r="F46" s="395"/>
      <c r="G46" s="395"/>
      <c r="H46" s="395"/>
      <c r="I46" s="395"/>
      <c r="J46" s="395"/>
      <c r="K46" s="395"/>
      <c r="L46" s="395"/>
      <c r="M46" s="396"/>
    </row>
    <row r="47" spans="1:64" ht="15" customHeight="1">
      <c r="A47" s="48" t="s">
        <v>586</v>
      </c>
      <c r="B47" s="49" t="s">
        <v>535</v>
      </c>
      <c r="C47" s="392" t="s">
        <v>564</v>
      </c>
      <c r="D47" s="392"/>
      <c r="E47" s="392"/>
      <c r="F47" s="392"/>
      <c r="G47" s="50" t="s">
        <v>783</v>
      </c>
      <c r="H47" s="50" t="s">
        <v>783</v>
      </c>
      <c r="I47" s="50" t="s">
        <v>783</v>
      </c>
      <c r="J47" s="36">
        <f>SUM(J48:J49)</f>
        <v>0</v>
      </c>
      <c r="K47" s="36">
        <f>SUM(K48:K49)</f>
        <v>0</v>
      </c>
      <c r="L47" s="36">
        <f>SUM(L48:L49)</f>
        <v>0</v>
      </c>
      <c r="M47" s="51" t="s">
        <v>586</v>
      </c>
      <c r="AI47" s="40" t="s">
        <v>586</v>
      </c>
      <c r="AS47" s="36">
        <f>SUM(AJ48:AJ49)</f>
        <v>0</v>
      </c>
      <c r="AT47" s="36">
        <f>SUM(AK48:AK49)</f>
        <v>0</v>
      </c>
      <c r="AU47" s="36">
        <f>SUM(AL48:AL49)</f>
        <v>0</v>
      </c>
    </row>
    <row r="48" spans="1:64" ht="15" customHeight="1">
      <c r="A48" s="9" t="s">
        <v>61</v>
      </c>
      <c r="B48" s="10" t="s">
        <v>59</v>
      </c>
      <c r="C48" s="366" t="s">
        <v>33</v>
      </c>
      <c r="D48" s="366"/>
      <c r="E48" s="366"/>
      <c r="F48" s="366"/>
      <c r="G48" s="10" t="s">
        <v>830</v>
      </c>
      <c r="H48" s="11">
        <v>21.15</v>
      </c>
      <c r="I48" s="11">
        <v>0</v>
      </c>
      <c r="J48" s="11">
        <f>H48*AO48</f>
        <v>0</v>
      </c>
      <c r="K48" s="11">
        <f>H48*AP48</f>
        <v>0</v>
      </c>
      <c r="L48" s="11">
        <f>H48*I48</f>
        <v>0</v>
      </c>
      <c r="M48" s="52" t="s">
        <v>575</v>
      </c>
      <c r="Z48" s="11">
        <f>IF(AQ48="5",BJ48,0)</f>
        <v>0</v>
      </c>
      <c r="AB48" s="11">
        <f>IF(AQ48="1",BH48,0)</f>
        <v>0</v>
      </c>
      <c r="AC48" s="11">
        <f>IF(AQ48="1",BI48,0)</f>
        <v>0</v>
      </c>
      <c r="AD48" s="11">
        <f>IF(AQ48="7",BH48,0)</f>
        <v>0</v>
      </c>
      <c r="AE48" s="11">
        <f>IF(AQ48="7",BI48,0)</f>
        <v>0</v>
      </c>
      <c r="AF48" s="11">
        <f>IF(AQ48="2",BH48,0)</f>
        <v>0</v>
      </c>
      <c r="AG48" s="11">
        <f>IF(AQ48="2",BI48,0)</f>
        <v>0</v>
      </c>
      <c r="AH48" s="11">
        <f>IF(AQ48="0",BJ48,0)</f>
        <v>0</v>
      </c>
      <c r="AI48" s="40" t="s">
        <v>586</v>
      </c>
      <c r="AJ48" s="11">
        <f>IF(AN48=0,L48,0)</f>
        <v>0</v>
      </c>
      <c r="AK48" s="11">
        <f>IF(AN48=15,L48,0)</f>
        <v>0</v>
      </c>
      <c r="AL48" s="11">
        <f>IF(AN48=21,L48,0)</f>
        <v>0</v>
      </c>
      <c r="AN48" s="11">
        <v>21</v>
      </c>
      <c r="AO48" s="11">
        <f>I48*0.89984271572723</f>
        <v>0</v>
      </c>
      <c r="AP48" s="11">
        <f>I48*(1-0.89984271572723)</f>
        <v>0</v>
      </c>
      <c r="AQ48" s="12" t="s">
        <v>841</v>
      </c>
      <c r="AV48" s="11">
        <f>AW48+AX48</f>
        <v>0</v>
      </c>
      <c r="AW48" s="11">
        <f>H48*AO48</f>
        <v>0</v>
      </c>
      <c r="AX48" s="11">
        <f>H48*AP48</f>
        <v>0</v>
      </c>
      <c r="AY48" s="12" t="s">
        <v>883</v>
      </c>
      <c r="AZ48" s="12" t="s">
        <v>516</v>
      </c>
      <c r="BA48" s="40" t="s">
        <v>647</v>
      </c>
      <c r="BC48" s="11">
        <f>AW48+AX48</f>
        <v>0</v>
      </c>
      <c r="BD48" s="11">
        <f>I48/(100-BE48)*100</f>
        <v>0</v>
      </c>
      <c r="BE48" s="11">
        <v>0</v>
      </c>
      <c r="BF48" s="11">
        <f>56</f>
        <v>56</v>
      </c>
      <c r="BH48" s="11">
        <f>H48*AO48</f>
        <v>0</v>
      </c>
      <c r="BI48" s="11">
        <f>H48*AP48</f>
        <v>0</v>
      </c>
      <c r="BJ48" s="11">
        <f>H48*I48</f>
        <v>0</v>
      </c>
      <c r="BK48" s="11"/>
      <c r="BL48" s="11">
        <v>56</v>
      </c>
    </row>
    <row r="49" spans="1:64" ht="15" customHeight="1">
      <c r="A49" s="9" t="s">
        <v>545</v>
      </c>
      <c r="B49" s="10" t="s">
        <v>99</v>
      </c>
      <c r="C49" s="366" t="s">
        <v>430</v>
      </c>
      <c r="D49" s="366"/>
      <c r="E49" s="366"/>
      <c r="F49" s="366"/>
      <c r="G49" s="10" t="s">
        <v>830</v>
      </c>
      <c r="H49" s="11">
        <v>21.15</v>
      </c>
      <c r="I49" s="11">
        <v>0</v>
      </c>
      <c r="J49" s="11">
        <f>H49*AO49</f>
        <v>0</v>
      </c>
      <c r="K49" s="11">
        <f>H49*AP49</f>
        <v>0</v>
      </c>
      <c r="L49" s="11">
        <f>H49*I49</f>
        <v>0</v>
      </c>
      <c r="M49" s="52" t="s">
        <v>575</v>
      </c>
      <c r="Z49" s="11">
        <f>IF(AQ49="5",BJ49,0)</f>
        <v>0</v>
      </c>
      <c r="AB49" s="11">
        <f>IF(AQ49="1",BH49,0)</f>
        <v>0</v>
      </c>
      <c r="AC49" s="11">
        <f>IF(AQ49="1",BI49,0)</f>
        <v>0</v>
      </c>
      <c r="AD49" s="11">
        <f>IF(AQ49="7",BH49,0)</f>
        <v>0</v>
      </c>
      <c r="AE49" s="11">
        <f>IF(AQ49="7",BI49,0)</f>
        <v>0</v>
      </c>
      <c r="AF49" s="11">
        <f>IF(AQ49="2",BH49,0)</f>
        <v>0</v>
      </c>
      <c r="AG49" s="11">
        <f>IF(AQ49="2",BI49,0)</f>
        <v>0</v>
      </c>
      <c r="AH49" s="11">
        <f>IF(AQ49="0",BJ49,0)</f>
        <v>0</v>
      </c>
      <c r="AI49" s="40" t="s">
        <v>586</v>
      </c>
      <c r="AJ49" s="11">
        <f>IF(AN49=0,L49,0)</f>
        <v>0</v>
      </c>
      <c r="AK49" s="11">
        <f>IF(AN49=15,L49,0)</f>
        <v>0</v>
      </c>
      <c r="AL49" s="11">
        <f>IF(AN49=21,L49,0)</f>
        <v>0</v>
      </c>
      <c r="AN49" s="11">
        <v>21</v>
      </c>
      <c r="AO49" s="11">
        <f>I49*0.857604067148901</f>
        <v>0</v>
      </c>
      <c r="AP49" s="11">
        <f>I49*(1-0.857604067148901)</f>
        <v>0</v>
      </c>
      <c r="AQ49" s="12" t="s">
        <v>841</v>
      </c>
      <c r="AV49" s="11">
        <f>AW49+AX49</f>
        <v>0</v>
      </c>
      <c r="AW49" s="11">
        <f>H49*AO49</f>
        <v>0</v>
      </c>
      <c r="AX49" s="11">
        <f>H49*AP49</f>
        <v>0</v>
      </c>
      <c r="AY49" s="12" t="s">
        <v>883</v>
      </c>
      <c r="AZ49" s="12" t="s">
        <v>516</v>
      </c>
      <c r="BA49" s="40" t="s">
        <v>647</v>
      </c>
      <c r="BC49" s="11">
        <f>AW49+AX49</f>
        <v>0</v>
      </c>
      <c r="BD49" s="11">
        <f>I49/(100-BE49)*100</f>
        <v>0</v>
      </c>
      <c r="BE49" s="11">
        <v>0</v>
      </c>
      <c r="BF49" s="11">
        <f>57</f>
        <v>57</v>
      </c>
      <c r="BH49" s="11">
        <f>H49*AO49</f>
        <v>0</v>
      </c>
      <c r="BI49" s="11">
        <f>H49*AP49</f>
        <v>0</v>
      </c>
      <c r="BJ49" s="11">
        <f>H49*I49</f>
        <v>0</v>
      </c>
      <c r="BK49" s="11"/>
      <c r="BL49" s="11">
        <v>56</v>
      </c>
    </row>
    <row r="50" spans="1:64" ht="15" customHeight="1">
      <c r="A50" s="48" t="s">
        <v>586</v>
      </c>
      <c r="B50" s="49" t="s">
        <v>399</v>
      </c>
      <c r="C50" s="392" t="s">
        <v>794</v>
      </c>
      <c r="D50" s="392"/>
      <c r="E50" s="392"/>
      <c r="F50" s="392"/>
      <c r="G50" s="50" t="s">
        <v>783</v>
      </c>
      <c r="H50" s="50" t="s">
        <v>783</v>
      </c>
      <c r="I50" s="50" t="s">
        <v>783</v>
      </c>
      <c r="J50" s="36">
        <f>SUM(J51:J52)</f>
        <v>0</v>
      </c>
      <c r="K50" s="36">
        <f>SUM(K51:K52)</f>
        <v>0</v>
      </c>
      <c r="L50" s="36">
        <f>SUM(L51:L52)</f>
        <v>0</v>
      </c>
      <c r="M50" s="51" t="s">
        <v>586</v>
      </c>
      <c r="AI50" s="40" t="s">
        <v>586</v>
      </c>
      <c r="AS50" s="36">
        <f>SUM(AJ51:AJ52)</f>
        <v>0</v>
      </c>
      <c r="AT50" s="36">
        <f>SUM(AK51:AK52)</f>
        <v>0</v>
      </c>
      <c r="AU50" s="36">
        <f>SUM(AL51:AL52)</f>
        <v>0</v>
      </c>
    </row>
    <row r="51" spans="1:64" ht="15" customHeight="1">
      <c r="A51" s="9" t="s">
        <v>506</v>
      </c>
      <c r="B51" s="10" t="s">
        <v>348</v>
      </c>
      <c r="C51" s="366" t="s">
        <v>303</v>
      </c>
      <c r="D51" s="366"/>
      <c r="E51" s="366"/>
      <c r="F51" s="366"/>
      <c r="G51" s="10" t="s">
        <v>830</v>
      </c>
      <c r="H51" s="11">
        <v>21.15</v>
      </c>
      <c r="I51" s="11">
        <v>0</v>
      </c>
      <c r="J51" s="11">
        <f>H51*AO51</f>
        <v>0</v>
      </c>
      <c r="K51" s="11">
        <f>H51*AP51</f>
        <v>0</v>
      </c>
      <c r="L51" s="11">
        <f>H51*I51</f>
        <v>0</v>
      </c>
      <c r="M51" s="52" t="s">
        <v>575</v>
      </c>
      <c r="Z51" s="11">
        <f>IF(AQ51="5",BJ51,0)</f>
        <v>0</v>
      </c>
      <c r="AB51" s="11">
        <f>IF(AQ51="1",BH51,0)</f>
        <v>0</v>
      </c>
      <c r="AC51" s="11">
        <f>IF(AQ51="1",BI51,0)</f>
        <v>0</v>
      </c>
      <c r="AD51" s="11">
        <f>IF(AQ51="7",BH51,0)</f>
        <v>0</v>
      </c>
      <c r="AE51" s="11">
        <f>IF(AQ51="7",BI51,0)</f>
        <v>0</v>
      </c>
      <c r="AF51" s="11">
        <f>IF(AQ51="2",BH51,0)</f>
        <v>0</v>
      </c>
      <c r="AG51" s="11">
        <f>IF(AQ51="2",BI51,0)</f>
        <v>0</v>
      </c>
      <c r="AH51" s="11">
        <f>IF(AQ51="0",BJ51,0)</f>
        <v>0</v>
      </c>
      <c r="AI51" s="40" t="s">
        <v>586</v>
      </c>
      <c r="AJ51" s="11">
        <f>IF(AN51=0,L51,0)</f>
        <v>0</v>
      </c>
      <c r="AK51" s="11">
        <f>IF(AN51=15,L51,0)</f>
        <v>0</v>
      </c>
      <c r="AL51" s="11">
        <f>IF(AN51=21,L51,0)</f>
        <v>0</v>
      </c>
      <c r="AN51" s="11">
        <v>21</v>
      </c>
      <c r="AO51" s="11">
        <f>I51*0.142144364190781</f>
        <v>0</v>
      </c>
      <c r="AP51" s="11">
        <f>I51*(1-0.142144364190781)</f>
        <v>0</v>
      </c>
      <c r="AQ51" s="12" t="s">
        <v>841</v>
      </c>
      <c r="AV51" s="11">
        <f>AW51+AX51</f>
        <v>0</v>
      </c>
      <c r="AW51" s="11">
        <f>H51*AO51</f>
        <v>0</v>
      </c>
      <c r="AX51" s="11">
        <f>H51*AP51</f>
        <v>0</v>
      </c>
      <c r="AY51" s="12" t="s">
        <v>833</v>
      </c>
      <c r="AZ51" s="12" t="s">
        <v>516</v>
      </c>
      <c r="BA51" s="40" t="s">
        <v>647</v>
      </c>
      <c r="BC51" s="11">
        <f>AW51+AX51</f>
        <v>0</v>
      </c>
      <c r="BD51" s="11">
        <f>I51/(100-BE51)*100</f>
        <v>0</v>
      </c>
      <c r="BE51" s="11">
        <v>0</v>
      </c>
      <c r="BF51" s="11">
        <f>59</f>
        <v>59</v>
      </c>
      <c r="BH51" s="11">
        <f>H51*AO51</f>
        <v>0</v>
      </c>
      <c r="BI51" s="11">
        <f>H51*AP51</f>
        <v>0</v>
      </c>
      <c r="BJ51" s="11">
        <f>H51*I51</f>
        <v>0</v>
      </c>
      <c r="BK51" s="11"/>
      <c r="BL51" s="11">
        <v>59</v>
      </c>
    </row>
    <row r="52" spans="1:64" ht="15" customHeight="1">
      <c r="A52" s="9" t="s">
        <v>712</v>
      </c>
      <c r="B52" s="10" t="s">
        <v>810</v>
      </c>
      <c r="C52" s="366" t="s">
        <v>949</v>
      </c>
      <c r="D52" s="366"/>
      <c r="E52" s="366"/>
      <c r="F52" s="366"/>
      <c r="G52" s="10" t="s">
        <v>830</v>
      </c>
      <c r="H52" s="11">
        <v>22.841999999999999</v>
      </c>
      <c r="I52" s="11">
        <v>0</v>
      </c>
      <c r="J52" s="11">
        <f>H52*AO52</f>
        <v>0</v>
      </c>
      <c r="K52" s="11">
        <f>H52*AP52</f>
        <v>0</v>
      </c>
      <c r="L52" s="11">
        <f>H52*I52</f>
        <v>0</v>
      </c>
      <c r="M52" s="52" t="s">
        <v>575</v>
      </c>
      <c r="Z52" s="11">
        <f>IF(AQ52="5",BJ52,0)</f>
        <v>0</v>
      </c>
      <c r="AB52" s="11">
        <f>IF(AQ52="1",BH52,0)</f>
        <v>0</v>
      </c>
      <c r="AC52" s="11">
        <f>IF(AQ52="1",BI52,0)</f>
        <v>0</v>
      </c>
      <c r="AD52" s="11">
        <f>IF(AQ52="7",BH52,0)</f>
        <v>0</v>
      </c>
      <c r="AE52" s="11">
        <f>IF(AQ52="7",BI52,0)</f>
        <v>0</v>
      </c>
      <c r="AF52" s="11">
        <f>IF(AQ52="2",BH52,0)</f>
        <v>0</v>
      </c>
      <c r="AG52" s="11">
        <f>IF(AQ52="2",BI52,0)</f>
        <v>0</v>
      </c>
      <c r="AH52" s="11">
        <f>IF(AQ52="0",BJ52,0)</f>
        <v>0</v>
      </c>
      <c r="AI52" s="40" t="s">
        <v>586</v>
      </c>
      <c r="AJ52" s="11">
        <f>IF(AN52=0,L52,0)</f>
        <v>0</v>
      </c>
      <c r="AK52" s="11">
        <f>IF(AN52=15,L52,0)</f>
        <v>0</v>
      </c>
      <c r="AL52" s="11">
        <f>IF(AN52=21,L52,0)</f>
        <v>0</v>
      </c>
      <c r="AN52" s="11">
        <v>21</v>
      </c>
      <c r="AO52" s="11">
        <f>I52*1</f>
        <v>0</v>
      </c>
      <c r="AP52" s="11">
        <f>I52*(1-1)</f>
        <v>0</v>
      </c>
      <c r="AQ52" s="12" t="s">
        <v>841</v>
      </c>
      <c r="AV52" s="11">
        <f>AW52+AX52</f>
        <v>0</v>
      </c>
      <c r="AW52" s="11">
        <f>H52*AO52</f>
        <v>0</v>
      </c>
      <c r="AX52" s="11">
        <f>H52*AP52</f>
        <v>0</v>
      </c>
      <c r="AY52" s="12" t="s">
        <v>833</v>
      </c>
      <c r="AZ52" s="12" t="s">
        <v>516</v>
      </c>
      <c r="BA52" s="40" t="s">
        <v>647</v>
      </c>
      <c r="BC52" s="11">
        <f>AW52+AX52</f>
        <v>0</v>
      </c>
      <c r="BD52" s="11">
        <f>I52/(100-BE52)*100</f>
        <v>0</v>
      </c>
      <c r="BE52" s="11">
        <v>0</v>
      </c>
      <c r="BF52" s="11">
        <f>60</f>
        <v>60</v>
      </c>
      <c r="BH52" s="11">
        <f>H52*AO52</f>
        <v>0</v>
      </c>
      <c r="BI52" s="11">
        <f>H52*AP52</f>
        <v>0</v>
      </c>
      <c r="BJ52" s="11">
        <f>H52*I52</f>
        <v>0</v>
      </c>
      <c r="BK52" s="11"/>
      <c r="BL52" s="11">
        <v>59</v>
      </c>
    </row>
    <row r="53" spans="1:64" ht="15" customHeight="1">
      <c r="A53" s="48" t="s">
        <v>586</v>
      </c>
      <c r="B53" s="49" t="s">
        <v>611</v>
      </c>
      <c r="C53" s="392" t="s">
        <v>605</v>
      </c>
      <c r="D53" s="392"/>
      <c r="E53" s="392"/>
      <c r="F53" s="392"/>
      <c r="G53" s="50" t="s">
        <v>783</v>
      </c>
      <c r="H53" s="50" t="s">
        <v>783</v>
      </c>
      <c r="I53" s="50" t="s">
        <v>783</v>
      </c>
      <c r="J53" s="36">
        <f>SUM(J54:J65)</f>
        <v>0</v>
      </c>
      <c r="K53" s="36">
        <f>SUM(K54:K65)</f>
        <v>0</v>
      </c>
      <c r="L53" s="36">
        <f>SUM(L54:L65)</f>
        <v>0</v>
      </c>
      <c r="M53" s="51" t="s">
        <v>586</v>
      </c>
      <c r="AI53" s="40" t="s">
        <v>586</v>
      </c>
      <c r="AS53" s="36">
        <f>SUM(AJ54:AJ65)</f>
        <v>0</v>
      </c>
      <c r="AT53" s="36">
        <f>SUM(AK54:AK65)</f>
        <v>0</v>
      </c>
      <c r="AU53" s="36">
        <f>SUM(AL54:AL65)</f>
        <v>0</v>
      </c>
    </row>
    <row r="54" spans="1:64" ht="15" customHeight="1">
      <c r="A54" s="9" t="s">
        <v>187</v>
      </c>
      <c r="B54" s="10" t="s">
        <v>252</v>
      </c>
      <c r="C54" s="366" t="s">
        <v>942</v>
      </c>
      <c r="D54" s="366"/>
      <c r="E54" s="366"/>
      <c r="F54" s="366"/>
      <c r="G54" s="10" t="s">
        <v>830</v>
      </c>
      <c r="H54" s="11">
        <v>255.78</v>
      </c>
      <c r="I54" s="11">
        <v>0</v>
      </c>
      <c r="J54" s="11">
        <f>H54*AO54</f>
        <v>0</v>
      </c>
      <c r="K54" s="11">
        <f>H54*AP54</f>
        <v>0</v>
      </c>
      <c r="L54" s="11">
        <f>H54*I54</f>
        <v>0</v>
      </c>
      <c r="M54" s="52" t="s">
        <v>575</v>
      </c>
      <c r="Z54" s="11">
        <f>IF(AQ54="5",BJ54,0)</f>
        <v>0</v>
      </c>
      <c r="AB54" s="11">
        <f>IF(AQ54="1",BH54,0)</f>
        <v>0</v>
      </c>
      <c r="AC54" s="11">
        <f>IF(AQ54="1",BI54,0)</f>
        <v>0</v>
      </c>
      <c r="AD54" s="11">
        <f>IF(AQ54="7",BH54,0)</f>
        <v>0</v>
      </c>
      <c r="AE54" s="11">
        <f>IF(AQ54="7",BI54,0)</f>
        <v>0</v>
      </c>
      <c r="AF54" s="11">
        <f>IF(AQ54="2",BH54,0)</f>
        <v>0</v>
      </c>
      <c r="AG54" s="11">
        <f>IF(AQ54="2",BI54,0)</f>
        <v>0</v>
      </c>
      <c r="AH54" s="11">
        <f>IF(AQ54="0",BJ54,0)</f>
        <v>0</v>
      </c>
      <c r="AI54" s="40" t="s">
        <v>586</v>
      </c>
      <c r="AJ54" s="11">
        <f>IF(AN54=0,L54,0)</f>
        <v>0</v>
      </c>
      <c r="AK54" s="11">
        <f>IF(AN54=15,L54,0)</f>
        <v>0</v>
      </c>
      <c r="AL54" s="11">
        <f>IF(AN54=21,L54,0)</f>
        <v>0</v>
      </c>
      <c r="AN54" s="11">
        <v>21</v>
      </c>
      <c r="AO54" s="11">
        <f>I54*0.152670503917237</f>
        <v>0</v>
      </c>
      <c r="AP54" s="11">
        <f>I54*(1-0.152670503917237)</f>
        <v>0</v>
      </c>
      <c r="AQ54" s="12" t="s">
        <v>841</v>
      </c>
      <c r="AV54" s="11">
        <f>AW54+AX54</f>
        <v>0</v>
      </c>
      <c r="AW54" s="11">
        <f>H54*AO54</f>
        <v>0</v>
      </c>
      <c r="AX54" s="11">
        <f>H54*AP54</f>
        <v>0</v>
      </c>
      <c r="AY54" s="12" t="s">
        <v>532</v>
      </c>
      <c r="AZ54" s="12" t="s">
        <v>107</v>
      </c>
      <c r="BA54" s="40" t="s">
        <v>647</v>
      </c>
      <c r="BC54" s="11">
        <f>AW54+AX54</f>
        <v>0</v>
      </c>
      <c r="BD54" s="11">
        <f>I54/(100-BE54)*100</f>
        <v>0</v>
      </c>
      <c r="BE54" s="11">
        <v>0</v>
      </c>
      <c r="BF54" s="11">
        <f>62</f>
        <v>62</v>
      </c>
      <c r="BH54" s="11">
        <f>H54*AO54</f>
        <v>0</v>
      </c>
      <c r="BI54" s="11">
        <f>H54*AP54</f>
        <v>0</v>
      </c>
      <c r="BJ54" s="11">
        <f>H54*I54</f>
        <v>0</v>
      </c>
      <c r="BK54" s="11"/>
      <c r="BL54" s="11">
        <v>61</v>
      </c>
    </row>
    <row r="55" spans="1:64" ht="13.5" customHeight="1">
      <c r="A55" s="53"/>
      <c r="B55" s="54" t="s">
        <v>440</v>
      </c>
      <c r="C55" s="394" t="s">
        <v>837</v>
      </c>
      <c r="D55" s="395"/>
      <c r="E55" s="395"/>
      <c r="F55" s="395"/>
      <c r="G55" s="395"/>
      <c r="H55" s="395"/>
      <c r="I55" s="395"/>
      <c r="J55" s="395"/>
      <c r="K55" s="395"/>
      <c r="L55" s="395"/>
      <c r="M55" s="396"/>
    </row>
    <row r="56" spans="1:64" ht="15" customHeight="1">
      <c r="A56" s="9" t="s">
        <v>932</v>
      </c>
      <c r="B56" s="10" t="s">
        <v>807</v>
      </c>
      <c r="C56" s="366" t="s">
        <v>69</v>
      </c>
      <c r="D56" s="366"/>
      <c r="E56" s="366"/>
      <c r="F56" s="366"/>
      <c r="G56" s="10" t="s">
        <v>830</v>
      </c>
      <c r="H56" s="11">
        <v>140.63999999999999</v>
      </c>
      <c r="I56" s="11">
        <v>0</v>
      </c>
      <c r="J56" s="11">
        <f>H56*AO56</f>
        <v>0</v>
      </c>
      <c r="K56" s="11">
        <f>H56*AP56</f>
        <v>0</v>
      </c>
      <c r="L56" s="11">
        <f>H56*I56</f>
        <v>0</v>
      </c>
      <c r="M56" s="52" t="s">
        <v>575</v>
      </c>
      <c r="Z56" s="11">
        <f>IF(AQ56="5",BJ56,0)</f>
        <v>0</v>
      </c>
      <c r="AB56" s="11">
        <f>IF(AQ56="1",BH56,0)</f>
        <v>0</v>
      </c>
      <c r="AC56" s="11">
        <f>IF(AQ56="1",BI56,0)</f>
        <v>0</v>
      </c>
      <c r="AD56" s="11">
        <f>IF(AQ56="7",BH56,0)</f>
        <v>0</v>
      </c>
      <c r="AE56" s="11">
        <f>IF(AQ56="7",BI56,0)</f>
        <v>0</v>
      </c>
      <c r="AF56" s="11">
        <f>IF(AQ56="2",BH56,0)</f>
        <v>0</v>
      </c>
      <c r="AG56" s="11">
        <f>IF(AQ56="2",BI56,0)</f>
        <v>0</v>
      </c>
      <c r="AH56" s="11">
        <f>IF(AQ56="0",BJ56,0)</f>
        <v>0</v>
      </c>
      <c r="AI56" s="40" t="s">
        <v>586</v>
      </c>
      <c r="AJ56" s="11">
        <f>IF(AN56=0,L56,0)</f>
        <v>0</v>
      </c>
      <c r="AK56" s="11">
        <f>IF(AN56=15,L56,0)</f>
        <v>0</v>
      </c>
      <c r="AL56" s="11">
        <f>IF(AN56=21,L56,0)</f>
        <v>0</v>
      </c>
      <c r="AN56" s="11">
        <v>21</v>
      </c>
      <c r="AO56" s="11">
        <f>I56*0.134005520467836</f>
        <v>0</v>
      </c>
      <c r="AP56" s="11">
        <f>I56*(1-0.134005520467836)</f>
        <v>0</v>
      </c>
      <c r="AQ56" s="12" t="s">
        <v>841</v>
      </c>
      <c r="AV56" s="11">
        <f>AW56+AX56</f>
        <v>0</v>
      </c>
      <c r="AW56" s="11">
        <f>H56*AO56</f>
        <v>0</v>
      </c>
      <c r="AX56" s="11">
        <f>H56*AP56</f>
        <v>0</v>
      </c>
      <c r="AY56" s="12" t="s">
        <v>532</v>
      </c>
      <c r="AZ56" s="12" t="s">
        <v>107</v>
      </c>
      <c r="BA56" s="40" t="s">
        <v>647</v>
      </c>
      <c r="BC56" s="11">
        <f>AW56+AX56</f>
        <v>0</v>
      </c>
      <c r="BD56" s="11">
        <f>I56/(100-BE56)*100</f>
        <v>0</v>
      </c>
      <c r="BE56" s="11">
        <v>0</v>
      </c>
      <c r="BF56" s="11">
        <f>64</f>
        <v>64</v>
      </c>
      <c r="BH56" s="11">
        <f>H56*AO56</f>
        <v>0</v>
      </c>
      <c r="BI56" s="11">
        <f>H56*AP56</f>
        <v>0</v>
      </c>
      <c r="BJ56" s="11">
        <f>H56*I56</f>
        <v>0</v>
      </c>
      <c r="BK56" s="11"/>
      <c r="BL56" s="11">
        <v>61</v>
      </c>
    </row>
    <row r="57" spans="1:64" ht="13.5" customHeight="1">
      <c r="A57" s="53"/>
      <c r="B57" s="54" t="s">
        <v>440</v>
      </c>
      <c r="C57" s="394" t="s">
        <v>698</v>
      </c>
      <c r="D57" s="395"/>
      <c r="E57" s="395"/>
      <c r="F57" s="395"/>
      <c r="G57" s="395"/>
      <c r="H57" s="395"/>
      <c r="I57" s="395"/>
      <c r="J57" s="395"/>
      <c r="K57" s="395"/>
      <c r="L57" s="395"/>
      <c r="M57" s="396"/>
    </row>
    <row r="58" spans="1:64" ht="15" customHeight="1">
      <c r="A58" s="9" t="s">
        <v>747</v>
      </c>
      <c r="B58" s="10" t="s">
        <v>239</v>
      </c>
      <c r="C58" s="366" t="s">
        <v>936</v>
      </c>
      <c r="D58" s="366"/>
      <c r="E58" s="366"/>
      <c r="F58" s="366"/>
      <c r="G58" s="10" t="s">
        <v>830</v>
      </c>
      <c r="H58" s="11">
        <v>203.82</v>
      </c>
      <c r="I58" s="11">
        <v>0</v>
      </c>
      <c r="J58" s="11">
        <f>H58*AO58</f>
        <v>0</v>
      </c>
      <c r="K58" s="11">
        <f>H58*AP58</f>
        <v>0</v>
      </c>
      <c r="L58" s="11">
        <f>H58*I58</f>
        <v>0</v>
      </c>
      <c r="M58" s="52" t="s">
        <v>575</v>
      </c>
      <c r="Z58" s="11">
        <f>IF(AQ58="5",BJ58,0)</f>
        <v>0</v>
      </c>
      <c r="AB58" s="11">
        <f>IF(AQ58="1",BH58,0)</f>
        <v>0</v>
      </c>
      <c r="AC58" s="11">
        <f>IF(AQ58="1",BI58,0)</f>
        <v>0</v>
      </c>
      <c r="AD58" s="11">
        <f>IF(AQ58="7",BH58,0)</f>
        <v>0</v>
      </c>
      <c r="AE58" s="11">
        <f>IF(AQ58="7",BI58,0)</f>
        <v>0</v>
      </c>
      <c r="AF58" s="11">
        <f>IF(AQ58="2",BH58,0)</f>
        <v>0</v>
      </c>
      <c r="AG58" s="11">
        <f>IF(AQ58="2",BI58,0)</f>
        <v>0</v>
      </c>
      <c r="AH58" s="11">
        <f>IF(AQ58="0",BJ58,0)</f>
        <v>0</v>
      </c>
      <c r="AI58" s="40" t="s">
        <v>586</v>
      </c>
      <c r="AJ58" s="11">
        <f>IF(AN58=0,L58,0)</f>
        <v>0</v>
      </c>
      <c r="AK58" s="11">
        <f>IF(AN58=15,L58,0)</f>
        <v>0</v>
      </c>
      <c r="AL58" s="11">
        <f>IF(AN58=21,L58,0)</f>
        <v>0</v>
      </c>
      <c r="AN58" s="11">
        <v>21</v>
      </c>
      <c r="AO58" s="11">
        <f>I58*0.284066958377131</f>
        <v>0</v>
      </c>
      <c r="AP58" s="11">
        <f>I58*(1-0.284066958377131)</f>
        <v>0</v>
      </c>
      <c r="AQ58" s="12" t="s">
        <v>841</v>
      </c>
      <c r="AV58" s="11">
        <f>AW58+AX58</f>
        <v>0</v>
      </c>
      <c r="AW58" s="11">
        <f>H58*AO58</f>
        <v>0</v>
      </c>
      <c r="AX58" s="11">
        <f>H58*AP58</f>
        <v>0</v>
      </c>
      <c r="AY58" s="12" t="s">
        <v>532</v>
      </c>
      <c r="AZ58" s="12" t="s">
        <v>107</v>
      </c>
      <c r="BA58" s="40" t="s">
        <v>647</v>
      </c>
      <c r="BC58" s="11">
        <f>AW58+AX58</f>
        <v>0</v>
      </c>
      <c r="BD58" s="11">
        <f>I58/(100-BE58)*100</f>
        <v>0</v>
      </c>
      <c r="BE58" s="11">
        <v>0</v>
      </c>
      <c r="BF58" s="11">
        <f>66</f>
        <v>66</v>
      </c>
      <c r="BH58" s="11">
        <f>H58*AO58</f>
        <v>0</v>
      </c>
      <c r="BI58" s="11">
        <f>H58*AP58</f>
        <v>0</v>
      </c>
      <c r="BJ58" s="11">
        <f>H58*I58</f>
        <v>0</v>
      </c>
      <c r="BK58" s="11"/>
      <c r="BL58" s="11">
        <v>61</v>
      </c>
    </row>
    <row r="59" spans="1:64" ht="13.5" customHeight="1">
      <c r="A59" s="53"/>
      <c r="B59" s="54" t="s">
        <v>440</v>
      </c>
      <c r="C59" s="394" t="s">
        <v>488</v>
      </c>
      <c r="D59" s="395"/>
      <c r="E59" s="395"/>
      <c r="F59" s="395"/>
      <c r="G59" s="395"/>
      <c r="H59" s="395"/>
      <c r="I59" s="395"/>
      <c r="J59" s="395"/>
      <c r="K59" s="395"/>
      <c r="L59" s="395"/>
      <c r="M59" s="396"/>
    </row>
    <row r="60" spans="1:64" ht="15" customHeight="1">
      <c r="A60" s="9" t="s">
        <v>502</v>
      </c>
      <c r="B60" s="10" t="s">
        <v>17</v>
      </c>
      <c r="C60" s="366" t="s">
        <v>127</v>
      </c>
      <c r="D60" s="366"/>
      <c r="E60" s="366"/>
      <c r="F60" s="366"/>
      <c r="G60" s="10" t="s">
        <v>830</v>
      </c>
      <c r="H60" s="11">
        <v>203.82</v>
      </c>
      <c r="I60" s="11">
        <v>0</v>
      </c>
      <c r="J60" s="11">
        <f>H60*AO60</f>
        <v>0</v>
      </c>
      <c r="K60" s="11">
        <f>H60*AP60</f>
        <v>0</v>
      </c>
      <c r="L60" s="11">
        <f>H60*I60</f>
        <v>0</v>
      </c>
      <c r="M60" s="52" t="s">
        <v>575</v>
      </c>
      <c r="Z60" s="11">
        <f>IF(AQ60="5",BJ60,0)</f>
        <v>0</v>
      </c>
      <c r="AB60" s="11">
        <f>IF(AQ60="1",BH60,0)</f>
        <v>0</v>
      </c>
      <c r="AC60" s="11">
        <f>IF(AQ60="1",BI60,0)</f>
        <v>0</v>
      </c>
      <c r="AD60" s="11">
        <f>IF(AQ60="7",BH60,0)</f>
        <v>0</v>
      </c>
      <c r="AE60" s="11">
        <f>IF(AQ60="7",BI60,0)</f>
        <v>0</v>
      </c>
      <c r="AF60" s="11">
        <f>IF(AQ60="2",BH60,0)</f>
        <v>0</v>
      </c>
      <c r="AG60" s="11">
        <f>IF(AQ60="2",BI60,0)</f>
        <v>0</v>
      </c>
      <c r="AH60" s="11">
        <f>IF(AQ60="0",BJ60,0)</f>
        <v>0</v>
      </c>
      <c r="AI60" s="40" t="s">
        <v>586</v>
      </c>
      <c r="AJ60" s="11">
        <f>IF(AN60=0,L60,0)</f>
        <v>0</v>
      </c>
      <c r="AK60" s="11">
        <f>IF(AN60=15,L60,0)</f>
        <v>0</v>
      </c>
      <c r="AL60" s="11">
        <f>IF(AN60=21,L60,0)</f>
        <v>0</v>
      </c>
      <c r="AN60" s="11">
        <v>21</v>
      </c>
      <c r="AO60" s="11">
        <f>I60*0.214870247830939</f>
        <v>0</v>
      </c>
      <c r="AP60" s="11">
        <f>I60*(1-0.214870247830939)</f>
        <v>0</v>
      </c>
      <c r="AQ60" s="12" t="s">
        <v>841</v>
      </c>
      <c r="AV60" s="11">
        <f>AW60+AX60</f>
        <v>0</v>
      </c>
      <c r="AW60" s="11">
        <f>H60*AO60</f>
        <v>0</v>
      </c>
      <c r="AX60" s="11">
        <f>H60*AP60</f>
        <v>0</v>
      </c>
      <c r="AY60" s="12" t="s">
        <v>532</v>
      </c>
      <c r="AZ60" s="12" t="s">
        <v>107</v>
      </c>
      <c r="BA60" s="40" t="s">
        <v>647</v>
      </c>
      <c r="BC60" s="11">
        <f>AW60+AX60</f>
        <v>0</v>
      </c>
      <c r="BD60" s="11">
        <f>I60/(100-BE60)*100</f>
        <v>0</v>
      </c>
      <c r="BE60" s="11">
        <v>0</v>
      </c>
      <c r="BF60" s="11">
        <f>68</f>
        <v>68</v>
      </c>
      <c r="BH60" s="11">
        <f>H60*AO60</f>
        <v>0</v>
      </c>
      <c r="BI60" s="11">
        <f>H60*AP60</f>
        <v>0</v>
      </c>
      <c r="BJ60" s="11">
        <f>H60*I60</f>
        <v>0</v>
      </c>
      <c r="BK60" s="11"/>
      <c r="BL60" s="11">
        <v>61</v>
      </c>
    </row>
    <row r="61" spans="1:64" ht="13.5" customHeight="1">
      <c r="A61" s="53"/>
      <c r="B61" s="54" t="s">
        <v>440</v>
      </c>
      <c r="C61" s="394" t="s">
        <v>622</v>
      </c>
      <c r="D61" s="395"/>
      <c r="E61" s="395"/>
      <c r="F61" s="395"/>
      <c r="G61" s="395"/>
      <c r="H61" s="395"/>
      <c r="I61" s="395"/>
      <c r="J61" s="395"/>
      <c r="K61" s="395"/>
      <c r="L61" s="395"/>
      <c r="M61" s="396"/>
    </row>
    <row r="62" spans="1:64" ht="15" customHeight="1">
      <c r="A62" s="9" t="s">
        <v>828</v>
      </c>
      <c r="B62" s="10" t="s">
        <v>167</v>
      </c>
      <c r="C62" s="366" t="s">
        <v>310</v>
      </c>
      <c r="D62" s="366"/>
      <c r="E62" s="366"/>
      <c r="F62" s="366"/>
      <c r="G62" s="10" t="s">
        <v>830</v>
      </c>
      <c r="H62" s="11">
        <v>203.82</v>
      </c>
      <c r="I62" s="11">
        <v>0</v>
      </c>
      <c r="J62" s="11">
        <f>H62*AO62</f>
        <v>0</v>
      </c>
      <c r="K62" s="11">
        <f>H62*AP62</f>
        <v>0</v>
      </c>
      <c r="L62" s="11">
        <f>H62*I62</f>
        <v>0</v>
      </c>
      <c r="M62" s="52" t="s">
        <v>575</v>
      </c>
      <c r="Z62" s="11">
        <f>IF(AQ62="5",BJ62,0)</f>
        <v>0</v>
      </c>
      <c r="AB62" s="11">
        <f>IF(AQ62="1",BH62,0)</f>
        <v>0</v>
      </c>
      <c r="AC62" s="11">
        <f>IF(AQ62="1",BI62,0)</f>
        <v>0</v>
      </c>
      <c r="AD62" s="11">
        <f>IF(AQ62="7",BH62,0)</f>
        <v>0</v>
      </c>
      <c r="AE62" s="11">
        <f>IF(AQ62="7",BI62,0)</f>
        <v>0</v>
      </c>
      <c r="AF62" s="11">
        <f>IF(AQ62="2",BH62,0)</f>
        <v>0</v>
      </c>
      <c r="AG62" s="11">
        <f>IF(AQ62="2",BI62,0)</f>
        <v>0</v>
      </c>
      <c r="AH62" s="11">
        <f>IF(AQ62="0",BJ62,0)</f>
        <v>0</v>
      </c>
      <c r="AI62" s="40" t="s">
        <v>586</v>
      </c>
      <c r="AJ62" s="11">
        <f>IF(AN62=0,L62,0)</f>
        <v>0</v>
      </c>
      <c r="AK62" s="11">
        <f>IF(AN62=15,L62,0)</f>
        <v>0</v>
      </c>
      <c r="AL62" s="11">
        <f>IF(AN62=21,L62,0)</f>
        <v>0</v>
      </c>
      <c r="AN62" s="11">
        <v>21</v>
      </c>
      <c r="AO62" s="11">
        <f>I62*0.525896506005303</f>
        <v>0</v>
      </c>
      <c r="AP62" s="11">
        <f>I62*(1-0.525896506005303)</f>
        <v>0</v>
      </c>
      <c r="AQ62" s="12" t="s">
        <v>841</v>
      </c>
      <c r="AV62" s="11">
        <f>AW62+AX62</f>
        <v>0</v>
      </c>
      <c r="AW62" s="11">
        <f>H62*AO62</f>
        <v>0</v>
      </c>
      <c r="AX62" s="11">
        <f>H62*AP62</f>
        <v>0</v>
      </c>
      <c r="AY62" s="12" t="s">
        <v>532</v>
      </c>
      <c r="AZ62" s="12" t="s">
        <v>107</v>
      </c>
      <c r="BA62" s="40" t="s">
        <v>647</v>
      </c>
      <c r="BC62" s="11">
        <f>AW62+AX62</f>
        <v>0</v>
      </c>
      <c r="BD62" s="11">
        <f>I62/(100-BE62)*100</f>
        <v>0</v>
      </c>
      <c r="BE62" s="11">
        <v>0</v>
      </c>
      <c r="BF62" s="11">
        <f>70</f>
        <v>70</v>
      </c>
      <c r="BH62" s="11">
        <f>H62*AO62</f>
        <v>0</v>
      </c>
      <c r="BI62" s="11">
        <f>H62*AP62</f>
        <v>0</v>
      </c>
      <c r="BJ62" s="11">
        <f>H62*I62</f>
        <v>0</v>
      </c>
      <c r="BK62" s="11"/>
      <c r="BL62" s="11">
        <v>61</v>
      </c>
    </row>
    <row r="63" spans="1:64" ht="15" customHeight="1">
      <c r="A63" s="9" t="s">
        <v>517</v>
      </c>
      <c r="B63" s="10" t="s">
        <v>326</v>
      </c>
      <c r="C63" s="366" t="s">
        <v>561</v>
      </c>
      <c r="D63" s="366"/>
      <c r="E63" s="366"/>
      <c r="F63" s="366"/>
      <c r="G63" s="10" t="s">
        <v>830</v>
      </c>
      <c r="H63" s="11">
        <v>63.72</v>
      </c>
      <c r="I63" s="11">
        <v>0</v>
      </c>
      <c r="J63" s="11">
        <f>H63*AO63</f>
        <v>0</v>
      </c>
      <c r="K63" s="11">
        <f>H63*AP63</f>
        <v>0</v>
      </c>
      <c r="L63" s="11">
        <f>H63*I63</f>
        <v>0</v>
      </c>
      <c r="M63" s="52" t="s">
        <v>575</v>
      </c>
      <c r="Z63" s="11">
        <f>IF(AQ63="5",BJ63,0)</f>
        <v>0</v>
      </c>
      <c r="AB63" s="11">
        <f>IF(AQ63="1",BH63,0)</f>
        <v>0</v>
      </c>
      <c r="AC63" s="11">
        <f>IF(AQ63="1",BI63,0)</f>
        <v>0</v>
      </c>
      <c r="AD63" s="11">
        <f>IF(AQ63="7",BH63,0)</f>
        <v>0</v>
      </c>
      <c r="AE63" s="11">
        <f>IF(AQ63="7",BI63,0)</f>
        <v>0</v>
      </c>
      <c r="AF63" s="11">
        <f>IF(AQ63="2",BH63,0)</f>
        <v>0</v>
      </c>
      <c r="AG63" s="11">
        <f>IF(AQ63="2",BI63,0)</f>
        <v>0</v>
      </c>
      <c r="AH63" s="11">
        <f>IF(AQ63="0",BJ63,0)</f>
        <v>0</v>
      </c>
      <c r="AI63" s="40" t="s">
        <v>586</v>
      </c>
      <c r="AJ63" s="11">
        <f>IF(AN63=0,L63,0)</f>
        <v>0</v>
      </c>
      <c r="AK63" s="11">
        <f>IF(AN63=15,L63,0)</f>
        <v>0</v>
      </c>
      <c r="AL63" s="11">
        <f>IF(AN63=21,L63,0)</f>
        <v>0</v>
      </c>
      <c r="AN63" s="11">
        <v>21</v>
      </c>
      <c r="AO63" s="11">
        <f>I63*0.142038321862138</f>
        <v>0</v>
      </c>
      <c r="AP63" s="11">
        <f>I63*(1-0.142038321862138)</f>
        <v>0</v>
      </c>
      <c r="AQ63" s="12" t="s">
        <v>841</v>
      </c>
      <c r="AV63" s="11">
        <f>AW63+AX63</f>
        <v>0</v>
      </c>
      <c r="AW63" s="11">
        <f>H63*AO63</f>
        <v>0</v>
      </c>
      <c r="AX63" s="11">
        <f>H63*AP63</f>
        <v>0</v>
      </c>
      <c r="AY63" s="12" t="s">
        <v>532</v>
      </c>
      <c r="AZ63" s="12" t="s">
        <v>107</v>
      </c>
      <c r="BA63" s="40" t="s">
        <v>647</v>
      </c>
      <c r="BC63" s="11">
        <f>AW63+AX63</f>
        <v>0</v>
      </c>
      <c r="BD63" s="11">
        <f>I63/(100-BE63)*100</f>
        <v>0</v>
      </c>
      <c r="BE63" s="11">
        <v>0</v>
      </c>
      <c r="BF63" s="11">
        <f>71</f>
        <v>71</v>
      </c>
      <c r="BH63" s="11">
        <f>H63*AO63</f>
        <v>0</v>
      </c>
      <c r="BI63" s="11">
        <f>H63*AP63</f>
        <v>0</v>
      </c>
      <c r="BJ63" s="11">
        <f>H63*I63</f>
        <v>0</v>
      </c>
      <c r="BK63" s="11"/>
      <c r="BL63" s="11">
        <v>61</v>
      </c>
    </row>
    <row r="64" spans="1:64" ht="15" customHeight="1">
      <c r="A64" s="9" t="s">
        <v>544</v>
      </c>
      <c r="B64" s="10" t="s">
        <v>862</v>
      </c>
      <c r="C64" s="366" t="s">
        <v>600</v>
      </c>
      <c r="D64" s="366"/>
      <c r="E64" s="366"/>
      <c r="F64" s="366"/>
      <c r="G64" s="10" t="s">
        <v>830</v>
      </c>
      <c r="H64" s="11">
        <v>111.062</v>
      </c>
      <c r="I64" s="11">
        <v>0</v>
      </c>
      <c r="J64" s="11">
        <f>H64*AO64</f>
        <v>0</v>
      </c>
      <c r="K64" s="11">
        <f>H64*AP64</f>
        <v>0</v>
      </c>
      <c r="L64" s="11">
        <f>H64*I64</f>
        <v>0</v>
      </c>
      <c r="M64" s="52" t="s">
        <v>575</v>
      </c>
      <c r="Z64" s="11">
        <f>IF(AQ64="5",BJ64,0)</f>
        <v>0</v>
      </c>
      <c r="AB64" s="11">
        <f>IF(AQ64="1",BH64,0)</f>
        <v>0</v>
      </c>
      <c r="AC64" s="11">
        <f>IF(AQ64="1",BI64,0)</f>
        <v>0</v>
      </c>
      <c r="AD64" s="11">
        <f>IF(AQ64="7",BH64,0)</f>
        <v>0</v>
      </c>
      <c r="AE64" s="11">
        <f>IF(AQ64="7",BI64,0)</f>
        <v>0</v>
      </c>
      <c r="AF64" s="11">
        <f>IF(AQ64="2",BH64,0)</f>
        <v>0</v>
      </c>
      <c r="AG64" s="11">
        <f>IF(AQ64="2",BI64,0)</f>
        <v>0</v>
      </c>
      <c r="AH64" s="11">
        <f>IF(AQ64="0",BJ64,0)</f>
        <v>0</v>
      </c>
      <c r="AI64" s="40" t="s">
        <v>586</v>
      </c>
      <c r="AJ64" s="11">
        <f>IF(AN64=0,L64,0)</f>
        <v>0</v>
      </c>
      <c r="AK64" s="11">
        <f>IF(AN64=15,L64,0)</f>
        <v>0</v>
      </c>
      <c r="AL64" s="11">
        <f>IF(AN64=21,L64,0)</f>
        <v>0</v>
      </c>
      <c r="AN64" s="11">
        <v>21</v>
      </c>
      <c r="AO64" s="11">
        <f>I64*0.121224846995691</f>
        <v>0</v>
      </c>
      <c r="AP64" s="11">
        <f>I64*(1-0.121224846995691)</f>
        <v>0</v>
      </c>
      <c r="AQ64" s="12" t="s">
        <v>841</v>
      </c>
      <c r="AV64" s="11">
        <f>AW64+AX64</f>
        <v>0</v>
      </c>
      <c r="AW64" s="11">
        <f>H64*AO64</f>
        <v>0</v>
      </c>
      <c r="AX64" s="11">
        <f>H64*AP64</f>
        <v>0</v>
      </c>
      <c r="AY64" s="12" t="s">
        <v>532</v>
      </c>
      <c r="AZ64" s="12" t="s">
        <v>107</v>
      </c>
      <c r="BA64" s="40" t="s">
        <v>647</v>
      </c>
      <c r="BC64" s="11">
        <f>AW64+AX64</f>
        <v>0</v>
      </c>
      <c r="BD64" s="11">
        <f>I64/(100-BE64)*100</f>
        <v>0</v>
      </c>
      <c r="BE64" s="11">
        <v>0</v>
      </c>
      <c r="BF64" s="11">
        <f>72</f>
        <v>72</v>
      </c>
      <c r="BH64" s="11">
        <f>H64*AO64</f>
        <v>0</v>
      </c>
      <c r="BI64" s="11">
        <f>H64*AP64</f>
        <v>0</v>
      </c>
      <c r="BJ64" s="11">
        <f>H64*I64</f>
        <v>0</v>
      </c>
      <c r="BK64" s="11"/>
      <c r="BL64" s="11">
        <v>61</v>
      </c>
    </row>
    <row r="65" spans="1:64" ht="15" customHeight="1">
      <c r="A65" s="9" t="s">
        <v>309</v>
      </c>
      <c r="B65" s="10" t="s">
        <v>510</v>
      </c>
      <c r="C65" s="366" t="s">
        <v>876</v>
      </c>
      <c r="D65" s="366"/>
      <c r="E65" s="366"/>
      <c r="F65" s="366"/>
      <c r="G65" s="10" t="s">
        <v>830</v>
      </c>
      <c r="H65" s="11">
        <v>9.75</v>
      </c>
      <c r="I65" s="11">
        <v>0</v>
      </c>
      <c r="J65" s="11">
        <f>H65*AO65</f>
        <v>0</v>
      </c>
      <c r="K65" s="11">
        <f>H65*AP65</f>
        <v>0</v>
      </c>
      <c r="L65" s="11">
        <f>H65*I65</f>
        <v>0</v>
      </c>
      <c r="M65" s="52" t="s">
        <v>575</v>
      </c>
      <c r="Z65" s="11">
        <f>IF(AQ65="5",BJ65,0)</f>
        <v>0</v>
      </c>
      <c r="AB65" s="11">
        <f>IF(AQ65="1",BH65,0)</f>
        <v>0</v>
      </c>
      <c r="AC65" s="11">
        <f>IF(AQ65="1",BI65,0)</f>
        <v>0</v>
      </c>
      <c r="AD65" s="11">
        <f>IF(AQ65="7",BH65,0)</f>
        <v>0</v>
      </c>
      <c r="AE65" s="11">
        <f>IF(AQ65="7",BI65,0)</f>
        <v>0</v>
      </c>
      <c r="AF65" s="11">
        <f>IF(AQ65="2",BH65,0)</f>
        <v>0</v>
      </c>
      <c r="AG65" s="11">
        <f>IF(AQ65="2",BI65,0)</f>
        <v>0</v>
      </c>
      <c r="AH65" s="11">
        <f>IF(AQ65="0",BJ65,0)</f>
        <v>0</v>
      </c>
      <c r="AI65" s="40" t="s">
        <v>586</v>
      </c>
      <c r="AJ65" s="11">
        <f>IF(AN65=0,L65,0)</f>
        <v>0</v>
      </c>
      <c r="AK65" s="11">
        <f>IF(AN65=15,L65,0)</f>
        <v>0</v>
      </c>
      <c r="AL65" s="11">
        <f>IF(AN65=21,L65,0)</f>
        <v>0</v>
      </c>
      <c r="AN65" s="11">
        <v>21</v>
      </c>
      <c r="AO65" s="11">
        <f>I65*0.160678851174935</f>
        <v>0</v>
      </c>
      <c r="AP65" s="11">
        <f>I65*(1-0.160678851174935)</f>
        <v>0</v>
      </c>
      <c r="AQ65" s="12" t="s">
        <v>841</v>
      </c>
      <c r="AV65" s="11">
        <f>AW65+AX65</f>
        <v>0</v>
      </c>
      <c r="AW65" s="11">
        <f>H65*AO65</f>
        <v>0</v>
      </c>
      <c r="AX65" s="11">
        <f>H65*AP65</f>
        <v>0</v>
      </c>
      <c r="AY65" s="12" t="s">
        <v>532</v>
      </c>
      <c r="AZ65" s="12" t="s">
        <v>107</v>
      </c>
      <c r="BA65" s="40" t="s">
        <v>647</v>
      </c>
      <c r="BC65" s="11">
        <f>AW65+AX65</f>
        <v>0</v>
      </c>
      <c r="BD65" s="11">
        <f>I65/(100-BE65)*100</f>
        <v>0</v>
      </c>
      <c r="BE65" s="11">
        <v>0</v>
      </c>
      <c r="BF65" s="11">
        <f>73</f>
        <v>73</v>
      </c>
      <c r="BH65" s="11">
        <f>H65*AO65</f>
        <v>0</v>
      </c>
      <c r="BI65" s="11">
        <f>H65*AP65</f>
        <v>0</v>
      </c>
      <c r="BJ65" s="11">
        <f>H65*I65</f>
        <v>0</v>
      </c>
      <c r="BK65" s="11"/>
      <c r="BL65" s="11">
        <v>61</v>
      </c>
    </row>
    <row r="66" spans="1:64" ht="15" customHeight="1">
      <c r="A66" s="48" t="s">
        <v>586</v>
      </c>
      <c r="B66" s="49" t="s">
        <v>197</v>
      </c>
      <c r="C66" s="392" t="s">
        <v>857</v>
      </c>
      <c r="D66" s="392"/>
      <c r="E66" s="392"/>
      <c r="F66" s="392"/>
      <c r="G66" s="50" t="s">
        <v>783</v>
      </c>
      <c r="H66" s="50" t="s">
        <v>783</v>
      </c>
      <c r="I66" s="50" t="s">
        <v>783</v>
      </c>
      <c r="J66" s="36">
        <f>SUM(J67:J70)</f>
        <v>0</v>
      </c>
      <c r="K66" s="36">
        <f>SUM(K67:K70)</f>
        <v>0</v>
      </c>
      <c r="L66" s="36">
        <f>SUM(L67:L70)</f>
        <v>0</v>
      </c>
      <c r="M66" s="51" t="s">
        <v>586</v>
      </c>
      <c r="AI66" s="40" t="s">
        <v>586</v>
      </c>
      <c r="AS66" s="36">
        <f>SUM(AJ67:AJ70)</f>
        <v>0</v>
      </c>
      <c r="AT66" s="36">
        <f>SUM(AK67:AK70)</f>
        <v>0</v>
      </c>
      <c r="AU66" s="36">
        <f>SUM(AL67:AL70)</f>
        <v>0</v>
      </c>
    </row>
    <row r="67" spans="1:64" ht="15" customHeight="1">
      <c r="A67" s="9" t="s">
        <v>832</v>
      </c>
      <c r="B67" s="10" t="s">
        <v>245</v>
      </c>
      <c r="C67" s="366" t="s">
        <v>530</v>
      </c>
      <c r="D67" s="366"/>
      <c r="E67" s="366"/>
      <c r="F67" s="366"/>
      <c r="G67" s="10" t="s">
        <v>830</v>
      </c>
      <c r="H67" s="11">
        <v>21.15</v>
      </c>
      <c r="I67" s="11">
        <v>0</v>
      </c>
      <c r="J67" s="11">
        <f>H67*AO67</f>
        <v>0</v>
      </c>
      <c r="K67" s="11">
        <f>H67*AP67</f>
        <v>0</v>
      </c>
      <c r="L67" s="11">
        <f>H67*I67</f>
        <v>0</v>
      </c>
      <c r="M67" s="52" t="s">
        <v>575</v>
      </c>
      <c r="Z67" s="11">
        <f>IF(AQ67="5",BJ67,0)</f>
        <v>0</v>
      </c>
      <c r="AB67" s="11">
        <f>IF(AQ67="1",BH67,0)</f>
        <v>0</v>
      </c>
      <c r="AC67" s="11">
        <f>IF(AQ67="1",BI67,0)</f>
        <v>0</v>
      </c>
      <c r="AD67" s="11">
        <f>IF(AQ67="7",BH67,0)</f>
        <v>0</v>
      </c>
      <c r="AE67" s="11">
        <f>IF(AQ67="7",BI67,0)</f>
        <v>0</v>
      </c>
      <c r="AF67" s="11">
        <f>IF(AQ67="2",BH67,0)</f>
        <v>0</v>
      </c>
      <c r="AG67" s="11">
        <f>IF(AQ67="2",BI67,0)</f>
        <v>0</v>
      </c>
      <c r="AH67" s="11">
        <f>IF(AQ67="0",BJ67,0)</f>
        <v>0</v>
      </c>
      <c r="AI67" s="40" t="s">
        <v>586</v>
      </c>
      <c r="AJ67" s="11">
        <f>IF(AN67=0,L67,0)</f>
        <v>0</v>
      </c>
      <c r="AK67" s="11">
        <f>IF(AN67=15,L67,0)</f>
        <v>0</v>
      </c>
      <c r="AL67" s="11">
        <f>IF(AN67=21,L67,0)</f>
        <v>0</v>
      </c>
      <c r="AN67" s="11">
        <v>21</v>
      </c>
      <c r="AO67" s="11">
        <f>I67*0.893841224018476</f>
        <v>0</v>
      </c>
      <c r="AP67" s="11">
        <f>I67*(1-0.893841224018476)</f>
        <v>0</v>
      </c>
      <c r="AQ67" s="12" t="s">
        <v>841</v>
      </c>
      <c r="AV67" s="11">
        <f>AW67+AX67</f>
        <v>0</v>
      </c>
      <c r="AW67" s="11">
        <f>H67*AO67</f>
        <v>0</v>
      </c>
      <c r="AX67" s="11">
        <f>H67*AP67</f>
        <v>0</v>
      </c>
      <c r="AY67" s="12" t="s">
        <v>775</v>
      </c>
      <c r="AZ67" s="12" t="s">
        <v>107</v>
      </c>
      <c r="BA67" s="40" t="s">
        <v>647</v>
      </c>
      <c r="BC67" s="11">
        <f>AW67+AX67</f>
        <v>0</v>
      </c>
      <c r="BD67" s="11">
        <f>I67/(100-BE67)*100</f>
        <v>0</v>
      </c>
      <c r="BE67" s="11">
        <v>0</v>
      </c>
      <c r="BF67" s="11">
        <f>75</f>
        <v>75</v>
      </c>
      <c r="BH67" s="11">
        <f>H67*AO67</f>
        <v>0</v>
      </c>
      <c r="BI67" s="11">
        <f>H67*AP67</f>
        <v>0</v>
      </c>
      <c r="BJ67" s="11">
        <f>H67*I67</f>
        <v>0</v>
      </c>
      <c r="BK67" s="11"/>
      <c r="BL67" s="11">
        <v>63</v>
      </c>
    </row>
    <row r="68" spans="1:64" ht="15" customHeight="1">
      <c r="A68" s="9" t="s">
        <v>156</v>
      </c>
      <c r="B68" s="10" t="s">
        <v>141</v>
      </c>
      <c r="C68" s="366" t="s">
        <v>474</v>
      </c>
      <c r="D68" s="366"/>
      <c r="E68" s="366"/>
      <c r="F68" s="366"/>
      <c r="G68" s="10" t="s">
        <v>830</v>
      </c>
      <c r="H68" s="11">
        <v>21.15</v>
      </c>
      <c r="I68" s="11">
        <v>0</v>
      </c>
      <c r="J68" s="11">
        <f>H68*AO68</f>
        <v>0</v>
      </c>
      <c r="K68" s="11">
        <f>H68*AP68</f>
        <v>0</v>
      </c>
      <c r="L68" s="11">
        <f>H68*I68</f>
        <v>0</v>
      </c>
      <c r="M68" s="52" t="s">
        <v>575</v>
      </c>
      <c r="Z68" s="11">
        <f>IF(AQ68="5",BJ68,0)</f>
        <v>0</v>
      </c>
      <c r="AB68" s="11">
        <f>IF(AQ68="1",BH68,0)</f>
        <v>0</v>
      </c>
      <c r="AC68" s="11">
        <f>IF(AQ68="1",BI68,0)</f>
        <v>0</v>
      </c>
      <c r="AD68" s="11">
        <f>IF(AQ68="7",BH68,0)</f>
        <v>0</v>
      </c>
      <c r="AE68" s="11">
        <f>IF(AQ68="7",BI68,0)</f>
        <v>0</v>
      </c>
      <c r="AF68" s="11">
        <f>IF(AQ68="2",BH68,0)</f>
        <v>0</v>
      </c>
      <c r="AG68" s="11">
        <f>IF(AQ68="2",BI68,0)</f>
        <v>0</v>
      </c>
      <c r="AH68" s="11">
        <f>IF(AQ68="0",BJ68,0)</f>
        <v>0</v>
      </c>
      <c r="AI68" s="40" t="s">
        <v>586</v>
      </c>
      <c r="AJ68" s="11">
        <f>IF(AN68=0,L68,0)</f>
        <v>0</v>
      </c>
      <c r="AK68" s="11">
        <f>IF(AN68=15,L68,0)</f>
        <v>0</v>
      </c>
      <c r="AL68" s="11">
        <f>IF(AN68=21,L68,0)</f>
        <v>0</v>
      </c>
      <c r="AN68" s="11">
        <v>21</v>
      </c>
      <c r="AO68" s="11">
        <f>I68*0.905627631373772</f>
        <v>0</v>
      </c>
      <c r="AP68" s="11">
        <f>I68*(1-0.905627631373772)</f>
        <v>0</v>
      </c>
      <c r="AQ68" s="12" t="s">
        <v>841</v>
      </c>
      <c r="AV68" s="11">
        <f>AW68+AX68</f>
        <v>0</v>
      </c>
      <c r="AW68" s="11">
        <f>H68*AO68</f>
        <v>0</v>
      </c>
      <c r="AX68" s="11">
        <f>H68*AP68</f>
        <v>0</v>
      </c>
      <c r="AY68" s="12" t="s">
        <v>775</v>
      </c>
      <c r="AZ68" s="12" t="s">
        <v>107</v>
      </c>
      <c r="BA68" s="40" t="s">
        <v>647</v>
      </c>
      <c r="BC68" s="11">
        <f>AW68+AX68</f>
        <v>0</v>
      </c>
      <c r="BD68" s="11">
        <f>I68/(100-BE68)*100</f>
        <v>0</v>
      </c>
      <c r="BE68" s="11">
        <v>0</v>
      </c>
      <c r="BF68" s="11">
        <f>76</f>
        <v>76</v>
      </c>
      <c r="BH68" s="11">
        <f>H68*AO68</f>
        <v>0</v>
      </c>
      <c r="BI68" s="11">
        <f>H68*AP68</f>
        <v>0</v>
      </c>
      <c r="BJ68" s="11">
        <f>H68*I68</f>
        <v>0</v>
      </c>
      <c r="BK68" s="11"/>
      <c r="BL68" s="11">
        <v>63</v>
      </c>
    </row>
    <row r="69" spans="1:64" ht="15" customHeight="1">
      <c r="A69" s="9" t="s">
        <v>289</v>
      </c>
      <c r="B69" s="10" t="s">
        <v>493</v>
      </c>
      <c r="C69" s="366" t="s">
        <v>133</v>
      </c>
      <c r="D69" s="366"/>
      <c r="E69" s="366"/>
      <c r="F69" s="366"/>
      <c r="G69" s="10" t="s">
        <v>830</v>
      </c>
      <c r="H69" s="11">
        <v>141.96</v>
      </c>
      <c r="I69" s="11">
        <v>0</v>
      </c>
      <c r="J69" s="11">
        <f>H69*AO69</f>
        <v>0</v>
      </c>
      <c r="K69" s="11">
        <f>H69*AP69</f>
        <v>0</v>
      </c>
      <c r="L69" s="11">
        <f>H69*I69</f>
        <v>0</v>
      </c>
      <c r="M69" s="52" t="s">
        <v>575</v>
      </c>
      <c r="Z69" s="11">
        <f>IF(AQ69="5",BJ69,0)</f>
        <v>0</v>
      </c>
      <c r="AB69" s="11">
        <f>IF(AQ69="1",BH69,0)</f>
        <v>0</v>
      </c>
      <c r="AC69" s="11">
        <f>IF(AQ69="1",BI69,0)</f>
        <v>0</v>
      </c>
      <c r="AD69" s="11">
        <f>IF(AQ69="7",BH69,0)</f>
        <v>0</v>
      </c>
      <c r="AE69" s="11">
        <f>IF(AQ69="7",BI69,0)</f>
        <v>0</v>
      </c>
      <c r="AF69" s="11">
        <f>IF(AQ69="2",BH69,0)</f>
        <v>0</v>
      </c>
      <c r="AG69" s="11">
        <f>IF(AQ69="2",BI69,0)</f>
        <v>0</v>
      </c>
      <c r="AH69" s="11">
        <f>IF(AQ69="0",BJ69,0)</f>
        <v>0</v>
      </c>
      <c r="AI69" s="40" t="s">
        <v>586</v>
      </c>
      <c r="AJ69" s="11">
        <f>IF(AN69=0,L69,0)</f>
        <v>0</v>
      </c>
      <c r="AK69" s="11">
        <f>IF(AN69=15,L69,0)</f>
        <v>0</v>
      </c>
      <c r="AL69" s="11">
        <f>IF(AN69=21,L69,0)</f>
        <v>0</v>
      </c>
      <c r="AN69" s="11">
        <v>21</v>
      </c>
      <c r="AO69" s="11">
        <f>I69*0.607050245333976</f>
        <v>0</v>
      </c>
      <c r="AP69" s="11">
        <f>I69*(1-0.607050245333976)</f>
        <v>0</v>
      </c>
      <c r="AQ69" s="12" t="s">
        <v>841</v>
      </c>
      <c r="AV69" s="11">
        <f>AW69+AX69</f>
        <v>0</v>
      </c>
      <c r="AW69" s="11">
        <f>H69*AO69</f>
        <v>0</v>
      </c>
      <c r="AX69" s="11">
        <f>H69*AP69</f>
        <v>0</v>
      </c>
      <c r="AY69" s="12" t="s">
        <v>775</v>
      </c>
      <c r="AZ69" s="12" t="s">
        <v>107</v>
      </c>
      <c r="BA69" s="40" t="s">
        <v>647</v>
      </c>
      <c r="BC69" s="11">
        <f>AW69+AX69</f>
        <v>0</v>
      </c>
      <c r="BD69" s="11">
        <f>I69/(100-BE69)*100</f>
        <v>0</v>
      </c>
      <c r="BE69" s="11">
        <v>0</v>
      </c>
      <c r="BF69" s="11">
        <f>77</f>
        <v>77</v>
      </c>
      <c r="BH69" s="11">
        <f>H69*AO69</f>
        <v>0</v>
      </c>
      <c r="BI69" s="11">
        <f>H69*AP69</f>
        <v>0</v>
      </c>
      <c r="BJ69" s="11">
        <f>H69*I69</f>
        <v>0</v>
      </c>
      <c r="BK69" s="11"/>
      <c r="BL69" s="11">
        <v>63</v>
      </c>
    </row>
    <row r="70" spans="1:64" ht="15" customHeight="1">
      <c r="A70" s="9" t="s">
        <v>379</v>
      </c>
      <c r="B70" s="10" t="s">
        <v>920</v>
      </c>
      <c r="C70" s="366" t="s">
        <v>277</v>
      </c>
      <c r="D70" s="366"/>
      <c r="E70" s="366"/>
      <c r="F70" s="366"/>
      <c r="G70" s="10" t="s">
        <v>830</v>
      </c>
      <c r="H70" s="11">
        <v>141.96</v>
      </c>
      <c r="I70" s="11">
        <v>0</v>
      </c>
      <c r="J70" s="11">
        <f>H70*AO70</f>
        <v>0</v>
      </c>
      <c r="K70" s="11">
        <f>H70*AP70</f>
        <v>0</v>
      </c>
      <c r="L70" s="11">
        <f>H70*I70</f>
        <v>0</v>
      </c>
      <c r="M70" s="52" t="s">
        <v>575</v>
      </c>
      <c r="Z70" s="11">
        <f>IF(AQ70="5",BJ70,0)</f>
        <v>0</v>
      </c>
      <c r="AB70" s="11">
        <f>IF(AQ70="1",BH70,0)</f>
        <v>0</v>
      </c>
      <c r="AC70" s="11">
        <f>IF(AQ70="1",BI70,0)</f>
        <v>0</v>
      </c>
      <c r="AD70" s="11">
        <f>IF(AQ70="7",BH70,0)</f>
        <v>0</v>
      </c>
      <c r="AE70" s="11">
        <f>IF(AQ70="7",BI70,0)</f>
        <v>0</v>
      </c>
      <c r="AF70" s="11">
        <f>IF(AQ70="2",BH70,0)</f>
        <v>0</v>
      </c>
      <c r="AG70" s="11">
        <f>IF(AQ70="2",BI70,0)</f>
        <v>0</v>
      </c>
      <c r="AH70" s="11">
        <f>IF(AQ70="0",BJ70,0)</f>
        <v>0</v>
      </c>
      <c r="AI70" s="40" t="s">
        <v>586</v>
      </c>
      <c r="AJ70" s="11">
        <f>IF(AN70=0,L70,0)</f>
        <v>0</v>
      </c>
      <c r="AK70" s="11">
        <f>IF(AN70=15,L70,0)</f>
        <v>0</v>
      </c>
      <c r="AL70" s="11">
        <f>IF(AN70=21,L70,0)</f>
        <v>0</v>
      </c>
      <c r="AN70" s="11">
        <v>21</v>
      </c>
      <c r="AO70" s="11">
        <f>I70*0.712375457096692</f>
        <v>0</v>
      </c>
      <c r="AP70" s="11">
        <f>I70*(1-0.712375457096692)</f>
        <v>0</v>
      </c>
      <c r="AQ70" s="12" t="s">
        <v>841</v>
      </c>
      <c r="AV70" s="11">
        <f>AW70+AX70</f>
        <v>0</v>
      </c>
      <c r="AW70" s="11">
        <f>H70*AO70</f>
        <v>0</v>
      </c>
      <c r="AX70" s="11">
        <f>H70*AP70</f>
        <v>0</v>
      </c>
      <c r="AY70" s="12" t="s">
        <v>775</v>
      </c>
      <c r="AZ70" s="12" t="s">
        <v>107</v>
      </c>
      <c r="BA70" s="40" t="s">
        <v>647</v>
      </c>
      <c r="BC70" s="11">
        <f>AW70+AX70</f>
        <v>0</v>
      </c>
      <c r="BD70" s="11">
        <f>I70/(100-BE70)*100</f>
        <v>0</v>
      </c>
      <c r="BE70" s="11">
        <v>0</v>
      </c>
      <c r="BF70" s="11">
        <f>78</f>
        <v>78</v>
      </c>
      <c r="BH70" s="11">
        <f>H70*AO70</f>
        <v>0</v>
      </c>
      <c r="BI70" s="11">
        <f>H70*AP70</f>
        <v>0</v>
      </c>
      <c r="BJ70" s="11">
        <f>H70*I70</f>
        <v>0</v>
      </c>
      <c r="BK70" s="11"/>
      <c r="BL70" s="11">
        <v>63</v>
      </c>
    </row>
    <row r="71" spans="1:64" ht="15" customHeight="1">
      <c r="A71" s="48" t="s">
        <v>586</v>
      </c>
      <c r="B71" s="49" t="s">
        <v>424</v>
      </c>
      <c r="C71" s="392" t="s">
        <v>866</v>
      </c>
      <c r="D71" s="392"/>
      <c r="E71" s="392"/>
      <c r="F71" s="392"/>
      <c r="G71" s="50" t="s">
        <v>783</v>
      </c>
      <c r="H71" s="50" t="s">
        <v>783</v>
      </c>
      <c r="I71" s="50" t="s">
        <v>783</v>
      </c>
      <c r="J71" s="36">
        <f>SUM(J72:J79)</f>
        <v>0</v>
      </c>
      <c r="K71" s="36">
        <f>SUM(K72:K79)</f>
        <v>0</v>
      </c>
      <c r="L71" s="36">
        <f>SUM(L72:L79)</f>
        <v>0</v>
      </c>
      <c r="M71" s="51" t="s">
        <v>586</v>
      </c>
      <c r="AI71" s="40" t="s">
        <v>586</v>
      </c>
      <c r="AS71" s="36">
        <f>SUM(AJ72:AJ79)</f>
        <v>0</v>
      </c>
      <c r="AT71" s="36">
        <f>SUM(AK72:AK79)</f>
        <v>0</v>
      </c>
      <c r="AU71" s="36">
        <f>SUM(AL72:AL79)</f>
        <v>0</v>
      </c>
    </row>
    <row r="72" spans="1:64" ht="15" customHeight="1">
      <c r="A72" s="9" t="s">
        <v>307</v>
      </c>
      <c r="B72" s="10" t="s">
        <v>254</v>
      </c>
      <c r="C72" s="366" t="s">
        <v>767</v>
      </c>
      <c r="D72" s="366"/>
      <c r="E72" s="366"/>
      <c r="F72" s="366"/>
      <c r="G72" s="10" t="s">
        <v>216</v>
      </c>
      <c r="H72" s="11">
        <v>1</v>
      </c>
      <c r="I72" s="11">
        <v>0</v>
      </c>
      <c r="J72" s="11">
        <f>H72*AO72</f>
        <v>0</v>
      </c>
      <c r="K72" s="11">
        <f>H72*AP72</f>
        <v>0</v>
      </c>
      <c r="L72" s="11">
        <f>H72*I72</f>
        <v>0</v>
      </c>
      <c r="M72" s="52" t="s">
        <v>575</v>
      </c>
      <c r="Z72" s="11">
        <f>IF(AQ72="5",BJ72,0)</f>
        <v>0</v>
      </c>
      <c r="AB72" s="11">
        <f>IF(AQ72="1",BH72,0)</f>
        <v>0</v>
      </c>
      <c r="AC72" s="11">
        <f>IF(AQ72="1",BI72,0)</f>
        <v>0</v>
      </c>
      <c r="AD72" s="11">
        <f>IF(AQ72="7",BH72,0)</f>
        <v>0</v>
      </c>
      <c r="AE72" s="11">
        <f>IF(AQ72="7",BI72,0)</f>
        <v>0</v>
      </c>
      <c r="AF72" s="11">
        <f>IF(AQ72="2",BH72,0)</f>
        <v>0</v>
      </c>
      <c r="AG72" s="11">
        <f>IF(AQ72="2",BI72,0)</f>
        <v>0</v>
      </c>
      <c r="AH72" s="11">
        <f>IF(AQ72="0",BJ72,0)</f>
        <v>0</v>
      </c>
      <c r="AI72" s="40" t="s">
        <v>586</v>
      </c>
      <c r="AJ72" s="11">
        <f>IF(AN72=0,L72,0)</f>
        <v>0</v>
      </c>
      <c r="AK72" s="11">
        <f>IF(AN72=15,L72,0)</f>
        <v>0</v>
      </c>
      <c r="AL72" s="11">
        <f>IF(AN72=21,L72,0)</f>
        <v>0</v>
      </c>
      <c r="AN72" s="11">
        <v>21</v>
      </c>
      <c r="AO72" s="11">
        <f>I72*0</f>
        <v>0</v>
      </c>
      <c r="AP72" s="11">
        <f>I72*(1-0)</f>
        <v>0</v>
      </c>
      <c r="AQ72" s="12" t="s">
        <v>841</v>
      </c>
      <c r="AV72" s="11">
        <f>AW72+AX72</f>
        <v>0</v>
      </c>
      <c r="AW72" s="11">
        <f>H72*AO72</f>
        <v>0</v>
      </c>
      <c r="AX72" s="11">
        <f>H72*AP72</f>
        <v>0</v>
      </c>
      <c r="AY72" s="12" t="s">
        <v>568</v>
      </c>
      <c r="AZ72" s="12" t="s">
        <v>107</v>
      </c>
      <c r="BA72" s="40" t="s">
        <v>647</v>
      </c>
      <c r="BC72" s="11">
        <f>AW72+AX72</f>
        <v>0</v>
      </c>
      <c r="BD72" s="11">
        <f>I72/(100-BE72)*100</f>
        <v>0</v>
      </c>
      <c r="BE72" s="11">
        <v>0</v>
      </c>
      <c r="BF72" s="11">
        <f>80</f>
        <v>80</v>
      </c>
      <c r="BH72" s="11">
        <f>H72*AO72</f>
        <v>0</v>
      </c>
      <c r="BI72" s="11">
        <f>H72*AP72</f>
        <v>0</v>
      </c>
      <c r="BJ72" s="11">
        <f>H72*I72</f>
        <v>0</v>
      </c>
      <c r="BK72" s="11"/>
      <c r="BL72" s="11">
        <v>64</v>
      </c>
    </row>
    <row r="73" spans="1:64" ht="13.5" customHeight="1">
      <c r="A73" s="53"/>
      <c r="B73" s="54" t="s">
        <v>440</v>
      </c>
      <c r="C73" s="394" t="s">
        <v>723</v>
      </c>
      <c r="D73" s="395"/>
      <c r="E73" s="395"/>
      <c r="F73" s="395"/>
      <c r="G73" s="395"/>
      <c r="H73" s="395"/>
      <c r="I73" s="395"/>
      <c r="J73" s="395"/>
      <c r="K73" s="395"/>
      <c r="L73" s="395"/>
      <c r="M73" s="396"/>
    </row>
    <row r="74" spans="1:64" ht="15" customHeight="1">
      <c r="A74" s="9" t="s">
        <v>681</v>
      </c>
      <c r="B74" s="10" t="s">
        <v>491</v>
      </c>
      <c r="C74" s="366" t="s">
        <v>748</v>
      </c>
      <c r="D74" s="366"/>
      <c r="E74" s="366"/>
      <c r="F74" s="366"/>
      <c r="G74" s="10" t="s">
        <v>216</v>
      </c>
      <c r="H74" s="11">
        <v>1</v>
      </c>
      <c r="I74" s="11">
        <v>0</v>
      </c>
      <c r="J74" s="11">
        <f>H74*AO74</f>
        <v>0</v>
      </c>
      <c r="K74" s="11">
        <f>H74*AP74</f>
        <v>0</v>
      </c>
      <c r="L74" s="11">
        <f>H74*I74</f>
        <v>0</v>
      </c>
      <c r="M74" s="52" t="s">
        <v>575</v>
      </c>
      <c r="Z74" s="11">
        <f>IF(AQ74="5",BJ74,0)</f>
        <v>0</v>
      </c>
      <c r="AB74" s="11">
        <f>IF(AQ74="1",BH74,0)</f>
        <v>0</v>
      </c>
      <c r="AC74" s="11">
        <f>IF(AQ74="1",BI74,0)</f>
        <v>0</v>
      </c>
      <c r="AD74" s="11">
        <f>IF(AQ74="7",BH74,0)</f>
        <v>0</v>
      </c>
      <c r="AE74" s="11">
        <f>IF(AQ74="7",BI74,0)</f>
        <v>0</v>
      </c>
      <c r="AF74" s="11">
        <f>IF(AQ74="2",BH74,0)</f>
        <v>0</v>
      </c>
      <c r="AG74" s="11">
        <f>IF(AQ74="2",BI74,0)</f>
        <v>0</v>
      </c>
      <c r="AH74" s="11">
        <f>IF(AQ74="0",BJ74,0)</f>
        <v>0</v>
      </c>
      <c r="AI74" s="40" t="s">
        <v>586</v>
      </c>
      <c r="AJ74" s="11">
        <f>IF(AN74=0,L74,0)</f>
        <v>0</v>
      </c>
      <c r="AK74" s="11">
        <f>IF(AN74=15,L74,0)</f>
        <v>0</v>
      </c>
      <c r="AL74" s="11">
        <f>IF(AN74=21,L74,0)</f>
        <v>0</v>
      </c>
      <c r="AN74" s="11">
        <v>21</v>
      </c>
      <c r="AO74" s="11">
        <f>I74*1</f>
        <v>0</v>
      </c>
      <c r="AP74" s="11">
        <f>I74*(1-1)</f>
        <v>0</v>
      </c>
      <c r="AQ74" s="12" t="s">
        <v>841</v>
      </c>
      <c r="AV74" s="11">
        <f>AW74+AX74</f>
        <v>0</v>
      </c>
      <c r="AW74" s="11">
        <f>H74*AO74</f>
        <v>0</v>
      </c>
      <c r="AX74" s="11">
        <f>H74*AP74</f>
        <v>0</v>
      </c>
      <c r="AY74" s="12" t="s">
        <v>568</v>
      </c>
      <c r="AZ74" s="12" t="s">
        <v>107</v>
      </c>
      <c r="BA74" s="40" t="s">
        <v>647</v>
      </c>
      <c r="BC74" s="11">
        <f>AW74+AX74</f>
        <v>0</v>
      </c>
      <c r="BD74" s="11">
        <f>I74/(100-BE74)*100</f>
        <v>0</v>
      </c>
      <c r="BE74" s="11">
        <v>0</v>
      </c>
      <c r="BF74" s="11">
        <f>82</f>
        <v>82</v>
      </c>
      <c r="BH74" s="11">
        <f>H74*AO74</f>
        <v>0</v>
      </c>
      <c r="BI74" s="11">
        <f>H74*AP74</f>
        <v>0</v>
      </c>
      <c r="BJ74" s="11">
        <f>H74*I74</f>
        <v>0</v>
      </c>
      <c r="BK74" s="11"/>
      <c r="BL74" s="11">
        <v>64</v>
      </c>
    </row>
    <row r="75" spans="1:64" ht="15" customHeight="1">
      <c r="A75" s="9" t="s">
        <v>873</v>
      </c>
      <c r="B75" s="10" t="s">
        <v>43</v>
      </c>
      <c r="C75" s="366" t="s">
        <v>767</v>
      </c>
      <c r="D75" s="366"/>
      <c r="E75" s="366"/>
      <c r="F75" s="366"/>
      <c r="G75" s="10" t="s">
        <v>216</v>
      </c>
      <c r="H75" s="11">
        <v>1</v>
      </c>
      <c r="I75" s="11">
        <v>0</v>
      </c>
      <c r="J75" s="11">
        <f>H75*AO75</f>
        <v>0</v>
      </c>
      <c r="K75" s="11">
        <f>H75*AP75</f>
        <v>0</v>
      </c>
      <c r="L75" s="11">
        <f>H75*I75</f>
        <v>0</v>
      </c>
      <c r="M75" s="52" t="s">
        <v>575</v>
      </c>
      <c r="Z75" s="11">
        <f>IF(AQ75="5",BJ75,0)</f>
        <v>0</v>
      </c>
      <c r="AB75" s="11">
        <f>IF(AQ75="1",BH75,0)</f>
        <v>0</v>
      </c>
      <c r="AC75" s="11">
        <f>IF(AQ75="1",BI75,0)</f>
        <v>0</v>
      </c>
      <c r="AD75" s="11">
        <f>IF(AQ75="7",BH75,0)</f>
        <v>0</v>
      </c>
      <c r="AE75" s="11">
        <f>IF(AQ75="7",BI75,0)</f>
        <v>0</v>
      </c>
      <c r="AF75" s="11">
        <f>IF(AQ75="2",BH75,0)</f>
        <v>0</v>
      </c>
      <c r="AG75" s="11">
        <f>IF(AQ75="2",BI75,0)</f>
        <v>0</v>
      </c>
      <c r="AH75" s="11">
        <f>IF(AQ75="0",BJ75,0)</f>
        <v>0</v>
      </c>
      <c r="AI75" s="40" t="s">
        <v>586</v>
      </c>
      <c r="AJ75" s="11">
        <f>IF(AN75=0,L75,0)</f>
        <v>0</v>
      </c>
      <c r="AK75" s="11">
        <f>IF(AN75=15,L75,0)</f>
        <v>0</v>
      </c>
      <c r="AL75" s="11">
        <f>IF(AN75=21,L75,0)</f>
        <v>0</v>
      </c>
      <c r="AN75" s="11">
        <v>21</v>
      </c>
      <c r="AO75" s="11">
        <f>I75*0.656402116402116</f>
        <v>0</v>
      </c>
      <c r="AP75" s="11">
        <f>I75*(1-0.656402116402116)</f>
        <v>0</v>
      </c>
      <c r="AQ75" s="12" t="s">
        <v>841</v>
      </c>
      <c r="AV75" s="11">
        <f>AW75+AX75</f>
        <v>0</v>
      </c>
      <c r="AW75" s="11">
        <f>H75*AO75</f>
        <v>0</v>
      </c>
      <c r="AX75" s="11">
        <f>H75*AP75</f>
        <v>0</v>
      </c>
      <c r="AY75" s="12" t="s">
        <v>568</v>
      </c>
      <c r="AZ75" s="12" t="s">
        <v>107</v>
      </c>
      <c r="BA75" s="40" t="s">
        <v>647</v>
      </c>
      <c r="BC75" s="11">
        <f>AW75+AX75</f>
        <v>0</v>
      </c>
      <c r="BD75" s="11">
        <f>I75/(100-BE75)*100</f>
        <v>0</v>
      </c>
      <c r="BE75" s="11">
        <v>0</v>
      </c>
      <c r="BF75" s="11">
        <f>83</f>
        <v>83</v>
      </c>
      <c r="BH75" s="11">
        <f>H75*AO75</f>
        <v>0</v>
      </c>
      <c r="BI75" s="11">
        <f>H75*AP75</f>
        <v>0</v>
      </c>
      <c r="BJ75" s="11">
        <f>H75*I75</f>
        <v>0</v>
      </c>
      <c r="BK75" s="11"/>
      <c r="BL75" s="11">
        <v>64</v>
      </c>
    </row>
    <row r="76" spans="1:64" ht="13.5" customHeight="1">
      <c r="A76" s="53"/>
      <c r="B76" s="54" t="s">
        <v>440</v>
      </c>
      <c r="C76" s="394" t="s">
        <v>894</v>
      </c>
      <c r="D76" s="395"/>
      <c r="E76" s="395"/>
      <c r="F76" s="395"/>
      <c r="G76" s="395"/>
      <c r="H76" s="395"/>
      <c r="I76" s="395"/>
      <c r="J76" s="395"/>
      <c r="K76" s="395"/>
      <c r="L76" s="395"/>
      <c r="M76" s="396"/>
    </row>
    <row r="77" spans="1:64" ht="15" customHeight="1">
      <c r="A77" s="9" t="s">
        <v>60</v>
      </c>
      <c r="B77" s="10" t="s">
        <v>382</v>
      </c>
      <c r="C77" s="366" t="s">
        <v>767</v>
      </c>
      <c r="D77" s="366"/>
      <c r="E77" s="366"/>
      <c r="F77" s="366"/>
      <c r="G77" s="10" t="s">
        <v>216</v>
      </c>
      <c r="H77" s="11">
        <v>2</v>
      </c>
      <c r="I77" s="11">
        <v>0</v>
      </c>
      <c r="J77" s="11">
        <f>H77*AO77</f>
        <v>0</v>
      </c>
      <c r="K77" s="11">
        <f>H77*AP77</f>
        <v>0</v>
      </c>
      <c r="L77" s="11">
        <f>H77*I77</f>
        <v>0</v>
      </c>
      <c r="M77" s="52" t="s">
        <v>575</v>
      </c>
      <c r="Z77" s="11">
        <f>IF(AQ77="5",BJ77,0)</f>
        <v>0</v>
      </c>
      <c r="AB77" s="11">
        <f>IF(AQ77="1",BH77,0)</f>
        <v>0</v>
      </c>
      <c r="AC77" s="11">
        <f>IF(AQ77="1",BI77,0)</f>
        <v>0</v>
      </c>
      <c r="AD77" s="11">
        <f>IF(AQ77="7",BH77,0)</f>
        <v>0</v>
      </c>
      <c r="AE77" s="11">
        <f>IF(AQ77="7",BI77,0)</f>
        <v>0</v>
      </c>
      <c r="AF77" s="11">
        <f>IF(AQ77="2",BH77,0)</f>
        <v>0</v>
      </c>
      <c r="AG77" s="11">
        <f>IF(AQ77="2",BI77,0)</f>
        <v>0</v>
      </c>
      <c r="AH77" s="11">
        <f>IF(AQ77="0",BJ77,0)</f>
        <v>0</v>
      </c>
      <c r="AI77" s="40" t="s">
        <v>586</v>
      </c>
      <c r="AJ77" s="11">
        <f>IF(AN77=0,L77,0)</f>
        <v>0</v>
      </c>
      <c r="AK77" s="11">
        <f>IF(AN77=15,L77,0)</f>
        <v>0</v>
      </c>
      <c r="AL77" s="11">
        <f>IF(AN77=21,L77,0)</f>
        <v>0</v>
      </c>
      <c r="AN77" s="11">
        <v>21</v>
      </c>
      <c r="AO77" s="11">
        <f>I77*0.698887171561051</f>
        <v>0</v>
      </c>
      <c r="AP77" s="11">
        <f>I77*(1-0.698887171561051)</f>
        <v>0</v>
      </c>
      <c r="AQ77" s="12" t="s">
        <v>841</v>
      </c>
      <c r="AV77" s="11">
        <f>AW77+AX77</f>
        <v>0</v>
      </c>
      <c r="AW77" s="11">
        <f>H77*AO77</f>
        <v>0</v>
      </c>
      <c r="AX77" s="11">
        <f>H77*AP77</f>
        <v>0</v>
      </c>
      <c r="AY77" s="12" t="s">
        <v>568</v>
      </c>
      <c r="AZ77" s="12" t="s">
        <v>107</v>
      </c>
      <c r="BA77" s="40" t="s">
        <v>647</v>
      </c>
      <c r="BC77" s="11">
        <f>AW77+AX77</f>
        <v>0</v>
      </c>
      <c r="BD77" s="11">
        <f>I77/(100-BE77)*100</f>
        <v>0</v>
      </c>
      <c r="BE77" s="11">
        <v>0</v>
      </c>
      <c r="BF77" s="11">
        <f>85</f>
        <v>85</v>
      </c>
      <c r="BH77" s="11">
        <f>H77*AO77</f>
        <v>0</v>
      </c>
      <c r="BI77" s="11">
        <f>H77*AP77</f>
        <v>0</v>
      </c>
      <c r="BJ77" s="11">
        <f>H77*I77</f>
        <v>0</v>
      </c>
      <c r="BK77" s="11"/>
      <c r="BL77" s="11">
        <v>64</v>
      </c>
    </row>
    <row r="78" spans="1:64" ht="13.5" customHeight="1">
      <c r="A78" s="53"/>
      <c r="B78" s="54" t="s">
        <v>440</v>
      </c>
      <c r="C78" s="394" t="s">
        <v>313</v>
      </c>
      <c r="D78" s="395"/>
      <c r="E78" s="395"/>
      <c r="F78" s="395"/>
      <c r="G78" s="395"/>
      <c r="H78" s="395"/>
      <c r="I78" s="395"/>
      <c r="J78" s="395"/>
      <c r="K78" s="395"/>
      <c r="L78" s="395"/>
      <c r="M78" s="396"/>
    </row>
    <row r="79" spans="1:64" ht="15" customHeight="1">
      <c r="A79" s="9" t="s">
        <v>654</v>
      </c>
      <c r="B79" s="10" t="s">
        <v>259</v>
      </c>
      <c r="C79" s="366" t="s">
        <v>301</v>
      </c>
      <c r="D79" s="366"/>
      <c r="E79" s="366"/>
      <c r="F79" s="366"/>
      <c r="G79" s="10" t="s">
        <v>216</v>
      </c>
      <c r="H79" s="11">
        <v>1</v>
      </c>
      <c r="I79" s="11">
        <v>0</v>
      </c>
      <c r="J79" s="11">
        <f>H79*AO79</f>
        <v>0</v>
      </c>
      <c r="K79" s="11">
        <f>H79*AP79</f>
        <v>0</v>
      </c>
      <c r="L79" s="11">
        <f>H79*I79</f>
        <v>0</v>
      </c>
      <c r="M79" s="52" t="s">
        <v>575</v>
      </c>
      <c r="Z79" s="11">
        <f>IF(AQ79="5",BJ79,0)</f>
        <v>0</v>
      </c>
      <c r="AB79" s="11">
        <f>IF(AQ79="1",BH79,0)</f>
        <v>0</v>
      </c>
      <c r="AC79" s="11">
        <f>IF(AQ79="1",BI79,0)</f>
        <v>0</v>
      </c>
      <c r="AD79" s="11">
        <f>IF(AQ79="7",BH79,0)</f>
        <v>0</v>
      </c>
      <c r="AE79" s="11">
        <f>IF(AQ79="7",BI79,0)</f>
        <v>0</v>
      </c>
      <c r="AF79" s="11">
        <f>IF(AQ79="2",BH79,0)</f>
        <v>0</v>
      </c>
      <c r="AG79" s="11">
        <f>IF(AQ79="2",BI79,0)</f>
        <v>0</v>
      </c>
      <c r="AH79" s="11">
        <f>IF(AQ79="0",BJ79,0)</f>
        <v>0</v>
      </c>
      <c r="AI79" s="40" t="s">
        <v>586</v>
      </c>
      <c r="AJ79" s="11">
        <f>IF(AN79=0,L79,0)</f>
        <v>0</v>
      </c>
      <c r="AK79" s="11">
        <f>IF(AN79=15,L79,0)</f>
        <v>0</v>
      </c>
      <c r="AL79" s="11">
        <f>IF(AN79=21,L79,0)</f>
        <v>0</v>
      </c>
      <c r="AN79" s="11">
        <v>21</v>
      </c>
      <c r="AO79" s="11">
        <f>I79*0.386498250485455</f>
        <v>0</v>
      </c>
      <c r="AP79" s="11">
        <f>I79*(1-0.386498250485455)</f>
        <v>0</v>
      </c>
      <c r="AQ79" s="12" t="s">
        <v>841</v>
      </c>
      <c r="AV79" s="11">
        <f>AW79+AX79</f>
        <v>0</v>
      </c>
      <c r="AW79" s="11">
        <f>H79*AO79</f>
        <v>0</v>
      </c>
      <c r="AX79" s="11">
        <f>H79*AP79</f>
        <v>0</v>
      </c>
      <c r="AY79" s="12" t="s">
        <v>568</v>
      </c>
      <c r="AZ79" s="12" t="s">
        <v>107</v>
      </c>
      <c r="BA79" s="40" t="s">
        <v>647</v>
      </c>
      <c r="BC79" s="11">
        <f>AW79+AX79</f>
        <v>0</v>
      </c>
      <c r="BD79" s="11">
        <f>I79/(100-BE79)*100</f>
        <v>0</v>
      </c>
      <c r="BE79" s="11">
        <v>0</v>
      </c>
      <c r="BF79" s="11">
        <f>87</f>
        <v>87</v>
      </c>
      <c r="BH79" s="11">
        <f>H79*AO79</f>
        <v>0</v>
      </c>
      <c r="BI79" s="11">
        <f>H79*AP79</f>
        <v>0</v>
      </c>
      <c r="BJ79" s="11">
        <f>H79*I79</f>
        <v>0</v>
      </c>
      <c r="BK79" s="11"/>
      <c r="BL79" s="11">
        <v>64</v>
      </c>
    </row>
    <row r="80" spans="1:64" ht="13.5" customHeight="1">
      <c r="A80" s="53"/>
      <c r="B80" s="54" t="s">
        <v>440</v>
      </c>
      <c r="C80" s="394" t="s">
        <v>113</v>
      </c>
      <c r="D80" s="395"/>
      <c r="E80" s="395"/>
      <c r="F80" s="395"/>
      <c r="G80" s="395"/>
      <c r="H80" s="395"/>
      <c r="I80" s="395"/>
      <c r="J80" s="395"/>
      <c r="K80" s="395"/>
      <c r="L80" s="395"/>
      <c r="M80" s="396"/>
    </row>
    <row r="81" spans="1:64" ht="15" customHeight="1">
      <c r="A81" s="48" t="s">
        <v>586</v>
      </c>
      <c r="B81" s="49" t="s">
        <v>898</v>
      </c>
      <c r="C81" s="392" t="s">
        <v>547</v>
      </c>
      <c r="D81" s="392"/>
      <c r="E81" s="392"/>
      <c r="F81" s="392"/>
      <c r="G81" s="50" t="s">
        <v>783</v>
      </c>
      <c r="H81" s="50" t="s">
        <v>783</v>
      </c>
      <c r="I81" s="50" t="s">
        <v>783</v>
      </c>
      <c r="J81" s="36">
        <f>SUM(J82:J88)</f>
        <v>0</v>
      </c>
      <c r="K81" s="36">
        <f>SUM(K82:K88)</f>
        <v>0</v>
      </c>
      <c r="L81" s="36">
        <f>SUM(L82:L88)</f>
        <v>0</v>
      </c>
      <c r="M81" s="51" t="s">
        <v>586</v>
      </c>
      <c r="AI81" s="40" t="s">
        <v>586</v>
      </c>
      <c r="AS81" s="36">
        <f>SUM(AJ82:AJ88)</f>
        <v>0</v>
      </c>
      <c r="AT81" s="36">
        <f>SUM(AK82:AK88)</f>
        <v>0</v>
      </c>
      <c r="AU81" s="36">
        <f>SUM(AL82:AL88)</f>
        <v>0</v>
      </c>
    </row>
    <row r="82" spans="1:64" ht="15" customHeight="1">
      <c r="A82" s="9" t="s">
        <v>696</v>
      </c>
      <c r="B82" s="10" t="s">
        <v>370</v>
      </c>
      <c r="C82" s="366" t="s">
        <v>28</v>
      </c>
      <c r="D82" s="366"/>
      <c r="E82" s="366"/>
      <c r="F82" s="366"/>
      <c r="G82" s="10" t="s">
        <v>216</v>
      </c>
      <c r="H82" s="11">
        <v>1</v>
      </c>
      <c r="I82" s="11">
        <v>0</v>
      </c>
      <c r="J82" s="11">
        <f>H82*AO82</f>
        <v>0</v>
      </c>
      <c r="K82" s="11">
        <f>H82*AP82</f>
        <v>0</v>
      </c>
      <c r="L82" s="11">
        <f>H82*I82</f>
        <v>0</v>
      </c>
      <c r="M82" s="52" t="s">
        <v>575</v>
      </c>
      <c r="Z82" s="11">
        <f>IF(AQ82="5",BJ82,0)</f>
        <v>0</v>
      </c>
      <c r="AB82" s="11">
        <f>IF(AQ82="1",BH82,0)</f>
        <v>0</v>
      </c>
      <c r="AC82" s="11">
        <f>IF(AQ82="1",BI82,0)</f>
        <v>0</v>
      </c>
      <c r="AD82" s="11">
        <f>IF(AQ82="7",BH82,0)</f>
        <v>0</v>
      </c>
      <c r="AE82" s="11">
        <f>IF(AQ82="7",BI82,0)</f>
        <v>0</v>
      </c>
      <c r="AF82" s="11">
        <f>IF(AQ82="2",BH82,0)</f>
        <v>0</v>
      </c>
      <c r="AG82" s="11">
        <f>IF(AQ82="2",BI82,0)</f>
        <v>0</v>
      </c>
      <c r="AH82" s="11">
        <f>IF(AQ82="0",BJ82,0)</f>
        <v>0</v>
      </c>
      <c r="AI82" s="40" t="s">
        <v>586</v>
      </c>
      <c r="AJ82" s="11">
        <f>IF(AN82=0,L82,0)</f>
        <v>0</v>
      </c>
      <c r="AK82" s="11">
        <f>IF(AN82=15,L82,0)</f>
        <v>0</v>
      </c>
      <c r="AL82" s="11">
        <f>IF(AN82=21,L82,0)</f>
        <v>0</v>
      </c>
      <c r="AN82" s="11">
        <v>21</v>
      </c>
      <c r="AO82" s="11">
        <f>I82*0.615785567010309</f>
        <v>0</v>
      </c>
      <c r="AP82" s="11">
        <f>I82*(1-0.615785567010309)</f>
        <v>0</v>
      </c>
      <c r="AQ82" s="12" t="s">
        <v>841</v>
      </c>
      <c r="AV82" s="11">
        <f>AW82+AX82</f>
        <v>0</v>
      </c>
      <c r="AW82" s="11">
        <f>H82*AO82</f>
        <v>0</v>
      </c>
      <c r="AX82" s="11">
        <f>H82*AP82</f>
        <v>0</v>
      </c>
      <c r="AY82" s="12" t="s">
        <v>63</v>
      </c>
      <c r="AZ82" s="12" t="s">
        <v>722</v>
      </c>
      <c r="BA82" s="40" t="s">
        <v>647</v>
      </c>
      <c r="BC82" s="11">
        <f>AW82+AX82</f>
        <v>0</v>
      </c>
      <c r="BD82" s="11">
        <f>I82/(100-BE82)*100</f>
        <v>0</v>
      </c>
      <c r="BE82" s="11">
        <v>0</v>
      </c>
      <c r="BF82" s="11">
        <f>90</f>
        <v>90</v>
      </c>
      <c r="BH82" s="11">
        <f>H82*AO82</f>
        <v>0</v>
      </c>
      <c r="BI82" s="11">
        <f>H82*AP82</f>
        <v>0</v>
      </c>
      <c r="BJ82" s="11">
        <f>H82*I82</f>
        <v>0</v>
      </c>
      <c r="BK82" s="11"/>
      <c r="BL82" s="11">
        <v>89</v>
      </c>
    </row>
    <row r="83" spans="1:64" ht="13.5" customHeight="1">
      <c r="A83" s="53"/>
      <c r="B83" s="54" t="s">
        <v>440</v>
      </c>
      <c r="C83" s="394" t="s">
        <v>533</v>
      </c>
      <c r="D83" s="395"/>
      <c r="E83" s="395"/>
      <c r="F83" s="395"/>
      <c r="G83" s="395"/>
      <c r="H83" s="395"/>
      <c r="I83" s="395"/>
      <c r="J83" s="395"/>
      <c r="K83" s="395"/>
      <c r="L83" s="395"/>
      <c r="M83" s="396"/>
    </row>
    <row r="84" spans="1:64" ht="15" customHeight="1">
      <c r="A84" s="9" t="s">
        <v>368</v>
      </c>
      <c r="B84" s="10" t="s">
        <v>185</v>
      </c>
      <c r="C84" s="366" t="s">
        <v>343</v>
      </c>
      <c r="D84" s="366"/>
      <c r="E84" s="366"/>
      <c r="F84" s="366"/>
      <c r="G84" s="10" t="s">
        <v>216</v>
      </c>
      <c r="H84" s="11">
        <v>1</v>
      </c>
      <c r="I84" s="11">
        <v>0</v>
      </c>
      <c r="J84" s="11">
        <f>H84*AO84</f>
        <v>0</v>
      </c>
      <c r="K84" s="11">
        <f>H84*AP84</f>
        <v>0</v>
      </c>
      <c r="L84" s="11">
        <f>H84*I84</f>
        <v>0</v>
      </c>
      <c r="M84" s="52" t="s">
        <v>575</v>
      </c>
      <c r="Z84" s="11">
        <f>IF(AQ84="5",BJ84,0)</f>
        <v>0</v>
      </c>
      <c r="AB84" s="11">
        <f>IF(AQ84="1",BH84,0)</f>
        <v>0</v>
      </c>
      <c r="AC84" s="11">
        <f>IF(AQ84="1",BI84,0)</f>
        <v>0</v>
      </c>
      <c r="AD84" s="11">
        <f>IF(AQ84="7",BH84,0)</f>
        <v>0</v>
      </c>
      <c r="AE84" s="11">
        <f>IF(AQ84="7",BI84,0)</f>
        <v>0</v>
      </c>
      <c r="AF84" s="11">
        <f>IF(AQ84="2",BH84,0)</f>
        <v>0</v>
      </c>
      <c r="AG84" s="11">
        <f>IF(AQ84="2",BI84,0)</f>
        <v>0</v>
      </c>
      <c r="AH84" s="11">
        <f>IF(AQ84="0",BJ84,0)</f>
        <v>0</v>
      </c>
      <c r="AI84" s="40" t="s">
        <v>586</v>
      </c>
      <c r="AJ84" s="11">
        <f>IF(AN84=0,L84,0)</f>
        <v>0</v>
      </c>
      <c r="AK84" s="11">
        <f>IF(AN84=15,L84,0)</f>
        <v>0</v>
      </c>
      <c r="AL84" s="11">
        <f>IF(AN84=21,L84,0)</f>
        <v>0</v>
      </c>
      <c r="AN84" s="11">
        <v>21</v>
      </c>
      <c r="AO84" s="11">
        <f>I84*0.682006825938567</f>
        <v>0</v>
      </c>
      <c r="AP84" s="11">
        <f>I84*(1-0.682006825938567)</f>
        <v>0</v>
      </c>
      <c r="AQ84" s="12" t="s">
        <v>841</v>
      </c>
      <c r="AV84" s="11">
        <f>AW84+AX84</f>
        <v>0</v>
      </c>
      <c r="AW84" s="11">
        <f>H84*AO84</f>
        <v>0</v>
      </c>
      <c r="AX84" s="11">
        <f>H84*AP84</f>
        <v>0</v>
      </c>
      <c r="AY84" s="12" t="s">
        <v>63</v>
      </c>
      <c r="AZ84" s="12" t="s">
        <v>722</v>
      </c>
      <c r="BA84" s="40" t="s">
        <v>647</v>
      </c>
      <c r="BC84" s="11">
        <f>AW84+AX84</f>
        <v>0</v>
      </c>
      <c r="BD84" s="11">
        <f>I84/(100-BE84)*100</f>
        <v>0</v>
      </c>
      <c r="BE84" s="11">
        <v>0</v>
      </c>
      <c r="BF84" s="11">
        <f>92</f>
        <v>92</v>
      </c>
      <c r="BH84" s="11">
        <f>H84*AO84</f>
        <v>0</v>
      </c>
      <c r="BI84" s="11">
        <f>H84*AP84</f>
        <v>0</v>
      </c>
      <c r="BJ84" s="11">
        <f>H84*I84</f>
        <v>0</v>
      </c>
      <c r="BK84" s="11"/>
      <c r="BL84" s="11">
        <v>89</v>
      </c>
    </row>
    <row r="85" spans="1:64" ht="13.5" customHeight="1">
      <c r="A85" s="53"/>
      <c r="B85" s="54" t="s">
        <v>440</v>
      </c>
      <c r="C85" s="394" t="s">
        <v>619</v>
      </c>
      <c r="D85" s="395"/>
      <c r="E85" s="395"/>
      <c r="F85" s="395"/>
      <c r="G85" s="395"/>
      <c r="H85" s="395"/>
      <c r="I85" s="395"/>
      <c r="J85" s="395"/>
      <c r="K85" s="395"/>
      <c r="L85" s="395"/>
      <c r="M85" s="396"/>
    </row>
    <row r="86" spans="1:64" ht="15" customHeight="1">
      <c r="A86" s="9" t="s">
        <v>365</v>
      </c>
      <c r="B86" s="10" t="s">
        <v>155</v>
      </c>
      <c r="C86" s="366" t="s">
        <v>888</v>
      </c>
      <c r="D86" s="366"/>
      <c r="E86" s="366"/>
      <c r="F86" s="366"/>
      <c r="G86" s="10" t="s">
        <v>216</v>
      </c>
      <c r="H86" s="11">
        <v>1</v>
      </c>
      <c r="I86" s="11">
        <v>0</v>
      </c>
      <c r="J86" s="11">
        <f>H86*AO86</f>
        <v>0</v>
      </c>
      <c r="K86" s="11">
        <f>H86*AP86</f>
        <v>0</v>
      </c>
      <c r="L86" s="11">
        <f>H86*I86</f>
        <v>0</v>
      </c>
      <c r="M86" s="52" t="s">
        <v>575</v>
      </c>
      <c r="Z86" s="11">
        <f>IF(AQ86="5",BJ86,0)</f>
        <v>0</v>
      </c>
      <c r="AB86" s="11">
        <f>IF(AQ86="1",BH86,0)</f>
        <v>0</v>
      </c>
      <c r="AC86" s="11">
        <f>IF(AQ86="1",BI86,0)</f>
        <v>0</v>
      </c>
      <c r="AD86" s="11">
        <f>IF(AQ86="7",BH86,0)</f>
        <v>0</v>
      </c>
      <c r="AE86" s="11">
        <f>IF(AQ86="7",BI86,0)</f>
        <v>0</v>
      </c>
      <c r="AF86" s="11">
        <f>IF(AQ86="2",BH86,0)</f>
        <v>0</v>
      </c>
      <c r="AG86" s="11">
        <f>IF(AQ86="2",BI86,0)</f>
        <v>0</v>
      </c>
      <c r="AH86" s="11">
        <f>IF(AQ86="0",BJ86,0)</f>
        <v>0</v>
      </c>
      <c r="AI86" s="40" t="s">
        <v>586</v>
      </c>
      <c r="AJ86" s="11">
        <f>IF(AN86=0,L86,0)</f>
        <v>0</v>
      </c>
      <c r="AK86" s="11">
        <f>IF(AN86=15,L86,0)</f>
        <v>0</v>
      </c>
      <c r="AL86" s="11">
        <f>IF(AN86=21,L86,0)</f>
        <v>0</v>
      </c>
      <c r="AN86" s="11">
        <v>21</v>
      </c>
      <c r="AO86" s="11">
        <f>I86*0.111356898517674</f>
        <v>0</v>
      </c>
      <c r="AP86" s="11">
        <f>I86*(1-0.111356898517674)</f>
        <v>0</v>
      </c>
      <c r="AQ86" s="12" t="s">
        <v>841</v>
      </c>
      <c r="AV86" s="11">
        <f>AW86+AX86</f>
        <v>0</v>
      </c>
      <c r="AW86" s="11">
        <f>H86*AO86</f>
        <v>0</v>
      </c>
      <c r="AX86" s="11">
        <f>H86*AP86</f>
        <v>0</v>
      </c>
      <c r="AY86" s="12" t="s">
        <v>63</v>
      </c>
      <c r="AZ86" s="12" t="s">
        <v>722</v>
      </c>
      <c r="BA86" s="40" t="s">
        <v>647</v>
      </c>
      <c r="BC86" s="11">
        <f>AW86+AX86</f>
        <v>0</v>
      </c>
      <c r="BD86" s="11">
        <f>I86/(100-BE86)*100</f>
        <v>0</v>
      </c>
      <c r="BE86" s="11">
        <v>0</v>
      </c>
      <c r="BF86" s="11">
        <f>94</f>
        <v>94</v>
      </c>
      <c r="BH86" s="11">
        <f>H86*AO86</f>
        <v>0</v>
      </c>
      <c r="BI86" s="11">
        <f>H86*AP86</f>
        <v>0</v>
      </c>
      <c r="BJ86" s="11">
        <f>H86*I86</f>
        <v>0</v>
      </c>
      <c r="BK86" s="11"/>
      <c r="BL86" s="11">
        <v>89</v>
      </c>
    </row>
    <row r="87" spans="1:64" ht="15" customHeight="1">
      <c r="A87" s="9" t="s">
        <v>407</v>
      </c>
      <c r="B87" s="10" t="s">
        <v>839</v>
      </c>
      <c r="C87" s="366" t="s">
        <v>823</v>
      </c>
      <c r="D87" s="366"/>
      <c r="E87" s="366"/>
      <c r="F87" s="366"/>
      <c r="G87" s="10" t="s">
        <v>216</v>
      </c>
      <c r="H87" s="11">
        <v>1</v>
      </c>
      <c r="I87" s="11">
        <v>0</v>
      </c>
      <c r="J87" s="11">
        <f>H87*AO87</f>
        <v>0</v>
      </c>
      <c r="K87" s="11">
        <f>H87*AP87</f>
        <v>0</v>
      </c>
      <c r="L87" s="11">
        <f>H87*I87</f>
        <v>0</v>
      </c>
      <c r="M87" s="52" t="s">
        <v>575</v>
      </c>
      <c r="Z87" s="11">
        <f>IF(AQ87="5",BJ87,0)</f>
        <v>0</v>
      </c>
      <c r="AB87" s="11">
        <f>IF(AQ87="1",BH87,0)</f>
        <v>0</v>
      </c>
      <c r="AC87" s="11">
        <f>IF(AQ87="1",BI87,0)</f>
        <v>0</v>
      </c>
      <c r="AD87" s="11">
        <f>IF(AQ87="7",BH87,0)</f>
        <v>0</v>
      </c>
      <c r="AE87" s="11">
        <f>IF(AQ87="7",BI87,0)</f>
        <v>0</v>
      </c>
      <c r="AF87" s="11">
        <f>IF(AQ87="2",BH87,0)</f>
        <v>0</v>
      </c>
      <c r="AG87" s="11">
        <f>IF(AQ87="2",BI87,0)</f>
        <v>0</v>
      </c>
      <c r="AH87" s="11">
        <f>IF(AQ87="0",BJ87,0)</f>
        <v>0</v>
      </c>
      <c r="AI87" s="40" t="s">
        <v>586</v>
      </c>
      <c r="AJ87" s="11">
        <f>IF(AN87=0,L87,0)</f>
        <v>0</v>
      </c>
      <c r="AK87" s="11">
        <f>IF(AN87=15,L87,0)</f>
        <v>0</v>
      </c>
      <c r="AL87" s="11">
        <f>IF(AN87=21,L87,0)</f>
        <v>0</v>
      </c>
      <c r="AN87" s="11">
        <v>21</v>
      </c>
      <c r="AO87" s="11">
        <f>I87*1</f>
        <v>0</v>
      </c>
      <c r="AP87" s="11">
        <f>I87*(1-1)</f>
        <v>0</v>
      </c>
      <c r="AQ87" s="12" t="s">
        <v>841</v>
      </c>
      <c r="AV87" s="11">
        <f>AW87+AX87</f>
        <v>0</v>
      </c>
      <c r="AW87" s="11">
        <f>H87*AO87</f>
        <v>0</v>
      </c>
      <c r="AX87" s="11">
        <f>H87*AP87</f>
        <v>0</v>
      </c>
      <c r="AY87" s="12" t="s">
        <v>63</v>
      </c>
      <c r="AZ87" s="12" t="s">
        <v>722</v>
      </c>
      <c r="BA87" s="40" t="s">
        <v>647</v>
      </c>
      <c r="BC87" s="11">
        <f>AW87+AX87</f>
        <v>0</v>
      </c>
      <c r="BD87" s="11">
        <f>I87/(100-BE87)*100</f>
        <v>0</v>
      </c>
      <c r="BE87" s="11">
        <v>0</v>
      </c>
      <c r="BF87" s="11">
        <f>95</f>
        <v>95</v>
      </c>
      <c r="BH87" s="11">
        <f>H87*AO87</f>
        <v>0</v>
      </c>
      <c r="BI87" s="11">
        <f>H87*AP87</f>
        <v>0</v>
      </c>
      <c r="BJ87" s="11">
        <f>H87*I87</f>
        <v>0</v>
      </c>
      <c r="BK87" s="11"/>
      <c r="BL87" s="11">
        <v>89</v>
      </c>
    </row>
    <row r="88" spans="1:64" ht="15" customHeight="1">
      <c r="A88" s="9" t="s">
        <v>780</v>
      </c>
      <c r="B88" s="10" t="s">
        <v>15</v>
      </c>
      <c r="C88" s="366" t="s">
        <v>831</v>
      </c>
      <c r="D88" s="366"/>
      <c r="E88" s="366"/>
      <c r="F88" s="366"/>
      <c r="G88" s="10" t="s">
        <v>216</v>
      </c>
      <c r="H88" s="11">
        <v>1</v>
      </c>
      <c r="I88" s="11">
        <v>0</v>
      </c>
      <c r="J88" s="11">
        <f>H88*AO88</f>
        <v>0</v>
      </c>
      <c r="K88" s="11">
        <f>H88*AP88</f>
        <v>0</v>
      </c>
      <c r="L88" s="11">
        <f>H88*I88</f>
        <v>0</v>
      </c>
      <c r="M88" s="52" t="s">
        <v>575</v>
      </c>
      <c r="Z88" s="11">
        <f>IF(AQ88="5",BJ88,0)</f>
        <v>0</v>
      </c>
      <c r="AB88" s="11">
        <f>IF(AQ88="1",BH88,0)</f>
        <v>0</v>
      </c>
      <c r="AC88" s="11">
        <f>IF(AQ88="1",BI88,0)</f>
        <v>0</v>
      </c>
      <c r="AD88" s="11">
        <f>IF(AQ88="7",BH88,0)</f>
        <v>0</v>
      </c>
      <c r="AE88" s="11">
        <f>IF(AQ88="7",BI88,0)</f>
        <v>0</v>
      </c>
      <c r="AF88" s="11">
        <f>IF(AQ88="2",BH88,0)</f>
        <v>0</v>
      </c>
      <c r="AG88" s="11">
        <f>IF(AQ88="2",BI88,0)</f>
        <v>0</v>
      </c>
      <c r="AH88" s="11">
        <f>IF(AQ88="0",BJ88,0)</f>
        <v>0</v>
      </c>
      <c r="AI88" s="40" t="s">
        <v>586</v>
      </c>
      <c r="AJ88" s="11">
        <f>IF(AN88=0,L88,0)</f>
        <v>0</v>
      </c>
      <c r="AK88" s="11">
        <f>IF(AN88=15,L88,0)</f>
        <v>0</v>
      </c>
      <c r="AL88" s="11">
        <f>IF(AN88=21,L88,0)</f>
        <v>0</v>
      </c>
      <c r="AN88" s="11">
        <v>21</v>
      </c>
      <c r="AO88" s="11">
        <f>I88*0.826916666666667</f>
        <v>0</v>
      </c>
      <c r="AP88" s="11">
        <f>I88*(1-0.826916666666667)</f>
        <v>0</v>
      </c>
      <c r="AQ88" s="12" t="s">
        <v>841</v>
      </c>
      <c r="AV88" s="11">
        <f>AW88+AX88</f>
        <v>0</v>
      </c>
      <c r="AW88" s="11">
        <f>H88*AO88</f>
        <v>0</v>
      </c>
      <c r="AX88" s="11">
        <f>H88*AP88</f>
        <v>0</v>
      </c>
      <c r="AY88" s="12" t="s">
        <v>63</v>
      </c>
      <c r="AZ88" s="12" t="s">
        <v>722</v>
      </c>
      <c r="BA88" s="40" t="s">
        <v>647</v>
      </c>
      <c r="BC88" s="11">
        <f>AW88+AX88</f>
        <v>0</v>
      </c>
      <c r="BD88" s="11">
        <f>I88/(100-BE88)*100</f>
        <v>0</v>
      </c>
      <c r="BE88" s="11">
        <v>0</v>
      </c>
      <c r="BF88" s="11">
        <f>96</f>
        <v>96</v>
      </c>
      <c r="BH88" s="11">
        <f>H88*AO88</f>
        <v>0</v>
      </c>
      <c r="BI88" s="11">
        <f>H88*AP88</f>
        <v>0</v>
      </c>
      <c r="BJ88" s="11">
        <f>H88*I88</f>
        <v>0</v>
      </c>
      <c r="BK88" s="11"/>
      <c r="BL88" s="11">
        <v>89</v>
      </c>
    </row>
    <row r="89" spans="1:64" ht="13.5" customHeight="1">
      <c r="A89" s="53"/>
      <c r="B89" s="54" t="s">
        <v>440</v>
      </c>
      <c r="C89" s="394" t="s">
        <v>183</v>
      </c>
      <c r="D89" s="395"/>
      <c r="E89" s="395"/>
      <c r="F89" s="395"/>
      <c r="G89" s="395"/>
      <c r="H89" s="395"/>
      <c r="I89" s="395"/>
      <c r="J89" s="395"/>
      <c r="K89" s="395"/>
      <c r="L89" s="395"/>
      <c r="M89" s="396"/>
    </row>
    <row r="90" spans="1:64" ht="15" customHeight="1">
      <c r="A90" s="48" t="s">
        <v>586</v>
      </c>
      <c r="B90" s="49" t="s">
        <v>29</v>
      </c>
      <c r="C90" s="392" t="s">
        <v>318</v>
      </c>
      <c r="D90" s="392"/>
      <c r="E90" s="392"/>
      <c r="F90" s="392"/>
      <c r="G90" s="50" t="s">
        <v>783</v>
      </c>
      <c r="H90" s="50" t="s">
        <v>783</v>
      </c>
      <c r="I90" s="50" t="s">
        <v>783</v>
      </c>
      <c r="J90" s="36">
        <f>SUM(J91:J91)</f>
        <v>0</v>
      </c>
      <c r="K90" s="36">
        <f>SUM(K91:K91)</f>
        <v>0</v>
      </c>
      <c r="L90" s="36">
        <f>SUM(L91:L91)</f>
        <v>0</v>
      </c>
      <c r="M90" s="51" t="s">
        <v>586</v>
      </c>
      <c r="AI90" s="40" t="s">
        <v>586</v>
      </c>
      <c r="AS90" s="36">
        <f>SUM(AJ91:AJ91)</f>
        <v>0</v>
      </c>
      <c r="AT90" s="36">
        <f>SUM(AK91:AK91)</f>
        <v>0</v>
      </c>
      <c r="AU90" s="36">
        <f>SUM(AL91:AL91)</f>
        <v>0</v>
      </c>
    </row>
    <row r="91" spans="1:64" ht="15" customHeight="1">
      <c r="A91" s="9" t="s">
        <v>556</v>
      </c>
      <c r="B91" s="10" t="s">
        <v>887</v>
      </c>
      <c r="C91" s="366" t="s">
        <v>65</v>
      </c>
      <c r="D91" s="366"/>
      <c r="E91" s="366"/>
      <c r="F91" s="366"/>
      <c r="G91" s="10" t="s">
        <v>700</v>
      </c>
      <c r="H91" s="11">
        <v>4.5</v>
      </c>
      <c r="I91" s="11">
        <v>0</v>
      </c>
      <c r="J91" s="11">
        <f>H91*AO91</f>
        <v>0</v>
      </c>
      <c r="K91" s="11">
        <f>H91*AP91</f>
        <v>0</v>
      </c>
      <c r="L91" s="11">
        <f>H91*I91</f>
        <v>0</v>
      </c>
      <c r="M91" s="52" t="s">
        <v>575</v>
      </c>
      <c r="Z91" s="11">
        <f>IF(AQ91="5",BJ91,0)</f>
        <v>0</v>
      </c>
      <c r="AB91" s="11">
        <f>IF(AQ91="1",BH91,0)</f>
        <v>0</v>
      </c>
      <c r="AC91" s="11">
        <f>IF(AQ91="1",BI91,0)</f>
        <v>0</v>
      </c>
      <c r="AD91" s="11">
        <f>IF(AQ91="7",BH91,0)</f>
        <v>0</v>
      </c>
      <c r="AE91" s="11">
        <f>IF(AQ91="7",BI91,0)</f>
        <v>0</v>
      </c>
      <c r="AF91" s="11">
        <f>IF(AQ91="2",BH91,0)</f>
        <v>0</v>
      </c>
      <c r="AG91" s="11">
        <f>IF(AQ91="2",BI91,0)</f>
        <v>0</v>
      </c>
      <c r="AH91" s="11">
        <f>IF(AQ91="0",BJ91,0)</f>
        <v>0</v>
      </c>
      <c r="AI91" s="40" t="s">
        <v>586</v>
      </c>
      <c r="AJ91" s="11">
        <f>IF(AN91=0,L91,0)</f>
        <v>0</v>
      </c>
      <c r="AK91" s="11">
        <f>IF(AN91=15,L91,0)</f>
        <v>0</v>
      </c>
      <c r="AL91" s="11">
        <f>IF(AN91=21,L91,0)</f>
        <v>0</v>
      </c>
      <c r="AN91" s="11">
        <v>21</v>
      </c>
      <c r="AO91" s="11">
        <f>I91*0.753368237347295</f>
        <v>0</v>
      </c>
      <c r="AP91" s="11">
        <f>I91*(1-0.753368237347295)</f>
        <v>0</v>
      </c>
      <c r="AQ91" s="12" t="s">
        <v>841</v>
      </c>
      <c r="AV91" s="11">
        <f>AW91+AX91</f>
        <v>0</v>
      </c>
      <c r="AW91" s="11">
        <f>H91*AO91</f>
        <v>0</v>
      </c>
      <c r="AX91" s="11">
        <f>H91*AP91</f>
        <v>0</v>
      </c>
      <c r="AY91" s="12" t="s">
        <v>822</v>
      </c>
      <c r="AZ91" s="12" t="s">
        <v>314</v>
      </c>
      <c r="BA91" s="40" t="s">
        <v>647</v>
      </c>
      <c r="BC91" s="11">
        <f>AW91+AX91</f>
        <v>0</v>
      </c>
      <c r="BD91" s="11">
        <f>I91/(100-BE91)*100</f>
        <v>0</v>
      </c>
      <c r="BE91" s="11">
        <v>0</v>
      </c>
      <c r="BF91" s="11">
        <f>99</f>
        <v>99</v>
      </c>
      <c r="BH91" s="11">
        <f>H91*AO91</f>
        <v>0</v>
      </c>
      <c r="BI91" s="11">
        <f>H91*AP91</f>
        <v>0</v>
      </c>
      <c r="BJ91" s="11">
        <f>H91*I91</f>
        <v>0</v>
      </c>
      <c r="BK91" s="11"/>
      <c r="BL91" s="11">
        <v>91</v>
      </c>
    </row>
    <row r="92" spans="1:64" ht="13.5" customHeight="1">
      <c r="A92" s="53"/>
      <c r="B92" s="54" t="s">
        <v>440</v>
      </c>
      <c r="C92" s="394" t="s">
        <v>678</v>
      </c>
      <c r="D92" s="395"/>
      <c r="E92" s="395"/>
      <c r="F92" s="395"/>
      <c r="G92" s="395"/>
      <c r="H92" s="395"/>
      <c r="I92" s="395"/>
      <c r="J92" s="395"/>
      <c r="K92" s="395"/>
      <c r="L92" s="395"/>
      <c r="M92" s="396"/>
    </row>
    <row r="93" spans="1:64" ht="15" customHeight="1">
      <c r="A93" s="48" t="s">
        <v>586</v>
      </c>
      <c r="B93" s="49" t="s">
        <v>765</v>
      </c>
      <c r="C93" s="392" t="s">
        <v>339</v>
      </c>
      <c r="D93" s="392"/>
      <c r="E93" s="392"/>
      <c r="F93" s="392"/>
      <c r="G93" s="50" t="s">
        <v>783</v>
      </c>
      <c r="H93" s="50" t="s">
        <v>783</v>
      </c>
      <c r="I93" s="50" t="s">
        <v>783</v>
      </c>
      <c r="J93" s="36">
        <f>SUM(J94:J94)</f>
        <v>0</v>
      </c>
      <c r="K93" s="36">
        <f>SUM(K94:K94)</f>
        <v>0</v>
      </c>
      <c r="L93" s="36">
        <f>SUM(L94:L94)</f>
        <v>0</v>
      </c>
      <c r="M93" s="51" t="s">
        <v>586</v>
      </c>
      <c r="AI93" s="40" t="s">
        <v>586</v>
      </c>
      <c r="AS93" s="36">
        <f>SUM(AJ94:AJ94)</f>
        <v>0</v>
      </c>
      <c r="AT93" s="36">
        <f>SUM(AK94:AK94)</f>
        <v>0</v>
      </c>
      <c r="AU93" s="36">
        <f>SUM(AL94:AL94)</f>
        <v>0</v>
      </c>
    </row>
    <row r="94" spans="1:64" ht="15" customHeight="1">
      <c r="A94" s="9" t="s">
        <v>535</v>
      </c>
      <c r="B94" s="10" t="s">
        <v>176</v>
      </c>
      <c r="C94" s="366" t="s">
        <v>770</v>
      </c>
      <c r="D94" s="366"/>
      <c r="E94" s="366"/>
      <c r="F94" s="366"/>
      <c r="G94" s="10" t="s">
        <v>830</v>
      </c>
      <c r="H94" s="11">
        <v>7.62</v>
      </c>
      <c r="I94" s="11">
        <v>0</v>
      </c>
      <c r="J94" s="11">
        <f>H94*AO94</f>
        <v>0</v>
      </c>
      <c r="K94" s="11">
        <f>H94*AP94</f>
        <v>0</v>
      </c>
      <c r="L94" s="11">
        <f>H94*I94</f>
        <v>0</v>
      </c>
      <c r="M94" s="52" t="s">
        <v>575</v>
      </c>
      <c r="Z94" s="11">
        <f>IF(AQ94="5",BJ94,0)</f>
        <v>0</v>
      </c>
      <c r="AB94" s="11">
        <f>IF(AQ94="1",BH94,0)</f>
        <v>0</v>
      </c>
      <c r="AC94" s="11">
        <f>IF(AQ94="1",BI94,0)</f>
        <v>0</v>
      </c>
      <c r="AD94" s="11">
        <f>IF(AQ94="7",BH94,0)</f>
        <v>0</v>
      </c>
      <c r="AE94" s="11">
        <f>IF(AQ94="7",BI94,0)</f>
        <v>0</v>
      </c>
      <c r="AF94" s="11">
        <f>IF(AQ94="2",BH94,0)</f>
        <v>0</v>
      </c>
      <c r="AG94" s="11">
        <f>IF(AQ94="2",BI94,0)</f>
        <v>0</v>
      </c>
      <c r="AH94" s="11">
        <f>IF(AQ94="0",BJ94,0)</f>
        <v>0</v>
      </c>
      <c r="AI94" s="40" t="s">
        <v>586</v>
      </c>
      <c r="AJ94" s="11">
        <f>IF(AN94=0,L94,0)</f>
        <v>0</v>
      </c>
      <c r="AK94" s="11">
        <f>IF(AN94=15,L94,0)</f>
        <v>0</v>
      </c>
      <c r="AL94" s="11">
        <f>IF(AN94=21,L94,0)</f>
        <v>0</v>
      </c>
      <c r="AN94" s="11">
        <v>21</v>
      </c>
      <c r="AO94" s="11">
        <f>I94*0.560889713210054</f>
        <v>0</v>
      </c>
      <c r="AP94" s="11">
        <f>I94*(1-0.560889713210054)</f>
        <v>0</v>
      </c>
      <c r="AQ94" s="12" t="s">
        <v>841</v>
      </c>
      <c r="AV94" s="11">
        <f>AW94+AX94</f>
        <v>0</v>
      </c>
      <c r="AW94" s="11">
        <f>H94*AO94</f>
        <v>0</v>
      </c>
      <c r="AX94" s="11">
        <f>H94*AP94</f>
        <v>0</v>
      </c>
      <c r="AY94" s="12" t="s">
        <v>868</v>
      </c>
      <c r="AZ94" s="12" t="s">
        <v>314</v>
      </c>
      <c r="BA94" s="40" t="s">
        <v>647</v>
      </c>
      <c r="BC94" s="11">
        <f>AW94+AX94</f>
        <v>0</v>
      </c>
      <c r="BD94" s="11">
        <f>I94/(100-BE94)*100</f>
        <v>0</v>
      </c>
      <c r="BE94" s="11">
        <v>0</v>
      </c>
      <c r="BF94" s="11">
        <f>102</f>
        <v>102</v>
      </c>
      <c r="BH94" s="11">
        <f>H94*AO94</f>
        <v>0</v>
      </c>
      <c r="BI94" s="11">
        <f>H94*AP94</f>
        <v>0</v>
      </c>
      <c r="BJ94" s="11">
        <f>H94*I94</f>
        <v>0</v>
      </c>
      <c r="BK94" s="11"/>
      <c r="BL94" s="11">
        <v>93</v>
      </c>
    </row>
    <row r="95" spans="1:64" ht="15" customHeight="1">
      <c r="A95" s="48" t="s">
        <v>586</v>
      </c>
      <c r="B95" s="49" t="s">
        <v>95</v>
      </c>
      <c r="C95" s="392" t="s">
        <v>594</v>
      </c>
      <c r="D95" s="392"/>
      <c r="E95" s="392"/>
      <c r="F95" s="392"/>
      <c r="G95" s="50" t="s">
        <v>783</v>
      </c>
      <c r="H95" s="50" t="s">
        <v>783</v>
      </c>
      <c r="I95" s="50" t="s">
        <v>783</v>
      </c>
      <c r="J95" s="36">
        <f>SUM(J96:J96)</f>
        <v>0</v>
      </c>
      <c r="K95" s="36">
        <f>SUM(K96:K96)</f>
        <v>0</v>
      </c>
      <c r="L95" s="36">
        <f>SUM(L96:L96)</f>
        <v>0</v>
      </c>
      <c r="M95" s="51" t="s">
        <v>586</v>
      </c>
      <c r="AI95" s="40" t="s">
        <v>586</v>
      </c>
      <c r="AS95" s="36">
        <f>SUM(AJ96:AJ96)</f>
        <v>0</v>
      </c>
      <c r="AT95" s="36">
        <f>SUM(AK96:AK96)</f>
        <v>0</v>
      </c>
      <c r="AU95" s="36">
        <f>SUM(AL96:AL96)</f>
        <v>0</v>
      </c>
    </row>
    <row r="96" spans="1:64" ht="15" customHeight="1">
      <c r="A96" s="9" t="s">
        <v>799</v>
      </c>
      <c r="B96" s="10" t="s">
        <v>229</v>
      </c>
      <c r="C96" s="366" t="s">
        <v>302</v>
      </c>
      <c r="D96" s="366"/>
      <c r="E96" s="366"/>
      <c r="F96" s="366"/>
      <c r="G96" s="10" t="s">
        <v>830</v>
      </c>
      <c r="H96" s="11">
        <v>357.28</v>
      </c>
      <c r="I96" s="11">
        <v>0</v>
      </c>
      <c r="J96" s="11">
        <f>H96*AO96</f>
        <v>0</v>
      </c>
      <c r="K96" s="11">
        <f>H96*AP96</f>
        <v>0</v>
      </c>
      <c r="L96" s="11">
        <f>H96*I96</f>
        <v>0</v>
      </c>
      <c r="M96" s="52" t="s">
        <v>575</v>
      </c>
      <c r="Z96" s="11">
        <f>IF(AQ96="5",BJ96,0)</f>
        <v>0</v>
      </c>
      <c r="AB96" s="11">
        <f>IF(AQ96="1",BH96,0)</f>
        <v>0</v>
      </c>
      <c r="AC96" s="11">
        <f>IF(AQ96="1",BI96,0)</f>
        <v>0</v>
      </c>
      <c r="AD96" s="11">
        <f>IF(AQ96="7",BH96,0)</f>
        <v>0</v>
      </c>
      <c r="AE96" s="11">
        <f>IF(AQ96="7",BI96,0)</f>
        <v>0</v>
      </c>
      <c r="AF96" s="11">
        <f>IF(AQ96="2",BH96,0)</f>
        <v>0</v>
      </c>
      <c r="AG96" s="11">
        <f>IF(AQ96="2",BI96,0)</f>
        <v>0</v>
      </c>
      <c r="AH96" s="11">
        <f>IF(AQ96="0",BJ96,0)</f>
        <v>0</v>
      </c>
      <c r="AI96" s="40" t="s">
        <v>586</v>
      </c>
      <c r="AJ96" s="11">
        <f>IF(AN96=0,L96,0)</f>
        <v>0</v>
      </c>
      <c r="AK96" s="11">
        <f>IF(AN96=15,L96,0)</f>
        <v>0</v>
      </c>
      <c r="AL96" s="11">
        <f>IF(AN96=21,L96,0)</f>
        <v>0</v>
      </c>
      <c r="AN96" s="11">
        <v>21</v>
      </c>
      <c r="AO96" s="11">
        <f>I96*0.378970432248544</f>
        <v>0</v>
      </c>
      <c r="AP96" s="11">
        <f>I96*(1-0.378970432248544)</f>
        <v>0</v>
      </c>
      <c r="AQ96" s="12" t="s">
        <v>841</v>
      </c>
      <c r="AV96" s="11">
        <f>AW96+AX96</f>
        <v>0</v>
      </c>
      <c r="AW96" s="11">
        <f>H96*AO96</f>
        <v>0</v>
      </c>
      <c r="AX96" s="11">
        <f>H96*AP96</f>
        <v>0</v>
      </c>
      <c r="AY96" s="12" t="s">
        <v>924</v>
      </c>
      <c r="AZ96" s="12" t="s">
        <v>314</v>
      </c>
      <c r="BA96" s="40" t="s">
        <v>647</v>
      </c>
      <c r="BC96" s="11">
        <f>AW96+AX96</f>
        <v>0</v>
      </c>
      <c r="BD96" s="11">
        <f>I96/(100-BE96)*100</f>
        <v>0</v>
      </c>
      <c r="BE96" s="11">
        <v>0</v>
      </c>
      <c r="BF96" s="11">
        <f>104</f>
        <v>104</v>
      </c>
      <c r="BH96" s="11">
        <f>H96*AO96</f>
        <v>0</v>
      </c>
      <c r="BI96" s="11">
        <f>H96*AP96</f>
        <v>0</v>
      </c>
      <c r="BJ96" s="11">
        <f>H96*I96</f>
        <v>0</v>
      </c>
      <c r="BK96" s="11"/>
      <c r="BL96" s="11">
        <v>94</v>
      </c>
    </row>
    <row r="97" spans="1:64" ht="15" customHeight="1">
      <c r="A97" s="48" t="s">
        <v>586</v>
      </c>
      <c r="B97" s="49" t="s">
        <v>345</v>
      </c>
      <c r="C97" s="392" t="s">
        <v>628</v>
      </c>
      <c r="D97" s="392"/>
      <c r="E97" s="392"/>
      <c r="F97" s="392"/>
      <c r="G97" s="50" t="s">
        <v>783</v>
      </c>
      <c r="H97" s="50" t="s">
        <v>783</v>
      </c>
      <c r="I97" s="50" t="s">
        <v>783</v>
      </c>
      <c r="J97" s="36">
        <f>SUM(J98:J99)</f>
        <v>0</v>
      </c>
      <c r="K97" s="36">
        <f>SUM(K98:K99)</f>
        <v>0</v>
      </c>
      <c r="L97" s="36">
        <f>SUM(L98:L99)</f>
        <v>0</v>
      </c>
      <c r="M97" s="51" t="s">
        <v>586</v>
      </c>
      <c r="AI97" s="40" t="s">
        <v>586</v>
      </c>
      <c r="AS97" s="36">
        <f>SUM(AJ98:AJ99)</f>
        <v>0</v>
      </c>
      <c r="AT97" s="36">
        <f>SUM(AK98:AK99)</f>
        <v>0</v>
      </c>
      <c r="AU97" s="36">
        <f>SUM(AL98:AL99)</f>
        <v>0</v>
      </c>
    </row>
    <row r="98" spans="1:64" ht="15" customHeight="1">
      <c r="A98" s="9" t="s">
        <v>501</v>
      </c>
      <c r="B98" s="10" t="s">
        <v>743</v>
      </c>
      <c r="C98" s="366" t="s">
        <v>275</v>
      </c>
      <c r="D98" s="366"/>
      <c r="E98" s="366"/>
      <c r="F98" s="366"/>
      <c r="G98" s="10" t="s">
        <v>830</v>
      </c>
      <c r="H98" s="11">
        <v>357.28</v>
      </c>
      <c r="I98" s="11">
        <v>0</v>
      </c>
      <c r="J98" s="11">
        <f>H98*AO98</f>
        <v>0</v>
      </c>
      <c r="K98" s="11">
        <f>H98*AP98</f>
        <v>0</v>
      </c>
      <c r="L98" s="11">
        <f>H98*I98</f>
        <v>0</v>
      </c>
      <c r="M98" s="52" t="s">
        <v>575</v>
      </c>
      <c r="Z98" s="11">
        <f>IF(AQ98="5",BJ98,0)</f>
        <v>0</v>
      </c>
      <c r="AB98" s="11">
        <f>IF(AQ98="1",BH98,0)</f>
        <v>0</v>
      </c>
      <c r="AC98" s="11">
        <f>IF(AQ98="1",BI98,0)</f>
        <v>0</v>
      </c>
      <c r="AD98" s="11">
        <f>IF(AQ98="7",BH98,0)</f>
        <v>0</v>
      </c>
      <c r="AE98" s="11">
        <f>IF(AQ98="7",BI98,0)</f>
        <v>0</v>
      </c>
      <c r="AF98" s="11">
        <f>IF(AQ98="2",BH98,0)</f>
        <v>0</v>
      </c>
      <c r="AG98" s="11">
        <f>IF(AQ98="2",BI98,0)</f>
        <v>0</v>
      </c>
      <c r="AH98" s="11">
        <f>IF(AQ98="0",BJ98,0)</f>
        <v>0</v>
      </c>
      <c r="AI98" s="40" t="s">
        <v>586</v>
      </c>
      <c r="AJ98" s="11">
        <f>IF(AN98=0,L98,0)</f>
        <v>0</v>
      </c>
      <c r="AK98" s="11">
        <f>IF(AN98=15,L98,0)</f>
        <v>0</v>
      </c>
      <c r="AL98" s="11">
        <f>IF(AN98=21,L98,0)</f>
        <v>0</v>
      </c>
      <c r="AN98" s="11">
        <v>21</v>
      </c>
      <c r="AO98" s="11">
        <f>I98*0.0135315872493976</f>
        <v>0</v>
      </c>
      <c r="AP98" s="11">
        <f>I98*(1-0.0135315872493976)</f>
        <v>0</v>
      </c>
      <c r="AQ98" s="12" t="s">
        <v>841</v>
      </c>
      <c r="AV98" s="11">
        <f>AW98+AX98</f>
        <v>0</v>
      </c>
      <c r="AW98" s="11">
        <f>H98*AO98</f>
        <v>0</v>
      </c>
      <c r="AX98" s="11">
        <f>H98*AP98</f>
        <v>0</v>
      </c>
      <c r="AY98" s="12" t="s">
        <v>522</v>
      </c>
      <c r="AZ98" s="12" t="s">
        <v>314</v>
      </c>
      <c r="BA98" s="40" t="s">
        <v>647</v>
      </c>
      <c r="BC98" s="11">
        <f>AW98+AX98</f>
        <v>0</v>
      </c>
      <c r="BD98" s="11">
        <f>I98/(100-BE98)*100</f>
        <v>0</v>
      </c>
      <c r="BE98" s="11">
        <v>0</v>
      </c>
      <c r="BF98" s="11">
        <f>106</f>
        <v>106</v>
      </c>
      <c r="BH98" s="11">
        <f>H98*AO98</f>
        <v>0</v>
      </c>
      <c r="BI98" s="11">
        <f>H98*AP98</f>
        <v>0</v>
      </c>
      <c r="BJ98" s="11">
        <f>H98*I98</f>
        <v>0</v>
      </c>
      <c r="BK98" s="11"/>
      <c r="BL98" s="11">
        <v>95</v>
      </c>
    </row>
    <row r="99" spans="1:64" ht="15" customHeight="1">
      <c r="A99" s="9" t="s">
        <v>399</v>
      </c>
      <c r="B99" s="10" t="s">
        <v>870</v>
      </c>
      <c r="C99" s="366" t="s">
        <v>615</v>
      </c>
      <c r="D99" s="366"/>
      <c r="E99" s="366"/>
      <c r="F99" s="366"/>
      <c r="G99" s="10" t="s">
        <v>648</v>
      </c>
      <c r="H99" s="11">
        <v>1</v>
      </c>
      <c r="I99" s="11">
        <v>0</v>
      </c>
      <c r="J99" s="11">
        <f>H99*AO99</f>
        <v>0</v>
      </c>
      <c r="K99" s="11">
        <f>H99*AP99</f>
        <v>0</v>
      </c>
      <c r="L99" s="11">
        <f>H99*I99</f>
        <v>0</v>
      </c>
      <c r="M99" s="52" t="s">
        <v>586</v>
      </c>
      <c r="Z99" s="11">
        <f>IF(AQ99="5",BJ99,0)</f>
        <v>0</v>
      </c>
      <c r="AB99" s="11">
        <f>IF(AQ99="1",BH99,0)</f>
        <v>0</v>
      </c>
      <c r="AC99" s="11">
        <f>IF(AQ99="1",BI99,0)</f>
        <v>0</v>
      </c>
      <c r="AD99" s="11">
        <f>IF(AQ99="7",BH99,0)</f>
        <v>0</v>
      </c>
      <c r="AE99" s="11">
        <f>IF(AQ99="7",BI99,0)</f>
        <v>0</v>
      </c>
      <c r="AF99" s="11">
        <f>IF(AQ99="2",BH99,0)</f>
        <v>0</v>
      </c>
      <c r="AG99" s="11">
        <f>IF(AQ99="2",BI99,0)</f>
        <v>0</v>
      </c>
      <c r="AH99" s="11">
        <f>IF(AQ99="0",BJ99,0)</f>
        <v>0</v>
      </c>
      <c r="AI99" s="40" t="s">
        <v>586</v>
      </c>
      <c r="AJ99" s="11">
        <f>IF(AN99=0,L99,0)</f>
        <v>0</v>
      </c>
      <c r="AK99" s="11">
        <f>IF(AN99=15,L99,0)</f>
        <v>0</v>
      </c>
      <c r="AL99" s="11">
        <f>IF(AN99=21,L99,0)</f>
        <v>0</v>
      </c>
      <c r="AN99" s="11">
        <v>21</v>
      </c>
      <c r="AO99" s="11">
        <f>I99*0.8</f>
        <v>0</v>
      </c>
      <c r="AP99" s="11">
        <f>I99*(1-0.8)</f>
        <v>0</v>
      </c>
      <c r="AQ99" s="12" t="s">
        <v>841</v>
      </c>
      <c r="AV99" s="11">
        <f>AW99+AX99</f>
        <v>0</v>
      </c>
      <c r="AW99" s="11">
        <f>H99*AO99</f>
        <v>0</v>
      </c>
      <c r="AX99" s="11">
        <f>H99*AP99</f>
        <v>0</v>
      </c>
      <c r="AY99" s="12" t="s">
        <v>522</v>
      </c>
      <c r="AZ99" s="12" t="s">
        <v>314</v>
      </c>
      <c r="BA99" s="40" t="s">
        <v>647</v>
      </c>
      <c r="BC99" s="11">
        <f>AW99+AX99</f>
        <v>0</v>
      </c>
      <c r="BD99" s="11">
        <f>I99/(100-BE99)*100</f>
        <v>0</v>
      </c>
      <c r="BE99" s="11">
        <v>0</v>
      </c>
      <c r="BF99" s="11">
        <f>107</f>
        <v>107</v>
      </c>
      <c r="BH99" s="11">
        <f>H99*AO99</f>
        <v>0</v>
      </c>
      <c r="BI99" s="11">
        <f>H99*AP99</f>
        <v>0</v>
      </c>
      <c r="BJ99" s="11">
        <f>H99*I99</f>
        <v>0</v>
      </c>
      <c r="BK99" s="11"/>
      <c r="BL99" s="11">
        <v>95</v>
      </c>
    </row>
    <row r="100" spans="1:64" ht="13.5" customHeight="1">
      <c r="A100" s="53"/>
      <c r="B100" s="54" t="s">
        <v>440</v>
      </c>
      <c r="C100" s="394" t="s">
        <v>464</v>
      </c>
      <c r="D100" s="395"/>
      <c r="E100" s="395"/>
      <c r="F100" s="395"/>
      <c r="G100" s="395"/>
      <c r="H100" s="395"/>
      <c r="I100" s="395"/>
      <c r="J100" s="395"/>
      <c r="K100" s="395"/>
      <c r="L100" s="395"/>
      <c r="M100" s="396"/>
    </row>
    <row r="101" spans="1:64" ht="15" customHeight="1">
      <c r="A101" s="48" t="s">
        <v>586</v>
      </c>
      <c r="B101" s="49" t="s">
        <v>892</v>
      </c>
      <c r="C101" s="392" t="s">
        <v>512</v>
      </c>
      <c r="D101" s="392"/>
      <c r="E101" s="392"/>
      <c r="F101" s="392"/>
      <c r="G101" s="50" t="s">
        <v>783</v>
      </c>
      <c r="H101" s="50" t="s">
        <v>783</v>
      </c>
      <c r="I101" s="50" t="s">
        <v>783</v>
      </c>
      <c r="J101" s="36">
        <f>SUM(J102:J102)</f>
        <v>0</v>
      </c>
      <c r="K101" s="36">
        <f>SUM(K102:K102)</f>
        <v>0</v>
      </c>
      <c r="L101" s="36">
        <f>SUM(L102:L102)</f>
        <v>0</v>
      </c>
      <c r="M101" s="51" t="s">
        <v>586</v>
      </c>
      <c r="AI101" s="40" t="s">
        <v>586</v>
      </c>
      <c r="AS101" s="36">
        <f>SUM(AJ102:AJ102)</f>
        <v>0</v>
      </c>
      <c r="AT101" s="36">
        <f>SUM(AK102:AK102)</f>
        <v>0</v>
      </c>
      <c r="AU101" s="36">
        <f>SUM(AL102:AL102)</f>
        <v>0</v>
      </c>
    </row>
    <row r="102" spans="1:64" ht="15" customHeight="1">
      <c r="A102" s="9" t="s">
        <v>100</v>
      </c>
      <c r="B102" s="10" t="s">
        <v>175</v>
      </c>
      <c r="C102" s="366" t="s">
        <v>148</v>
      </c>
      <c r="D102" s="366"/>
      <c r="E102" s="366"/>
      <c r="F102" s="366"/>
      <c r="G102" s="10" t="s">
        <v>401</v>
      </c>
      <c r="H102" s="11">
        <v>116.11799999999999</v>
      </c>
      <c r="I102" s="11">
        <v>0</v>
      </c>
      <c r="J102" s="11">
        <f>H102*AO102</f>
        <v>0</v>
      </c>
      <c r="K102" s="11">
        <f>H102*AP102</f>
        <v>0</v>
      </c>
      <c r="L102" s="11">
        <f>H102*I102</f>
        <v>0</v>
      </c>
      <c r="M102" s="52" t="s">
        <v>575</v>
      </c>
      <c r="Z102" s="11">
        <f>IF(AQ102="5",BJ102,0)</f>
        <v>0</v>
      </c>
      <c r="AB102" s="11">
        <f>IF(AQ102="1",BH102,0)</f>
        <v>0</v>
      </c>
      <c r="AC102" s="11">
        <f>IF(AQ102="1",BI102,0)</f>
        <v>0</v>
      </c>
      <c r="AD102" s="11">
        <f>IF(AQ102="7",BH102,0)</f>
        <v>0</v>
      </c>
      <c r="AE102" s="11">
        <f>IF(AQ102="7",BI102,0)</f>
        <v>0</v>
      </c>
      <c r="AF102" s="11">
        <f>IF(AQ102="2",BH102,0)</f>
        <v>0</v>
      </c>
      <c r="AG102" s="11">
        <f>IF(AQ102="2",BI102,0)</f>
        <v>0</v>
      </c>
      <c r="AH102" s="11">
        <f>IF(AQ102="0",BJ102,0)</f>
        <v>0</v>
      </c>
      <c r="AI102" s="40" t="s">
        <v>586</v>
      </c>
      <c r="AJ102" s="11">
        <f>IF(AN102=0,L102,0)</f>
        <v>0</v>
      </c>
      <c r="AK102" s="11">
        <f>IF(AN102=15,L102,0)</f>
        <v>0</v>
      </c>
      <c r="AL102" s="11">
        <f>IF(AN102=21,L102,0)</f>
        <v>0</v>
      </c>
      <c r="AN102" s="11">
        <v>21</v>
      </c>
      <c r="AO102" s="11">
        <f>I102*0</f>
        <v>0</v>
      </c>
      <c r="AP102" s="11">
        <f>I102*(1-0)</f>
        <v>0</v>
      </c>
      <c r="AQ102" s="12" t="s">
        <v>454</v>
      </c>
      <c r="AV102" s="11">
        <f>AW102+AX102</f>
        <v>0</v>
      </c>
      <c r="AW102" s="11">
        <f>H102*AO102</f>
        <v>0</v>
      </c>
      <c r="AX102" s="11">
        <f>H102*AP102</f>
        <v>0</v>
      </c>
      <c r="AY102" s="12" t="s">
        <v>442</v>
      </c>
      <c r="AZ102" s="12" t="s">
        <v>314</v>
      </c>
      <c r="BA102" s="40" t="s">
        <v>647</v>
      </c>
      <c r="BC102" s="11">
        <f>AW102+AX102</f>
        <v>0</v>
      </c>
      <c r="BD102" s="11">
        <f>I102/(100-BE102)*100</f>
        <v>0</v>
      </c>
      <c r="BE102" s="11">
        <v>0</v>
      </c>
      <c r="BF102" s="11">
        <f>110</f>
        <v>110</v>
      </c>
      <c r="BH102" s="11">
        <f>H102*AO102</f>
        <v>0</v>
      </c>
      <c r="BI102" s="11">
        <f>H102*AP102</f>
        <v>0</v>
      </c>
      <c r="BJ102" s="11">
        <f>H102*I102</f>
        <v>0</v>
      </c>
      <c r="BK102" s="11"/>
      <c r="BL102" s="11"/>
    </row>
    <row r="103" spans="1:64" ht="15" customHeight="1">
      <c r="A103" s="48" t="s">
        <v>586</v>
      </c>
      <c r="B103" s="49" t="s">
        <v>479</v>
      </c>
      <c r="C103" s="392" t="s">
        <v>631</v>
      </c>
      <c r="D103" s="392"/>
      <c r="E103" s="392"/>
      <c r="F103" s="392"/>
      <c r="G103" s="50" t="s">
        <v>783</v>
      </c>
      <c r="H103" s="50" t="s">
        <v>783</v>
      </c>
      <c r="I103" s="50" t="s">
        <v>783</v>
      </c>
      <c r="J103" s="36">
        <f>SUM(J104:J126)</f>
        <v>0</v>
      </c>
      <c r="K103" s="36">
        <f>SUM(K104:K126)</f>
        <v>0</v>
      </c>
      <c r="L103" s="36">
        <f>SUM(L104:L126)</f>
        <v>0</v>
      </c>
      <c r="M103" s="51" t="s">
        <v>586</v>
      </c>
      <c r="AI103" s="40" t="s">
        <v>586</v>
      </c>
      <c r="AS103" s="36">
        <f>SUM(AJ104:AJ126)</f>
        <v>0</v>
      </c>
      <c r="AT103" s="36">
        <f>SUM(AK104:AK126)</f>
        <v>0</v>
      </c>
      <c r="AU103" s="36">
        <f>SUM(AL104:AL126)</f>
        <v>0</v>
      </c>
    </row>
    <row r="104" spans="1:64" ht="15" customHeight="1">
      <c r="A104" s="9" t="s">
        <v>611</v>
      </c>
      <c r="B104" s="10" t="s">
        <v>184</v>
      </c>
      <c r="C104" s="366" t="s">
        <v>333</v>
      </c>
      <c r="D104" s="366"/>
      <c r="E104" s="366"/>
      <c r="F104" s="366"/>
      <c r="G104" s="10" t="s">
        <v>830</v>
      </c>
      <c r="H104" s="11">
        <v>149.56</v>
      </c>
      <c r="I104" s="11">
        <v>0</v>
      </c>
      <c r="J104" s="11">
        <f>H104*AO104</f>
        <v>0</v>
      </c>
      <c r="K104" s="11">
        <f>H104*AP104</f>
        <v>0</v>
      </c>
      <c r="L104" s="11">
        <f>H104*I104</f>
        <v>0</v>
      </c>
      <c r="M104" s="52" t="s">
        <v>575</v>
      </c>
      <c r="Z104" s="11">
        <f>IF(AQ104="5",BJ104,0)</f>
        <v>0</v>
      </c>
      <c r="AB104" s="11">
        <f>IF(AQ104="1",BH104,0)</f>
        <v>0</v>
      </c>
      <c r="AC104" s="11">
        <f>IF(AQ104="1",BI104,0)</f>
        <v>0</v>
      </c>
      <c r="AD104" s="11">
        <f>IF(AQ104="7",BH104,0)</f>
        <v>0</v>
      </c>
      <c r="AE104" s="11">
        <f>IF(AQ104="7",BI104,0)</f>
        <v>0</v>
      </c>
      <c r="AF104" s="11">
        <f>IF(AQ104="2",BH104,0)</f>
        <v>0</v>
      </c>
      <c r="AG104" s="11">
        <f>IF(AQ104="2",BI104,0)</f>
        <v>0</v>
      </c>
      <c r="AH104" s="11">
        <f>IF(AQ104="0",BJ104,0)</f>
        <v>0</v>
      </c>
      <c r="AI104" s="40" t="s">
        <v>586</v>
      </c>
      <c r="AJ104" s="11">
        <f>IF(AN104=0,L104,0)</f>
        <v>0</v>
      </c>
      <c r="AK104" s="11">
        <f>IF(AN104=15,L104,0)</f>
        <v>0</v>
      </c>
      <c r="AL104" s="11">
        <f>IF(AN104=21,L104,0)</f>
        <v>0</v>
      </c>
      <c r="AN104" s="11">
        <v>21</v>
      </c>
      <c r="AO104" s="11">
        <f>I104*0</f>
        <v>0</v>
      </c>
      <c r="AP104" s="11">
        <f>I104*(1-0)</f>
        <v>0</v>
      </c>
      <c r="AQ104" s="12" t="s">
        <v>841</v>
      </c>
      <c r="AV104" s="11">
        <f>AW104+AX104</f>
        <v>0</v>
      </c>
      <c r="AW104" s="11">
        <f>H104*AO104</f>
        <v>0</v>
      </c>
      <c r="AX104" s="11">
        <f>H104*AP104</f>
        <v>0</v>
      </c>
      <c r="AY104" s="12" t="s">
        <v>742</v>
      </c>
      <c r="AZ104" s="12" t="s">
        <v>314</v>
      </c>
      <c r="BA104" s="40" t="s">
        <v>647</v>
      </c>
      <c r="BC104" s="11">
        <f>AW104+AX104</f>
        <v>0</v>
      </c>
      <c r="BD104" s="11">
        <f>I104/(100-BE104)*100</f>
        <v>0</v>
      </c>
      <c r="BE104" s="11">
        <v>0</v>
      </c>
      <c r="BF104" s="11">
        <f>112</f>
        <v>112</v>
      </c>
      <c r="BH104" s="11">
        <f>H104*AO104</f>
        <v>0</v>
      </c>
      <c r="BI104" s="11">
        <f>H104*AP104</f>
        <v>0</v>
      </c>
      <c r="BJ104" s="11">
        <f>H104*I104</f>
        <v>0</v>
      </c>
      <c r="BK104" s="11"/>
      <c r="BL104" s="11">
        <v>96</v>
      </c>
    </row>
    <row r="105" spans="1:64" ht="13.5" customHeight="1">
      <c r="A105" s="53"/>
      <c r="B105" s="54" t="s">
        <v>440</v>
      </c>
      <c r="C105" s="394" t="s">
        <v>813</v>
      </c>
      <c r="D105" s="395"/>
      <c r="E105" s="395"/>
      <c r="F105" s="395"/>
      <c r="G105" s="395"/>
      <c r="H105" s="395"/>
      <c r="I105" s="395"/>
      <c r="J105" s="395"/>
      <c r="K105" s="395"/>
      <c r="L105" s="395"/>
      <c r="M105" s="396"/>
    </row>
    <row r="106" spans="1:64" ht="15" customHeight="1">
      <c r="A106" s="9" t="s">
        <v>933</v>
      </c>
      <c r="B106" s="10" t="s">
        <v>645</v>
      </c>
      <c r="C106" s="366" t="s">
        <v>911</v>
      </c>
      <c r="D106" s="366"/>
      <c r="E106" s="366"/>
      <c r="F106" s="366"/>
      <c r="G106" s="10" t="s">
        <v>830</v>
      </c>
      <c r="H106" s="11">
        <v>12.5</v>
      </c>
      <c r="I106" s="11">
        <v>0</v>
      </c>
      <c r="J106" s="11">
        <f t="shared" ref="J106:J111" si="22">H106*AO106</f>
        <v>0</v>
      </c>
      <c r="K106" s="11">
        <f t="shared" ref="K106:K111" si="23">H106*AP106</f>
        <v>0</v>
      </c>
      <c r="L106" s="11">
        <f t="shared" ref="L106:L111" si="24">H106*I106</f>
        <v>0</v>
      </c>
      <c r="M106" s="52" t="s">
        <v>575</v>
      </c>
      <c r="Z106" s="11">
        <f t="shared" ref="Z106:Z111" si="25">IF(AQ106="5",BJ106,0)</f>
        <v>0</v>
      </c>
      <c r="AB106" s="11">
        <f t="shared" ref="AB106:AB111" si="26">IF(AQ106="1",BH106,0)</f>
        <v>0</v>
      </c>
      <c r="AC106" s="11">
        <f t="shared" ref="AC106:AC111" si="27">IF(AQ106="1",BI106,0)</f>
        <v>0</v>
      </c>
      <c r="AD106" s="11">
        <f t="shared" ref="AD106:AD111" si="28">IF(AQ106="7",BH106,0)</f>
        <v>0</v>
      </c>
      <c r="AE106" s="11">
        <f t="shared" ref="AE106:AE111" si="29">IF(AQ106="7",BI106,0)</f>
        <v>0</v>
      </c>
      <c r="AF106" s="11">
        <f t="shared" ref="AF106:AF111" si="30">IF(AQ106="2",BH106,0)</f>
        <v>0</v>
      </c>
      <c r="AG106" s="11">
        <f t="shared" ref="AG106:AG111" si="31">IF(AQ106="2",BI106,0)</f>
        <v>0</v>
      </c>
      <c r="AH106" s="11">
        <f t="shared" ref="AH106:AH111" si="32">IF(AQ106="0",BJ106,0)</f>
        <v>0</v>
      </c>
      <c r="AI106" s="40" t="s">
        <v>586</v>
      </c>
      <c r="AJ106" s="11">
        <f t="shared" ref="AJ106:AJ111" si="33">IF(AN106=0,L106,0)</f>
        <v>0</v>
      </c>
      <c r="AK106" s="11">
        <f t="shared" ref="AK106:AK111" si="34">IF(AN106=15,L106,0)</f>
        <v>0</v>
      </c>
      <c r="AL106" s="11">
        <f t="shared" ref="AL106:AL111" si="35">IF(AN106=21,L106,0)</f>
        <v>0</v>
      </c>
      <c r="AN106" s="11">
        <v>21</v>
      </c>
      <c r="AO106" s="11">
        <f>I106*0</f>
        <v>0</v>
      </c>
      <c r="AP106" s="11">
        <f>I106*(1-0)</f>
        <v>0</v>
      </c>
      <c r="AQ106" s="12" t="s">
        <v>841</v>
      </c>
      <c r="AV106" s="11">
        <f t="shared" ref="AV106:AV111" si="36">AW106+AX106</f>
        <v>0</v>
      </c>
      <c r="AW106" s="11">
        <f t="shared" ref="AW106:AW111" si="37">H106*AO106</f>
        <v>0</v>
      </c>
      <c r="AX106" s="11">
        <f t="shared" ref="AX106:AX111" si="38">H106*AP106</f>
        <v>0</v>
      </c>
      <c r="AY106" s="12" t="s">
        <v>742</v>
      </c>
      <c r="AZ106" s="12" t="s">
        <v>314</v>
      </c>
      <c r="BA106" s="40" t="s">
        <v>647</v>
      </c>
      <c r="BC106" s="11">
        <f t="shared" ref="BC106:BC111" si="39">AW106+AX106</f>
        <v>0</v>
      </c>
      <c r="BD106" s="11">
        <f t="shared" ref="BD106:BD111" si="40">I106/(100-BE106)*100</f>
        <v>0</v>
      </c>
      <c r="BE106" s="11">
        <v>0</v>
      </c>
      <c r="BF106" s="11">
        <f>114</f>
        <v>114</v>
      </c>
      <c r="BH106" s="11">
        <f t="shared" ref="BH106:BH111" si="41">H106*AO106</f>
        <v>0</v>
      </c>
      <c r="BI106" s="11">
        <f t="shared" ref="BI106:BI111" si="42">H106*AP106</f>
        <v>0</v>
      </c>
      <c r="BJ106" s="11">
        <f t="shared" ref="BJ106:BJ111" si="43">H106*I106</f>
        <v>0</v>
      </c>
      <c r="BK106" s="11"/>
      <c r="BL106" s="11">
        <v>96</v>
      </c>
    </row>
    <row r="107" spans="1:64" ht="15" customHeight="1">
      <c r="A107" s="9" t="s">
        <v>197</v>
      </c>
      <c r="B107" s="10" t="s">
        <v>305</v>
      </c>
      <c r="C107" s="366" t="s">
        <v>818</v>
      </c>
      <c r="D107" s="366"/>
      <c r="E107" s="366"/>
      <c r="F107" s="366"/>
      <c r="G107" s="10" t="s">
        <v>700</v>
      </c>
      <c r="H107" s="11">
        <v>16.3</v>
      </c>
      <c r="I107" s="11">
        <v>0</v>
      </c>
      <c r="J107" s="11">
        <f t="shared" si="22"/>
        <v>0</v>
      </c>
      <c r="K107" s="11">
        <f t="shared" si="23"/>
        <v>0</v>
      </c>
      <c r="L107" s="11">
        <f t="shared" si="24"/>
        <v>0</v>
      </c>
      <c r="M107" s="52" t="s">
        <v>575</v>
      </c>
      <c r="Z107" s="11">
        <f t="shared" si="25"/>
        <v>0</v>
      </c>
      <c r="AB107" s="11">
        <f t="shared" si="26"/>
        <v>0</v>
      </c>
      <c r="AC107" s="11">
        <f t="shared" si="27"/>
        <v>0</v>
      </c>
      <c r="AD107" s="11">
        <f t="shared" si="28"/>
        <v>0</v>
      </c>
      <c r="AE107" s="11">
        <f t="shared" si="29"/>
        <v>0</v>
      </c>
      <c r="AF107" s="11">
        <f t="shared" si="30"/>
        <v>0</v>
      </c>
      <c r="AG107" s="11">
        <f t="shared" si="31"/>
        <v>0</v>
      </c>
      <c r="AH107" s="11">
        <f t="shared" si="32"/>
        <v>0</v>
      </c>
      <c r="AI107" s="40" t="s">
        <v>586</v>
      </c>
      <c r="AJ107" s="11">
        <f t="shared" si="33"/>
        <v>0</v>
      </c>
      <c r="AK107" s="11">
        <f t="shared" si="34"/>
        <v>0</v>
      </c>
      <c r="AL107" s="11">
        <f t="shared" si="35"/>
        <v>0</v>
      </c>
      <c r="AN107" s="11">
        <v>21</v>
      </c>
      <c r="AO107" s="11">
        <f>I107*0</f>
        <v>0</v>
      </c>
      <c r="AP107" s="11">
        <f>I107*(1-0)</f>
        <v>0</v>
      </c>
      <c r="AQ107" s="12" t="s">
        <v>841</v>
      </c>
      <c r="AV107" s="11">
        <f t="shared" si="36"/>
        <v>0</v>
      </c>
      <c r="AW107" s="11">
        <f t="shared" si="37"/>
        <v>0</v>
      </c>
      <c r="AX107" s="11">
        <f t="shared" si="38"/>
        <v>0</v>
      </c>
      <c r="AY107" s="12" t="s">
        <v>742</v>
      </c>
      <c r="AZ107" s="12" t="s">
        <v>314</v>
      </c>
      <c r="BA107" s="40" t="s">
        <v>647</v>
      </c>
      <c r="BC107" s="11">
        <f t="shared" si="39"/>
        <v>0</v>
      </c>
      <c r="BD107" s="11">
        <f t="shared" si="40"/>
        <v>0</v>
      </c>
      <c r="BE107" s="11">
        <v>0</v>
      </c>
      <c r="BF107" s="11">
        <f>115</f>
        <v>115</v>
      </c>
      <c r="BH107" s="11">
        <f t="shared" si="41"/>
        <v>0</v>
      </c>
      <c r="BI107" s="11">
        <f t="shared" si="42"/>
        <v>0</v>
      </c>
      <c r="BJ107" s="11">
        <f t="shared" si="43"/>
        <v>0</v>
      </c>
      <c r="BK107" s="11"/>
      <c r="BL107" s="11">
        <v>96</v>
      </c>
    </row>
    <row r="108" spans="1:64" ht="15" customHeight="1">
      <c r="A108" s="9" t="s">
        <v>424</v>
      </c>
      <c r="B108" s="10" t="s">
        <v>457</v>
      </c>
      <c r="C108" s="366" t="s">
        <v>869</v>
      </c>
      <c r="D108" s="366"/>
      <c r="E108" s="366"/>
      <c r="F108" s="366"/>
      <c r="G108" s="10" t="s">
        <v>830</v>
      </c>
      <c r="H108" s="11">
        <v>13.83</v>
      </c>
      <c r="I108" s="11">
        <v>0</v>
      </c>
      <c r="J108" s="11">
        <f t="shared" si="22"/>
        <v>0</v>
      </c>
      <c r="K108" s="11">
        <f t="shared" si="23"/>
        <v>0</v>
      </c>
      <c r="L108" s="11">
        <f t="shared" si="24"/>
        <v>0</v>
      </c>
      <c r="M108" s="52" t="s">
        <v>575</v>
      </c>
      <c r="Z108" s="11">
        <f t="shared" si="25"/>
        <v>0</v>
      </c>
      <c r="AB108" s="11">
        <f t="shared" si="26"/>
        <v>0</v>
      </c>
      <c r="AC108" s="11">
        <f t="shared" si="27"/>
        <v>0</v>
      </c>
      <c r="AD108" s="11">
        <f t="shared" si="28"/>
        <v>0</v>
      </c>
      <c r="AE108" s="11">
        <f t="shared" si="29"/>
        <v>0</v>
      </c>
      <c r="AF108" s="11">
        <f t="shared" si="30"/>
        <v>0</v>
      </c>
      <c r="AG108" s="11">
        <f t="shared" si="31"/>
        <v>0</v>
      </c>
      <c r="AH108" s="11">
        <f t="shared" si="32"/>
        <v>0</v>
      </c>
      <c r="AI108" s="40" t="s">
        <v>586</v>
      </c>
      <c r="AJ108" s="11">
        <f t="shared" si="33"/>
        <v>0</v>
      </c>
      <c r="AK108" s="11">
        <f t="shared" si="34"/>
        <v>0</v>
      </c>
      <c r="AL108" s="11">
        <f t="shared" si="35"/>
        <v>0</v>
      </c>
      <c r="AN108" s="11">
        <v>21</v>
      </c>
      <c r="AO108" s="11">
        <f>I108*0.0598154466084621</f>
        <v>0</v>
      </c>
      <c r="AP108" s="11">
        <f>I108*(1-0.0598154466084621)</f>
        <v>0</v>
      </c>
      <c r="AQ108" s="12" t="s">
        <v>841</v>
      </c>
      <c r="AV108" s="11">
        <f t="shared" si="36"/>
        <v>0</v>
      </c>
      <c r="AW108" s="11">
        <f t="shared" si="37"/>
        <v>0</v>
      </c>
      <c r="AX108" s="11">
        <f t="shared" si="38"/>
        <v>0</v>
      </c>
      <c r="AY108" s="12" t="s">
        <v>742</v>
      </c>
      <c r="AZ108" s="12" t="s">
        <v>314</v>
      </c>
      <c r="BA108" s="40" t="s">
        <v>647</v>
      </c>
      <c r="BC108" s="11">
        <f t="shared" si="39"/>
        <v>0</v>
      </c>
      <c r="BD108" s="11">
        <f t="shared" si="40"/>
        <v>0</v>
      </c>
      <c r="BE108" s="11">
        <v>0</v>
      </c>
      <c r="BF108" s="11">
        <f>116</f>
        <v>116</v>
      </c>
      <c r="BH108" s="11">
        <f t="shared" si="41"/>
        <v>0</v>
      </c>
      <c r="BI108" s="11">
        <f t="shared" si="42"/>
        <v>0</v>
      </c>
      <c r="BJ108" s="11">
        <f t="shared" si="43"/>
        <v>0</v>
      </c>
      <c r="BK108" s="11"/>
      <c r="BL108" s="11">
        <v>96</v>
      </c>
    </row>
    <row r="109" spans="1:64" ht="15" customHeight="1">
      <c r="A109" s="9" t="s">
        <v>927</v>
      </c>
      <c r="B109" s="10" t="s">
        <v>225</v>
      </c>
      <c r="C109" s="366" t="s">
        <v>346</v>
      </c>
      <c r="D109" s="366"/>
      <c r="E109" s="366"/>
      <c r="F109" s="366"/>
      <c r="G109" s="10" t="s">
        <v>830</v>
      </c>
      <c r="H109" s="11">
        <v>25.023</v>
      </c>
      <c r="I109" s="11">
        <v>0</v>
      </c>
      <c r="J109" s="11">
        <f t="shared" si="22"/>
        <v>0</v>
      </c>
      <c r="K109" s="11">
        <f t="shared" si="23"/>
        <v>0</v>
      </c>
      <c r="L109" s="11">
        <f t="shared" si="24"/>
        <v>0</v>
      </c>
      <c r="M109" s="52" t="s">
        <v>575</v>
      </c>
      <c r="Z109" s="11">
        <f t="shared" si="25"/>
        <v>0</v>
      </c>
      <c r="AB109" s="11">
        <f t="shared" si="26"/>
        <v>0</v>
      </c>
      <c r="AC109" s="11">
        <f t="shared" si="27"/>
        <v>0</v>
      </c>
      <c r="AD109" s="11">
        <f t="shared" si="28"/>
        <v>0</v>
      </c>
      <c r="AE109" s="11">
        <f t="shared" si="29"/>
        <v>0</v>
      </c>
      <c r="AF109" s="11">
        <f t="shared" si="30"/>
        <v>0</v>
      </c>
      <c r="AG109" s="11">
        <f t="shared" si="31"/>
        <v>0</v>
      </c>
      <c r="AH109" s="11">
        <f t="shared" si="32"/>
        <v>0</v>
      </c>
      <c r="AI109" s="40" t="s">
        <v>586</v>
      </c>
      <c r="AJ109" s="11">
        <f t="shared" si="33"/>
        <v>0</v>
      </c>
      <c r="AK109" s="11">
        <f t="shared" si="34"/>
        <v>0</v>
      </c>
      <c r="AL109" s="11">
        <f t="shared" si="35"/>
        <v>0</v>
      </c>
      <c r="AN109" s="11">
        <v>21</v>
      </c>
      <c r="AO109" s="11">
        <f>I109*0.136970520361354</f>
        <v>0</v>
      </c>
      <c r="AP109" s="11">
        <f>I109*(1-0.136970520361354)</f>
        <v>0</v>
      </c>
      <c r="AQ109" s="12" t="s">
        <v>841</v>
      </c>
      <c r="AV109" s="11">
        <f t="shared" si="36"/>
        <v>0</v>
      </c>
      <c r="AW109" s="11">
        <f t="shared" si="37"/>
        <v>0</v>
      </c>
      <c r="AX109" s="11">
        <f t="shared" si="38"/>
        <v>0</v>
      </c>
      <c r="AY109" s="12" t="s">
        <v>742</v>
      </c>
      <c r="AZ109" s="12" t="s">
        <v>314</v>
      </c>
      <c r="BA109" s="40" t="s">
        <v>647</v>
      </c>
      <c r="BC109" s="11">
        <f t="shared" si="39"/>
        <v>0</v>
      </c>
      <c r="BD109" s="11">
        <f t="shared" si="40"/>
        <v>0</v>
      </c>
      <c r="BE109" s="11">
        <v>0</v>
      </c>
      <c r="BF109" s="11">
        <f>117</f>
        <v>117</v>
      </c>
      <c r="BH109" s="11">
        <f t="shared" si="41"/>
        <v>0</v>
      </c>
      <c r="BI109" s="11">
        <f t="shared" si="42"/>
        <v>0</v>
      </c>
      <c r="BJ109" s="11">
        <f t="shared" si="43"/>
        <v>0</v>
      </c>
      <c r="BK109" s="11"/>
      <c r="BL109" s="11">
        <v>96</v>
      </c>
    </row>
    <row r="110" spans="1:64" ht="15" customHeight="1">
      <c r="A110" s="9" t="s">
        <v>881</v>
      </c>
      <c r="B110" s="10" t="s">
        <v>840</v>
      </c>
      <c r="C110" s="366" t="s">
        <v>897</v>
      </c>
      <c r="D110" s="366"/>
      <c r="E110" s="366"/>
      <c r="F110" s="366"/>
      <c r="G110" s="10" t="s">
        <v>830</v>
      </c>
      <c r="H110" s="11">
        <v>62.988</v>
      </c>
      <c r="I110" s="11">
        <v>0</v>
      </c>
      <c r="J110" s="11">
        <f t="shared" si="22"/>
        <v>0</v>
      </c>
      <c r="K110" s="11">
        <f t="shared" si="23"/>
        <v>0</v>
      </c>
      <c r="L110" s="11">
        <f t="shared" si="24"/>
        <v>0</v>
      </c>
      <c r="M110" s="52" t="s">
        <v>575</v>
      </c>
      <c r="Z110" s="11">
        <f t="shared" si="25"/>
        <v>0</v>
      </c>
      <c r="AB110" s="11">
        <f t="shared" si="26"/>
        <v>0</v>
      </c>
      <c r="AC110" s="11">
        <f t="shared" si="27"/>
        <v>0</v>
      </c>
      <c r="AD110" s="11">
        <f t="shared" si="28"/>
        <v>0</v>
      </c>
      <c r="AE110" s="11">
        <f t="shared" si="29"/>
        <v>0</v>
      </c>
      <c r="AF110" s="11">
        <f t="shared" si="30"/>
        <v>0</v>
      </c>
      <c r="AG110" s="11">
        <f t="shared" si="31"/>
        <v>0</v>
      </c>
      <c r="AH110" s="11">
        <f t="shared" si="32"/>
        <v>0</v>
      </c>
      <c r="AI110" s="40" t="s">
        <v>586</v>
      </c>
      <c r="AJ110" s="11">
        <f t="shared" si="33"/>
        <v>0</v>
      </c>
      <c r="AK110" s="11">
        <f t="shared" si="34"/>
        <v>0</v>
      </c>
      <c r="AL110" s="11">
        <f t="shared" si="35"/>
        <v>0</v>
      </c>
      <c r="AN110" s="11">
        <v>21</v>
      </c>
      <c r="AO110" s="11">
        <f>I110*0.102632727089948</f>
        <v>0</v>
      </c>
      <c r="AP110" s="11">
        <f>I110*(1-0.102632727089948)</f>
        <v>0</v>
      </c>
      <c r="AQ110" s="12" t="s">
        <v>841</v>
      </c>
      <c r="AV110" s="11">
        <f t="shared" si="36"/>
        <v>0</v>
      </c>
      <c r="AW110" s="11">
        <f t="shared" si="37"/>
        <v>0</v>
      </c>
      <c r="AX110" s="11">
        <f t="shared" si="38"/>
        <v>0</v>
      </c>
      <c r="AY110" s="12" t="s">
        <v>742</v>
      </c>
      <c r="AZ110" s="12" t="s">
        <v>314</v>
      </c>
      <c r="BA110" s="40" t="s">
        <v>647</v>
      </c>
      <c r="BC110" s="11">
        <f t="shared" si="39"/>
        <v>0</v>
      </c>
      <c r="BD110" s="11">
        <f t="shared" si="40"/>
        <v>0</v>
      </c>
      <c r="BE110" s="11">
        <v>0</v>
      </c>
      <c r="BF110" s="11">
        <f>118</f>
        <v>118</v>
      </c>
      <c r="BH110" s="11">
        <f t="shared" si="41"/>
        <v>0</v>
      </c>
      <c r="BI110" s="11">
        <f t="shared" si="42"/>
        <v>0</v>
      </c>
      <c r="BJ110" s="11">
        <f t="shared" si="43"/>
        <v>0</v>
      </c>
      <c r="BK110" s="11"/>
      <c r="BL110" s="11">
        <v>96</v>
      </c>
    </row>
    <row r="111" spans="1:64" ht="15" customHeight="1">
      <c r="A111" s="9" t="s">
        <v>10</v>
      </c>
      <c r="B111" s="10" t="s">
        <v>914</v>
      </c>
      <c r="C111" s="366" t="s">
        <v>495</v>
      </c>
      <c r="D111" s="366"/>
      <c r="E111" s="366"/>
      <c r="F111" s="366"/>
      <c r="G111" s="10" t="s">
        <v>811</v>
      </c>
      <c r="H111" s="11">
        <v>0.55300000000000005</v>
      </c>
      <c r="I111" s="11">
        <v>0</v>
      </c>
      <c r="J111" s="11">
        <f t="shared" si="22"/>
        <v>0</v>
      </c>
      <c r="K111" s="11">
        <f t="shared" si="23"/>
        <v>0</v>
      </c>
      <c r="L111" s="11">
        <f t="shared" si="24"/>
        <v>0</v>
      </c>
      <c r="M111" s="52" t="s">
        <v>575</v>
      </c>
      <c r="Z111" s="11">
        <f t="shared" si="25"/>
        <v>0</v>
      </c>
      <c r="AB111" s="11">
        <f t="shared" si="26"/>
        <v>0</v>
      </c>
      <c r="AC111" s="11">
        <f t="shared" si="27"/>
        <v>0</v>
      </c>
      <c r="AD111" s="11">
        <f t="shared" si="28"/>
        <v>0</v>
      </c>
      <c r="AE111" s="11">
        <f t="shared" si="29"/>
        <v>0</v>
      </c>
      <c r="AF111" s="11">
        <f t="shared" si="30"/>
        <v>0</v>
      </c>
      <c r="AG111" s="11">
        <f t="shared" si="31"/>
        <v>0</v>
      </c>
      <c r="AH111" s="11">
        <f t="shared" si="32"/>
        <v>0</v>
      </c>
      <c r="AI111" s="40" t="s">
        <v>586</v>
      </c>
      <c r="AJ111" s="11">
        <f t="shared" si="33"/>
        <v>0</v>
      </c>
      <c r="AK111" s="11">
        <f t="shared" si="34"/>
        <v>0</v>
      </c>
      <c r="AL111" s="11">
        <f t="shared" si="35"/>
        <v>0</v>
      </c>
      <c r="AN111" s="11">
        <v>21</v>
      </c>
      <c r="AO111" s="11">
        <f>I111*0.0400067635658915</f>
        <v>0</v>
      </c>
      <c r="AP111" s="11">
        <f>I111*(1-0.0400067635658915)</f>
        <v>0</v>
      </c>
      <c r="AQ111" s="12" t="s">
        <v>841</v>
      </c>
      <c r="AV111" s="11">
        <f t="shared" si="36"/>
        <v>0</v>
      </c>
      <c r="AW111" s="11">
        <f t="shared" si="37"/>
        <v>0</v>
      </c>
      <c r="AX111" s="11">
        <f t="shared" si="38"/>
        <v>0</v>
      </c>
      <c r="AY111" s="12" t="s">
        <v>742</v>
      </c>
      <c r="AZ111" s="12" t="s">
        <v>314</v>
      </c>
      <c r="BA111" s="40" t="s">
        <v>647</v>
      </c>
      <c r="BC111" s="11">
        <f t="shared" si="39"/>
        <v>0</v>
      </c>
      <c r="BD111" s="11">
        <f t="shared" si="40"/>
        <v>0</v>
      </c>
      <c r="BE111" s="11">
        <v>0</v>
      </c>
      <c r="BF111" s="11">
        <f>119</f>
        <v>119</v>
      </c>
      <c r="BH111" s="11">
        <f t="shared" si="41"/>
        <v>0</v>
      </c>
      <c r="BI111" s="11">
        <f t="shared" si="42"/>
        <v>0</v>
      </c>
      <c r="BJ111" s="11">
        <f t="shared" si="43"/>
        <v>0</v>
      </c>
      <c r="BK111" s="11"/>
      <c r="BL111" s="11">
        <v>96</v>
      </c>
    </row>
    <row r="112" spans="1:64" ht="13.5" customHeight="1">
      <c r="A112" s="53"/>
      <c r="B112" s="54" t="s">
        <v>440</v>
      </c>
      <c r="C112" s="394" t="s">
        <v>772</v>
      </c>
      <c r="D112" s="395"/>
      <c r="E112" s="395"/>
      <c r="F112" s="395"/>
      <c r="G112" s="395"/>
      <c r="H112" s="395"/>
      <c r="I112" s="395"/>
      <c r="J112" s="395"/>
      <c r="K112" s="395"/>
      <c r="L112" s="395"/>
      <c r="M112" s="396"/>
    </row>
    <row r="113" spans="1:64" ht="15" customHeight="1">
      <c r="A113" s="9" t="s">
        <v>143</v>
      </c>
      <c r="B113" s="10" t="s">
        <v>505</v>
      </c>
      <c r="C113" s="366" t="s">
        <v>117</v>
      </c>
      <c r="D113" s="366"/>
      <c r="E113" s="366"/>
      <c r="F113" s="366"/>
      <c r="G113" s="10" t="s">
        <v>830</v>
      </c>
      <c r="H113" s="11">
        <v>2.4750000000000001</v>
      </c>
      <c r="I113" s="11">
        <v>0</v>
      </c>
      <c r="J113" s="11">
        <f t="shared" ref="J113:J121" si="44">H113*AO113</f>
        <v>0</v>
      </c>
      <c r="K113" s="11">
        <f t="shared" ref="K113:K121" si="45">H113*AP113</f>
        <v>0</v>
      </c>
      <c r="L113" s="11">
        <f t="shared" ref="L113:L121" si="46">H113*I113</f>
        <v>0</v>
      </c>
      <c r="M113" s="52" t="s">
        <v>575</v>
      </c>
      <c r="Z113" s="11">
        <f t="shared" ref="Z113:Z121" si="47">IF(AQ113="5",BJ113,0)</f>
        <v>0</v>
      </c>
      <c r="AB113" s="11">
        <f t="shared" ref="AB113:AB121" si="48">IF(AQ113="1",BH113,0)</f>
        <v>0</v>
      </c>
      <c r="AC113" s="11">
        <f t="shared" ref="AC113:AC121" si="49">IF(AQ113="1",BI113,0)</f>
        <v>0</v>
      </c>
      <c r="AD113" s="11">
        <f t="shared" ref="AD113:AD121" si="50">IF(AQ113="7",BH113,0)</f>
        <v>0</v>
      </c>
      <c r="AE113" s="11">
        <f t="shared" ref="AE113:AE121" si="51">IF(AQ113="7",BI113,0)</f>
        <v>0</v>
      </c>
      <c r="AF113" s="11">
        <f t="shared" ref="AF113:AF121" si="52">IF(AQ113="2",BH113,0)</f>
        <v>0</v>
      </c>
      <c r="AG113" s="11">
        <f t="shared" ref="AG113:AG121" si="53">IF(AQ113="2",BI113,0)</f>
        <v>0</v>
      </c>
      <c r="AH113" s="11">
        <f t="shared" ref="AH113:AH121" si="54">IF(AQ113="0",BJ113,0)</f>
        <v>0</v>
      </c>
      <c r="AI113" s="40" t="s">
        <v>586</v>
      </c>
      <c r="AJ113" s="11">
        <f t="shared" ref="AJ113:AJ121" si="55">IF(AN113=0,L113,0)</f>
        <v>0</v>
      </c>
      <c r="AK113" s="11">
        <f t="shared" ref="AK113:AK121" si="56">IF(AN113=15,L113,0)</f>
        <v>0</v>
      </c>
      <c r="AL113" s="11">
        <f t="shared" ref="AL113:AL121" si="57">IF(AN113=21,L113,0)</f>
        <v>0</v>
      </c>
      <c r="AN113" s="11">
        <v>21</v>
      </c>
      <c r="AO113" s="11">
        <f>I113*0.140436273475417</f>
        <v>0</v>
      </c>
      <c r="AP113" s="11">
        <f>I113*(1-0.140436273475417)</f>
        <v>0</v>
      </c>
      <c r="AQ113" s="12" t="s">
        <v>841</v>
      </c>
      <c r="AV113" s="11">
        <f t="shared" ref="AV113:AV121" si="58">AW113+AX113</f>
        <v>0</v>
      </c>
      <c r="AW113" s="11">
        <f t="shared" ref="AW113:AW121" si="59">H113*AO113</f>
        <v>0</v>
      </c>
      <c r="AX113" s="11">
        <f t="shared" ref="AX113:AX121" si="60">H113*AP113</f>
        <v>0</v>
      </c>
      <c r="AY113" s="12" t="s">
        <v>742</v>
      </c>
      <c r="AZ113" s="12" t="s">
        <v>314</v>
      </c>
      <c r="BA113" s="40" t="s">
        <v>647</v>
      </c>
      <c r="BC113" s="11">
        <f t="shared" ref="BC113:BC121" si="61">AW113+AX113</f>
        <v>0</v>
      </c>
      <c r="BD113" s="11">
        <f t="shared" ref="BD113:BD121" si="62">I113/(100-BE113)*100</f>
        <v>0</v>
      </c>
      <c r="BE113" s="11">
        <v>0</v>
      </c>
      <c r="BF113" s="11">
        <f>121</f>
        <v>121</v>
      </c>
      <c r="BH113" s="11">
        <f t="shared" ref="BH113:BH121" si="63">H113*AO113</f>
        <v>0</v>
      </c>
      <c r="BI113" s="11">
        <f t="shared" ref="BI113:BI121" si="64">H113*AP113</f>
        <v>0</v>
      </c>
      <c r="BJ113" s="11">
        <f t="shared" ref="BJ113:BJ121" si="65">H113*I113</f>
        <v>0</v>
      </c>
      <c r="BK113" s="11"/>
      <c r="BL113" s="11">
        <v>96</v>
      </c>
    </row>
    <row r="114" spans="1:64" ht="15" customHeight="1">
      <c r="A114" s="9" t="s">
        <v>178</v>
      </c>
      <c r="B114" s="10" t="s">
        <v>410</v>
      </c>
      <c r="C114" s="366" t="s">
        <v>299</v>
      </c>
      <c r="D114" s="366"/>
      <c r="E114" s="366"/>
      <c r="F114" s="366"/>
      <c r="G114" s="10" t="s">
        <v>700</v>
      </c>
      <c r="H114" s="11">
        <v>1.5</v>
      </c>
      <c r="I114" s="11">
        <v>0</v>
      </c>
      <c r="J114" s="11">
        <f t="shared" si="44"/>
        <v>0</v>
      </c>
      <c r="K114" s="11">
        <f t="shared" si="45"/>
        <v>0</v>
      </c>
      <c r="L114" s="11">
        <f t="shared" si="46"/>
        <v>0</v>
      </c>
      <c r="M114" s="52" t="s">
        <v>575</v>
      </c>
      <c r="Z114" s="11">
        <f t="shared" si="47"/>
        <v>0</v>
      </c>
      <c r="AB114" s="11">
        <f t="shared" si="48"/>
        <v>0</v>
      </c>
      <c r="AC114" s="11">
        <f t="shared" si="49"/>
        <v>0</v>
      </c>
      <c r="AD114" s="11">
        <f t="shared" si="50"/>
        <v>0</v>
      </c>
      <c r="AE114" s="11">
        <f t="shared" si="51"/>
        <v>0</v>
      </c>
      <c r="AF114" s="11">
        <f t="shared" si="52"/>
        <v>0</v>
      </c>
      <c r="AG114" s="11">
        <f t="shared" si="53"/>
        <v>0</v>
      </c>
      <c r="AH114" s="11">
        <f t="shared" si="54"/>
        <v>0</v>
      </c>
      <c r="AI114" s="40" t="s">
        <v>586</v>
      </c>
      <c r="AJ114" s="11">
        <f t="shared" si="55"/>
        <v>0</v>
      </c>
      <c r="AK114" s="11">
        <f t="shared" si="56"/>
        <v>0</v>
      </c>
      <c r="AL114" s="11">
        <f t="shared" si="57"/>
        <v>0</v>
      </c>
      <c r="AN114" s="11">
        <v>21</v>
      </c>
      <c r="AO114" s="11">
        <f>I114*0</f>
        <v>0</v>
      </c>
      <c r="AP114" s="11">
        <f>I114*(1-0)</f>
        <v>0</v>
      </c>
      <c r="AQ114" s="12" t="s">
        <v>841</v>
      </c>
      <c r="AV114" s="11">
        <f t="shared" si="58"/>
        <v>0</v>
      </c>
      <c r="AW114" s="11">
        <f t="shared" si="59"/>
        <v>0</v>
      </c>
      <c r="AX114" s="11">
        <f t="shared" si="60"/>
        <v>0</v>
      </c>
      <c r="AY114" s="12" t="s">
        <v>742</v>
      </c>
      <c r="AZ114" s="12" t="s">
        <v>314</v>
      </c>
      <c r="BA114" s="40" t="s">
        <v>647</v>
      </c>
      <c r="BC114" s="11">
        <f t="shared" si="61"/>
        <v>0</v>
      </c>
      <c r="BD114" s="11">
        <f t="shared" si="62"/>
        <v>0</v>
      </c>
      <c r="BE114" s="11">
        <v>0</v>
      </c>
      <c r="BF114" s="11">
        <f>122</f>
        <v>122</v>
      </c>
      <c r="BH114" s="11">
        <f t="shared" si="63"/>
        <v>0</v>
      </c>
      <c r="BI114" s="11">
        <f t="shared" si="64"/>
        <v>0</v>
      </c>
      <c r="BJ114" s="11">
        <f t="shared" si="65"/>
        <v>0</v>
      </c>
      <c r="BK114" s="11"/>
      <c r="BL114" s="11">
        <v>96</v>
      </c>
    </row>
    <row r="115" spans="1:64" ht="15" customHeight="1">
      <c r="A115" s="9" t="s">
        <v>665</v>
      </c>
      <c r="B115" s="10" t="s">
        <v>914</v>
      </c>
      <c r="C115" s="366" t="s">
        <v>495</v>
      </c>
      <c r="D115" s="366"/>
      <c r="E115" s="366"/>
      <c r="F115" s="366"/>
      <c r="G115" s="10" t="s">
        <v>811</v>
      </c>
      <c r="H115" s="11">
        <v>1.008</v>
      </c>
      <c r="I115" s="11">
        <v>0</v>
      </c>
      <c r="J115" s="11">
        <f t="shared" si="44"/>
        <v>0</v>
      </c>
      <c r="K115" s="11">
        <f t="shared" si="45"/>
        <v>0</v>
      </c>
      <c r="L115" s="11">
        <f t="shared" si="46"/>
        <v>0</v>
      </c>
      <c r="M115" s="52" t="s">
        <v>575</v>
      </c>
      <c r="Z115" s="11">
        <f t="shared" si="47"/>
        <v>0</v>
      </c>
      <c r="AB115" s="11">
        <f t="shared" si="48"/>
        <v>0</v>
      </c>
      <c r="AC115" s="11">
        <f t="shared" si="49"/>
        <v>0</v>
      </c>
      <c r="AD115" s="11">
        <f t="shared" si="50"/>
        <v>0</v>
      </c>
      <c r="AE115" s="11">
        <f t="shared" si="51"/>
        <v>0</v>
      </c>
      <c r="AF115" s="11">
        <f t="shared" si="52"/>
        <v>0</v>
      </c>
      <c r="AG115" s="11">
        <f t="shared" si="53"/>
        <v>0</v>
      </c>
      <c r="AH115" s="11">
        <f t="shared" si="54"/>
        <v>0</v>
      </c>
      <c r="AI115" s="40" t="s">
        <v>586</v>
      </c>
      <c r="AJ115" s="11">
        <f t="shared" si="55"/>
        <v>0</v>
      </c>
      <c r="AK115" s="11">
        <f t="shared" si="56"/>
        <v>0</v>
      </c>
      <c r="AL115" s="11">
        <f t="shared" si="57"/>
        <v>0</v>
      </c>
      <c r="AN115" s="11">
        <v>21</v>
      </c>
      <c r="AO115" s="11">
        <f>I115*0.0400091866028708</f>
        <v>0</v>
      </c>
      <c r="AP115" s="11">
        <f>I115*(1-0.0400091866028708)</f>
        <v>0</v>
      </c>
      <c r="AQ115" s="12" t="s">
        <v>841</v>
      </c>
      <c r="AV115" s="11">
        <f t="shared" si="58"/>
        <v>0</v>
      </c>
      <c r="AW115" s="11">
        <f t="shared" si="59"/>
        <v>0</v>
      </c>
      <c r="AX115" s="11">
        <f t="shared" si="60"/>
        <v>0</v>
      </c>
      <c r="AY115" s="12" t="s">
        <v>742</v>
      </c>
      <c r="AZ115" s="12" t="s">
        <v>314</v>
      </c>
      <c r="BA115" s="40" t="s">
        <v>647</v>
      </c>
      <c r="BC115" s="11">
        <f t="shared" si="61"/>
        <v>0</v>
      </c>
      <c r="BD115" s="11">
        <f t="shared" si="62"/>
        <v>0</v>
      </c>
      <c r="BE115" s="11">
        <v>0</v>
      </c>
      <c r="BF115" s="11">
        <f>123</f>
        <v>123</v>
      </c>
      <c r="BH115" s="11">
        <f t="shared" si="63"/>
        <v>0</v>
      </c>
      <c r="BI115" s="11">
        <f t="shared" si="64"/>
        <v>0</v>
      </c>
      <c r="BJ115" s="11">
        <f t="shared" si="65"/>
        <v>0</v>
      </c>
      <c r="BK115" s="11"/>
      <c r="BL115" s="11">
        <v>96</v>
      </c>
    </row>
    <row r="116" spans="1:64" ht="15" customHeight="1">
      <c r="A116" s="9" t="s">
        <v>72</v>
      </c>
      <c r="B116" s="10" t="s">
        <v>859</v>
      </c>
      <c r="C116" s="366" t="s">
        <v>282</v>
      </c>
      <c r="D116" s="366"/>
      <c r="E116" s="366"/>
      <c r="F116" s="366"/>
      <c r="G116" s="10" t="s">
        <v>830</v>
      </c>
      <c r="H116" s="11">
        <v>2</v>
      </c>
      <c r="I116" s="11">
        <v>0</v>
      </c>
      <c r="J116" s="11">
        <f t="shared" si="44"/>
        <v>0</v>
      </c>
      <c r="K116" s="11">
        <f t="shared" si="45"/>
        <v>0</v>
      </c>
      <c r="L116" s="11">
        <f t="shared" si="46"/>
        <v>0</v>
      </c>
      <c r="M116" s="52" t="s">
        <v>575</v>
      </c>
      <c r="Z116" s="11">
        <f t="shared" si="47"/>
        <v>0</v>
      </c>
      <c r="AB116" s="11">
        <f t="shared" si="48"/>
        <v>0</v>
      </c>
      <c r="AC116" s="11">
        <f t="shared" si="49"/>
        <v>0</v>
      </c>
      <c r="AD116" s="11">
        <f t="shared" si="50"/>
        <v>0</v>
      </c>
      <c r="AE116" s="11">
        <f t="shared" si="51"/>
        <v>0</v>
      </c>
      <c r="AF116" s="11">
        <f t="shared" si="52"/>
        <v>0</v>
      </c>
      <c r="AG116" s="11">
        <f t="shared" si="53"/>
        <v>0</v>
      </c>
      <c r="AH116" s="11">
        <f t="shared" si="54"/>
        <v>0</v>
      </c>
      <c r="AI116" s="40" t="s">
        <v>586</v>
      </c>
      <c r="AJ116" s="11">
        <f t="shared" si="55"/>
        <v>0</v>
      </c>
      <c r="AK116" s="11">
        <f t="shared" si="56"/>
        <v>0</v>
      </c>
      <c r="AL116" s="11">
        <f t="shared" si="57"/>
        <v>0</v>
      </c>
      <c r="AN116" s="11">
        <v>21</v>
      </c>
      <c r="AO116" s="11">
        <f>I116*0.0693404634581105</f>
        <v>0</v>
      </c>
      <c r="AP116" s="11">
        <f>I116*(1-0.0693404634581105)</f>
        <v>0</v>
      </c>
      <c r="AQ116" s="12" t="s">
        <v>841</v>
      </c>
      <c r="AV116" s="11">
        <f t="shared" si="58"/>
        <v>0</v>
      </c>
      <c r="AW116" s="11">
        <f t="shared" si="59"/>
        <v>0</v>
      </c>
      <c r="AX116" s="11">
        <f t="shared" si="60"/>
        <v>0</v>
      </c>
      <c r="AY116" s="12" t="s">
        <v>742</v>
      </c>
      <c r="AZ116" s="12" t="s">
        <v>314</v>
      </c>
      <c r="BA116" s="40" t="s">
        <v>647</v>
      </c>
      <c r="BC116" s="11">
        <f t="shared" si="61"/>
        <v>0</v>
      </c>
      <c r="BD116" s="11">
        <f t="shared" si="62"/>
        <v>0</v>
      </c>
      <c r="BE116" s="11">
        <v>0</v>
      </c>
      <c r="BF116" s="11">
        <f>124</f>
        <v>124</v>
      </c>
      <c r="BH116" s="11">
        <f t="shared" si="63"/>
        <v>0</v>
      </c>
      <c r="BI116" s="11">
        <f t="shared" si="64"/>
        <v>0</v>
      </c>
      <c r="BJ116" s="11">
        <f t="shared" si="65"/>
        <v>0</v>
      </c>
      <c r="BK116" s="11"/>
      <c r="BL116" s="11">
        <v>96</v>
      </c>
    </row>
    <row r="117" spans="1:64" ht="15" customHeight="1">
      <c r="A117" s="9" t="s">
        <v>656</v>
      </c>
      <c r="B117" s="10" t="s">
        <v>658</v>
      </c>
      <c r="C117" s="366" t="s">
        <v>562</v>
      </c>
      <c r="D117" s="366"/>
      <c r="E117" s="366"/>
      <c r="F117" s="366"/>
      <c r="G117" s="10" t="s">
        <v>216</v>
      </c>
      <c r="H117" s="11">
        <v>7</v>
      </c>
      <c r="I117" s="11">
        <v>0</v>
      </c>
      <c r="J117" s="11">
        <f t="shared" si="44"/>
        <v>0</v>
      </c>
      <c r="K117" s="11">
        <f t="shared" si="45"/>
        <v>0</v>
      </c>
      <c r="L117" s="11">
        <f t="shared" si="46"/>
        <v>0</v>
      </c>
      <c r="M117" s="52" t="s">
        <v>575</v>
      </c>
      <c r="Z117" s="11">
        <f t="shared" si="47"/>
        <v>0</v>
      </c>
      <c r="AB117" s="11">
        <f t="shared" si="48"/>
        <v>0</v>
      </c>
      <c r="AC117" s="11">
        <f t="shared" si="49"/>
        <v>0</v>
      </c>
      <c r="AD117" s="11">
        <f t="shared" si="50"/>
        <v>0</v>
      </c>
      <c r="AE117" s="11">
        <f t="shared" si="51"/>
        <v>0</v>
      </c>
      <c r="AF117" s="11">
        <f t="shared" si="52"/>
        <v>0</v>
      </c>
      <c r="AG117" s="11">
        <f t="shared" si="53"/>
        <v>0</v>
      </c>
      <c r="AH117" s="11">
        <f t="shared" si="54"/>
        <v>0</v>
      </c>
      <c r="AI117" s="40" t="s">
        <v>586</v>
      </c>
      <c r="AJ117" s="11">
        <f t="shared" si="55"/>
        <v>0</v>
      </c>
      <c r="AK117" s="11">
        <f t="shared" si="56"/>
        <v>0</v>
      </c>
      <c r="AL117" s="11">
        <f t="shared" si="57"/>
        <v>0</v>
      </c>
      <c r="AN117" s="11">
        <v>21</v>
      </c>
      <c r="AO117" s="11">
        <f>I117*0</f>
        <v>0</v>
      </c>
      <c r="AP117" s="11">
        <f>I117*(1-0)</f>
        <v>0</v>
      </c>
      <c r="AQ117" s="12" t="s">
        <v>841</v>
      </c>
      <c r="AV117" s="11">
        <f t="shared" si="58"/>
        <v>0</v>
      </c>
      <c r="AW117" s="11">
        <f t="shared" si="59"/>
        <v>0</v>
      </c>
      <c r="AX117" s="11">
        <f t="shared" si="60"/>
        <v>0</v>
      </c>
      <c r="AY117" s="12" t="s">
        <v>742</v>
      </c>
      <c r="AZ117" s="12" t="s">
        <v>314</v>
      </c>
      <c r="BA117" s="40" t="s">
        <v>647</v>
      </c>
      <c r="BC117" s="11">
        <f t="shared" si="61"/>
        <v>0</v>
      </c>
      <c r="BD117" s="11">
        <f t="shared" si="62"/>
        <v>0</v>
      </c>
      <c r="BE117" s="11">
        <v>0</v>
      </c>
      <c r="BF117" s="11">
        <f>125</f>
        <v>125</v>
      </c>
      <c r="BH117" s="11">
        <f t="shared" si="63"/>
        <v>0</v>
      </c>
      <c r="BI117" s="11">
        <f t="shared" si="64"/>
        <v>0</v>
      </c>
      <c r="BJ117" s="11">
        <f t="shared" si="65"/>
        <v>0</v>
      </c>
      <c r="BK117" s="11"/>
      <c r="BL117" s="11">
        <v>96</v>
      </c>
    </row>
    <row r="118" spans="1:64" ht="15" customHeight="1">
      <c r="A118" s="9" t="s">
        <v>525</v>
      </c>
      <c r="B118" s="10" t="s">
        <v>165</v>
      </c>
      <c r="C118" s="366" t="s">
        <v>480</v>
      </c>
      <c r="D118" s="366"/>
      <c r="E118" s="366"/>
      <c r="F118" s="366"/>
      <c r="G118" s="10" t="s">
        <v>830</v>
      </c>
      <c r="H118" s="11">
        <v>9</v>
      </c>
      <c r="I118" s="11">
        <v>0</v>
      </c>
      <c r="J118" s="11">
        <f t="shared" si="44"/>
        <v>0</v>
      </c>
      <c r="K118" s="11">
        <f t="shared" si="45"/>
        <v>0</v>
      </c>
      <c r="L118" s="11">
        <f t="shared" si="46"/>
        <v>0</v>
      </c>
      <c r="M118" s="52" t="s">
        <v>575</v>
      </c>
      <c r="Z118" s="11">
        <f t="shared" si="47"/>
        <v>0</v>
      </c>
      <c r="AB118" s="11">
        <f t="shared" si="48"/>
        <v>0</v>
      </c>
      <c r="AC118" s="11">
        <f t="shared" si="49"/>
        <v>0</v>
      </c>
      <c r="AD118" s="11">
        <f t="shared" si="50"/>
        <v>0</v>
      </c>
      <c r="AE118" s="11">
        <f t="shared" si="51"/>
        <v>0</v>
      </c>
      <c r="AF118" s="11">
        <f t="shared" si="52"/>
        <v>0</v>
      </c>
      <c r="AG118" s="11">
        <f t="shared" si="53"/>
        <v>0</v>
      </c>
      <c r="AH118" s="11">
        <f t="shared" si="54"/>
        <v>0</v>
      </c>
      <c r="AI118" s="40" t="s">
        <v>586</v>
      </c>
      <c r="AJ118" s="11">
        <f t="shared" si="55"/>
        <v>0</v>
      </c>
      <c r="AK118" s="11">
        <f t="shared" si="56"/>
        <v>0</v>
      </c>
      <c r="AL118" s="11">
        <f t="shared" si="57"/>
        <v>0</v>
      </c>
      <c r="AN118" s="11">
        <v>21</v>
      </c>
      <c r="AO118" s="11">
        <f>I118*0.0772009029345373</f>
        <v>0</v>
      </c>
      <c r="AP118" s="11">
        <f>I118*(1-0.0772009029345373)</f>
        <v>0</v>
      </c>
      <c r="AQ118" s="12" t="s">
        <v>841</v>
      </c>
      <c r="AV118" s="11">
        <f t="shared" si="58"/>
        <v>0</v>
      </c>
      <c r="AW118" s="11">
        <f t="shared" si="59"/>
        <v>0</v>
      </c>
      <c r="AX118" s="11">
        <f t="shared" si="60"/>
        <v>0</v>
      </c>
      <c r="AY118" s="12" t="s">
        <v>742</v>
      </c>
      <c r="AZ118" s="12" t="s">
        <v>314</v>
      </c>
      <c r="BA118" s="40" t="s">
        <v>647</v>
      </c>
      <c r="BC118" s="11">
        <f t="shared" si="61"/>
        <v>0</v>
      </c>
      <c r="BD118" s="11">
        <f t="shared" si="62"/>
        <v>0</v>
      </c>
      <c r="BE118" s="11">
        <v>0</v>
      </c>
      <c r="BF118" s="11">
        <f>126</f>
        <v>126</v>
      </c>
      <c r="BH118" s="11">
        <f t="shared" si="63"/>
        <v>0</v>
      </c>
      <c r="BI118" s="11">
        <f t="shared" si="64"/>
        <v>0</v>
      </c>
      <c r="BJ118" s="11">
        <f t="shared" si="65"/>
        <v>0</v>
      </c>
      <c r="BK118" s="11"/>
      <c r="BL118" s="11">
        <v>96</v>
      </c>
    </row>
    <row r="119" spans="1:64" ht="15" customHeight="1">
      <c r="A119" s="9" t="s">
        <v>853</v>
      </c>
      <c r="B119" s="10" t="s">
        <v>486</v>
      </c>
      <c r="C119" s="366" t="s">
        <v>729</v>
      </c>
      <c r="D119" s="366"/>
      <c r="E119" s="366"/>
      <c r="F119" s="366"/>
      <c r="G119" s="10" t="s">
        <v>830</v>
      </c>
      <c r="H119" s="11">
        <v>3.2</v>
      </c>
      <c r="I119" s="11">
        <v>0</v>
      </c>
      <c r="J119" s="11">
        <f t="shared" si="44"/>
        <v>0</v>
      </c>
      <c r="K119" s="11">
        <f t="shared" si="45"/>
        <v>0</v>
      </c>
      <c r="L119" s="11">
        <f t="shared" si="46"/>
        <v>0</v>
      </c>
      <c r="M119" s="52" t="s">
        <v>575</v>
      </c>
      <c r="Z119" s="11">
        <f t="shared" si="47"/>
        <v>0</v>
      </c>
      <c r="AB119" s="11">
        <f t="shared" si="48"/>
        <v>0</v>
      </c>
      <c r="AC119" s="11">
        <f t="shared" si="49"/>
        <v>0</v>
      </c>
      <c r="AD119" s="11">
        <f t="shared" si="50"/>
        <v>0</v>
      </c>
      <c r="AE119" s="11">
        <f t="shared" si="51"/>
        <v>0</v>
      </c>
      <c r="AF119" s="11">
        <f t="shared" si="52"/>
        <v>0</v>
      </c>
      <c r="AG119" s="11">
        <f t="shared" si="53"/>
        <v>0</v>
      </c>
      <c r="AH119" s="11">
        <f t="shared" si="54"/>
        <v>0</v>
      </c>
      <c r="AI119" s="40" t="s">
        <v>586</v>
      </c>
      <c r="AJ119" s="11">
        <f t="shared" si="55"/>
        <v>0</v>
      </c>
      <c r="AK119" s="11">
        <f t="shared" si="56"/>
        <v>0</v>
      </c>
      <c r="AL119" s="11">
        <f t="shared" si="57"/>
        <v>0</v>
      </c>
      <c r="AN119" s="11">
        <v>21</v>
      </c>
      <c r="AO119" s="11">
        <f>I119*0.0853430656934307</f>
        <v>0</v>
      </c>
      <c r="AP119" s="11">
        <f>I119*(1-0.0853430656934307)</f>
        <v>0</v>
      </c>
      <c r="AQ119" s="12" t="s">
        <v>841</v>
      </c>
      <c r="AV119" s="11">
        <f t="shared" si="58"/>
        <v>0</v>
      </c>
      <c r="AW119" s="11">
        <f t="shared" si="59"/>
        <v>0</v>
      </c>
      <c r="AX119" s="11">
        <f t="shared" si="60"/>
        <v>0</v>
      </c>
      <c r="AY119" s="12" t="s">
        <v>742</v>
      </c>
      <c r="AZ119" s="12" t="s">
        <v>314</v>
      </c>
      <c r="BA119" s="40" t="s">
        <v>647</v>
      </c>
      <c r="BC119" s="11">
        <f t="shared" si="61"/>
        <v>0</v>
      </c>
      <c r="BD119" s="11">
        <f t="shared" si="62"/>
        <v>0</v>
      </c>
      <c r="BE119" s="11">
        <v>0</v>
      </c>
      <c r="BF119" s="11">
        <f>127</f>
        <v>127</v>
      </c>
      <c r="BH119" s="11">
        <f t="shared" si="63"/>
        <v>0</v>
      </c>
      <c r="BI119" s="11">
        <f t="shared" si="64"/>
        <v>0</v>
      </c>
      <c r="BJ119" s="11">
        <f t="shared" si="65"/>
        <v>0</v>
      </c>
      <c r="BK119" s="11"/>
      <c r="BL119" s="11">
        <v>96</v>
      </c>
    </row>
    <row r="120" spans="1:64" ht="15" customHeight="1">
      <c r="A120" s="9" t="s">
        <v>778</v>
      </c>
      <c r="B120" s="10" t="s">
        <v>588</v>
      </c>
      <c r="C120" s="366" t="s">
        <v>385</v>
      </c>
      <c r="D120" s="366"/>
      <c r="E120" s="366"/>
      <c r="F120" s="366"/>
      <c r="G120" s="10" t="s">
        <v>216</v>
      </c>
      <c r="H120" s="11">
        <v>1</v>
      </c>
      <c r="I120" s="11">
        <v>0</v>
      </c>
      <c r="J120" s="11">
        <f t="shared" si="44"/>
        <v>0</v>
      </c>
      <c r="K120" s="11">
        <f t="shared" si="45"/>
        <v>0</v>
      </c>
      <c r="L120" s="11">
        <f t="shared" si="46"/>
        <v>0</v>
      </c>
      <c r="M120" s="52" t="s">
        <v>575</v>
      </c>
      <c r="Z120" s="11">
        <f t="shared" si="47"/>
        <v>0</v>
      </c>
      <c r="AB120" s="11">
        <f t="shared" si="48"/>
        <v>0</v>
      </c>
      <c r="AC120" s="11">
        <f t="shared" si="49"/>
        <v>0</v>
      </c>
      <c r="AD120" s="11">
        <f t="shared" si="50"/>
        <v>0</v>
      </c>
      <c r="AE120" s="11">
        <f t="shared" si="51"/>
        <v>0</v>
      </c>
      <c r="AF120" s="11">
        <f t="shared" si="52"/>
        <v>0</v>
      </c>
      <c r="AG120" s="11">
        <f t="shared" si="53"/>
        <v>0</v>
      </c>
      <c r="AH120" s="11">
        <f t="shared" si="54"/>
        <v>0</v>
      </c>
      <c r="AI120" s="40" t="s">
        <v>586</v>
      </c>
      <c r="AJ120" s="11">
        <f t="shared" si="55"/>
        <v>0</v>
      </c>
      <c r="AK120" s="11">
        <f t="shared" si="56"/>
        <v>0</v>
      </c>
      <c r="AL120" s="11">
        <f t="shared" si="57"/>
        <v>0</v>
      </c>
      <c r="AN120" s="11">
        <v>21</v>
      </c>
      <c r="AO120" s="11">
        <f>I120*0</f>
        <v>0</v>
      </c>
      <c r="AP120" s="11">
        <f>I120*(1-0)</f>
        <v>0</v>
      </c>
      <c r="AQ120" s="12" t="s">
        <v>841</v>
      </c>
      <c r="AV120" s="11">
        <f t="shared" si="58"/>
        <v>0</v>
      </c>
      <c r="AW120" s="11">
        <f t="shared" si="59"/>
        <v>0</v>
      </c>
      <c r="AX120" s="11">
        <f t="shared" si="60"/>
        <v>0</v>
      </c>
      <c r="AY120" s="12" t="s">
        <v>742</v>
      </c>
      <c r="AZ120" s="12" t="s">
        <v>314</v>
      </c>
      <c r="BA120" s="40" t="s">
        <v>647</v>
      </c>
      <c r="BC120" s="11">
        <f t="shared" si="61"/>
        <v>0</v>
      </c>
      <c r="BD120" s="11">
        <f t="shared" si="62"/>
        <v>0</v>
      </c>
      <c r="BE120" s="11">
        <v>0</v>
      </c>
      <c r="BF120" s="11">
        <f>128</f>
        <v>128</v>
      </c>
      <c r="BH120" s="11">
        <f t="shared" si="63"/>
        <v>0</v>
      </c>
      <c r="BI120" s="11">
        <f t="shared" si="64"/>
        <v>0</v>
      </c>
      <c r="BJ120" s="11">
        <f t="shared" si="65"/>
        <v>0</v>
      </c>
      <c r="BK120" s="11"/>
      <c r="BL120" s="11">
        <v>96</v>
      </c>
    </row>
    <row r="121" spans="1:64" ht="15" customHeight="1">
      <c r="A121" s="9" t="s">
        <v>563</v>
      </c>
      <c r="B121" s="10" t="s">
        <v>877</v>
      </c>
      <c r="C121" s="366" t="s">
        <v>908</v>
      </c>
      <c r="D121" s="366"/>
      <c r="E121" s="366"/>
      <c r="F121" s="366"/>
      <c r="G121" s="10" t="s">
        <v>811</v>
      </c>
      <c r="H121" s="11">
        <v>0.63</v>
      </c>
      <c r="I121" s="11">
        <v>0</v>
      </c>
      <c r="J121" s="11">
        <f t="shared" si="44"/>
        <v>0</v>
      </c>
      <c r="K121" s="11">
        <f t="shared" si="45"/>
        <v>0</v>
      </c>
      <c r="L121" s="11">
        <f t="shared" si="46"/>
        <v>0</v>
      </c>
      <c r="M121" s="52" t="s">
        <v>575</v>
      </c>
      <c r="Z121" s="11">
        <f t="shared" si="47"/>
        <v>0</v>
      </c>
      <c r="AB121" s="11">
        <f t="shared" si="48"/>
        <v>0</v>
      </c>
      <c r="AC121" s="11">
        <f t="shared" si="49"/>
        <v>0</v>
      </c>
      <c r="AD121" s="11">
        <f t="shared" si="50"/>
        <v>0</v>
      </c>
      <c r="AE121" s="11">
        <f t="shared" si="51"/>
        <v>0</v>
      </c>
      <c r="AF121" s="11">
        <f t="shared" si="52"/>
        <v>0</v>
      </c>
      <c r="AG121" s="11">
        <f t="shared" si="53"/>
        <v>0</v>
      </c>
      <c r="AH121" s="11">
        <f t="shared" si="54"/>
        <v>0</v>
      </c>
      <c r="AI121" s="40" t="s">
        <v>586</v>
      </c>
      <c r="AJ121" s="11">
        <f t="shared" si="55"/>
        <v>0</v>
      </c>
      <c r="AK121" s="11">
        <f t="shared" si="56"/>
        <v>0</v>
      </c>
      <c r="AL121" s="11">
        <f t="shared" si="57"/>
        <v>0</v>
      </c>
      <c r="AN121" s="11">
        <v>21</v>
      </c>
      <c r="AO121" s="11">
        <f>I121*0.0358231530845392</f>
        <v>0</v>
      </c>
      <c r="AP121" s="11">
        <f>I121*(1-0.0358231530845392)</f>
        <v>0</v>
      </c>
      <c r="AQ121" s="12" t="s">
        <v>841</v>
      </c>
      <c r="AV121" s="11">
        <f t="shared" si="58"/>
        <v>0</v>
      </c>
      <c r="AW121" s="11">
        <f t="shared" si="59"/>
        <v>0</v>
      </c>
      <c r="AX121" s="11">
        <f t="shared" si="60"/>
        <v>0</v>
      </c>
      <c r="AY121" s="12" t="s">
        <v>742</v>
      </c>
      <c r="AZ121" s="12" t="s">
        <v>314</v>
      </c>
      <c r="BA121" s="40" t="s">
        <v>647</v>
      </c>
      <c r="BC121" s="11">
        <f t="shared" si="61"/>
        <v>0</v>
      </c>
      <c r="BD121" s="11">
        <f t="shared" si="62"/>
        <v>0</v>
      </c>
      <c r="BE121" s="11">
        <v>0</v>
      </c>
      <c r="BF121" s="11">
        <f>129</f>
        <v>129</v>
      </c>
      <c r="BH121" s="11">
        <f t="shared" si="63"/>
        <v>0</v>
      </c>
      <c r="BI121" s="11">
        <f t="shared" si="64"/>
        <v>0</v>
      </c>
      <c r="BJ121" s="11">
        <f t="shared" si="65"/>
        <v>0</v>
      </c>
      <c r="BK121" s="11"/>
      <c r="BL121" s="11">
        <v>96</v>
      </c>
    </row>
    <row r="122" spans="1:64" ht="13.5" customHeight="1">
      <c r="A122" s="53"/>
      <c r="B122" s="54" t="s">
        <v>440</v>
      </c>
      <c r="C122" s="394" t="s">
        <v>445</v>
      </c>
      <c r="D122" s="395"/>
      <c r="E122" s="395"/>
      <c r="F122" s="395"/>
      <c r="G122" s="395"/>
      <c r="H122" s="395"/>
      <c r="I122" s="395"/>
      <c r="J122" s="395"/>
      <c r="K122" s="395"/>
      <c r="L122" s="395"/>
      <c r="M122" s="396"/>
    </row>
    <row r="123" spans="1:64" ht="15" customHeight="1">
      <c r="A123" s="9" t="s">
        <v>438</v>
      </c>
      <c r="B123" s="10" t="s">
        <v>721</v>
      </c>
      <c r="C123" s="366" t="s">
        <v>419</v>
      </c>
      <c r="D123" s="366"/>
      <c r="E123" s="366"/>
      <c r="F123" s="366"/>
      <c r="G123" s="10" t="s">
        <v>830</v>
      </c>
      <c r="H123" s="11">
        <v>1.05</v>
      </c>
      <c r="I123" s="11">
        <v>0</v>
      </c>
      <c r="J123" s="11">
        <f>H123*AO123</f>
        <v>0</v>
      </c>
      <c r="K123" s="11">
        <f>H123*AP123</f>
        <v>0</v>
      </c>
      <c r="L123" s="11">
        <f>H123*I123</f>
        <v>0</v>
      </c>
      <c r="M123" s="52" t="s">
        <v>575</v>
      </c>
      <c r="Z123" s="11">
        <f>IF(AQ123="5",BJ123,0)</f>
        <v>0</v>
      </c>
      <c r="AB123" s="11">
        <f>IF(AQ123="1",BH123,0)</f>
        <v>0</v>
      </c>
      <c r="AC123" s="11">
        <f>IF(AQ123="1",BI123,0)</f>
        <v>0</v>
      </c>
      <c r="AD123" s="11">
        <f>IF(AQ123="7",BH123,0)</f>
        <v>0</v>
      </c>
      <c r="AE123" s="11">
        <f>IF(AQ123="7",BI123,0)</f>
        <v>0</v>
      </c>
      <c r="AF123" s="11">
        <f>IF(AQ123="2",BH123,0)</f>
        <v>0</v>
      </c>
      <c r="AG123" s="11">
        <f>IF(AQ123="2",BI123,0)</f>
        <v>0</v>
      </c>
      <c r="AH123" s="11">
        <f>IF(AQ123="0",BJ123,0)</f>
        <v>0</v>
      </c>
      <c r="AI123" s="40" t="s">
        <v>586</v>
      </c>
      <c r="AJ123" s="11">
        <f>IF(AN123=0,L123,0)</f>
        <v>0</v>
      </c>
      <c r="AK123" s="11">
        <f>IF(AN123=15,L123,0)</f>
        <v>0</v>
      </c>
      <c r="AL123" s="11">
        <f>IF(AN123=21,L123,0)</f>
        <v>0</v>
      </c>
      <c r="AN123" s="11">
        <v>21</v>
      </c>
      <c r="AO123" s="11">
        <f>I123*0.113504068047337</f>
        <v>0</v>
      </c>
      <c r="AP123" s="11">
        <f>I123*(1-0.113504068047337)</f>
        <v>0</v>
      </c>
      <c r="AQ123" s="12" t="s">
        <v>841</v>
      </c>
      <c r="AV123" s="11">
        <f>AW123+AX123</f>
        <v>0</v>
      </c>
      <c r="AW123" s="11">
        <f>H123*AO123</f>
        <v>0</v>
      </c>
      <c r="AX123" s="11">
        <f>H123*AP123</f>
        <v>0</v>
      </c>
      <c r="AY123" s="12" t="s">
        <v>742</v>
      </c>
      <c r="AZ123" s="12" t="s">
        <v>314</v>
      </c>
      <c r="BA123" s="40" t="s">
        <v>647</v>
      </c>
      <c r="BC123" s="11">
        <f>AW123+AX123</f>
        <v>0</v>
      </c>
      <c r="BD123" s="11">
        <f>I123/(100-BE123)*100</f>
        <v>0</v>
      </c>
      <c r="BE123" s="11">
        <v>0</v>
      </c>
      <c r="BF123" s="11">
        <f>131</f>
        <v>131</v>
      </c>
      <c r="BH123" s="11">
        <f>H123*AO123</f>
        <v>0</v>
      </c>
      <c r="BI123" s="11">
        <f>H123*AP123</f>
        <v>0</v>
      </c>
      <c r="BJ123" s="11">
        <f>H123*I123</f>
        <v>0</v>
      </c>
      <c r="BK123" s="11"/>
      <c r="BL123" s="11">
        <v>96</v>
      </c>
    </row>
    <row r="124" spans="1:64" ht="15" customHeight="1">
      <c r="A124" s="9" t="s">
        <v>188</v>
      </c>
      <c r="B124" s="10" t="s">
        <v>149</v>
      </c>
      <c r="C124" s="366" t="s">
        <v>432</v>
      </c>
      <c r="D124" s="366"/>
      <c r="E124" s="366"/>
      <c r="F124" s="366"/>
      <c r="G124" s="10" t="s">
        <v>700</v>
      </c>
      <c r="H124" s="11">
        <v>1.5</v>
      </c>
      <c r="I124" s="11">
        <v>0</v>
      </c>
      <c r="J124" s="11">
        <f>H124*AO124</f>
        <v>0</v>
      </c>
      <c r="K124" s="11">
        <f>H124*AP124</f>
        <v>0</v>
      </c>
      <c r="L124" s="11">
        <f>H124*I124</f>
        <v>0</v>
      </c>
      <c r="M124" s="52" t="s">
        <v>575</v>
      </c>
      <c r="Z124" s="11">
        <f>IF(AQ124="5",BJ124,0)</f>
        <v>0</v>
      </c>
      <c r="AB124" s="11">
        <f>IF(AQ124="1",BH124,0)</f>
        <v>0</v>
      </c>
      <c r="AC124" s="11">
        <f>IF(AQ124="1",BI124,0)</f>
        <v>0</v>
      </c>
      <c r="AD124" s="11">
        <f>IF(AQ124="7",BH124,0)</f>
        <v>0</v>
      </c>
      <c r="AE124" s="11">
        <f>IF(AQ124="7",BI124,0)</f>
        <v>0</v>
      </c>
      <c r="AF124" s="11">
        <f>IF(AQ124="2",BH124,0)</f>
        <v>0</v>
      </c>
      <c r="AG124" s="11">
        <f>IF(AQ124="2",BI124,0)</f>
        <v>0</v>
      </c>
      <c r="AH124" s="11">
        <f>IF(AQ124="0",BJ124,0)</f>
        <v>0</v>
      </c>
      <c r="AI124" s="40" t="s">
        <v>586</v>
      </c>
      <c r="AJ124" s="11">
        <f>IF(AN124=0,L124,0)</f>
        <v>0</v>
      </c>
      <c r="AK124" s="11">
        <f>IF(AN124=15,L124,0)</f>
        <v>0</v>
      </c>
      <c r="AL124" s="11">
        <f>IF(AN124=21,L124,0)</f>
        <v>0</v>
      </c>
      <c r="AN124" s="11">
        <v>21</v>
      </c>
      <c r="AO124" s="11">
        <f>I124*0</f>
        <v>0</v>
      </c>
      <c r="AP124" s="11">
        <f>I124*(1-0)</f>
        <v>0</v>
      </c>
      <c r="AQ124" s="12" t="s">
        <v>841</v>
      </c>
      <c r="AV124" s="11">
        <f>AW124+AX124</f>
        <v>0</v>
      </c>
      <c r="AW124" s="11">
        <f>H124*AO124</f>
        <v>0</v>
      </c>
      <c r="AX124" s="11">
        <f>H124*AP124</f>
        <v>0</v>
      </c>
      <c r="AY124" s="12" t="s">
        <v>742</v>
      </c>
      <c r="AZ124" s="12" t="s">
        <v>314</v>
      </c>
      <c r="BA124" s="40" t="s">
        <v>647</v>
      </c>
      <c r="BC124" s="11">
        <f>AW124+AX124</f>
        <v>0</v>
      </c>
      <c r="BD124" s="11">
        <f>I124/(100-BE124)*100</f>
        <v>0</v>
      </c>
      <c r="BE124" s="11">
        <v>0</v>
      </c>
      <c r="BF124" s="11">
        <f>132</f>
        <v>132</v>
      </c>
      <c r="BH124" s="11">
        <f>H124*AO124</f>
        <v>0</v>
      </c>
      <c r="BI124" s="11">
        <f>H124*AP124</f>
        <v>0</v>
      </c>
      <c r="BJ124" s="11">
        <f>H124*I124</f>
        <v>0</v>
      </c>
      <c r="BK124" s="11"/>
      <c r="BL124" s="11">
        <v>96</v>
      </c>
    </row>
    <row r="125" spans="1:64" ht="13.5" customHeight="1">
      <c r="A125" s="53"/>
      <c r="B125" s="54" t="s">
        <v>440</v>
      </c>
      <c r="C125" s="394" t="s">
        <v>284</v>
      </c>
      <c r="D125" s="395"/>
      <c r="E125" s="395"/>
      <c r="F125" s="395"/>
      <c r="G125" s="395"/>
      <c r="H125" s="395"/>
      <c r="I125" s="395"/>
      <c r="J125" s="395"/>
      <c r="K125" s="395"/>
      <c r="L125" s="395"/>
      <c r="M125" s="396"/>
    </row>
    <row r="126" spans="1:64" ht="15" customHeight="1">
      <c r="A126" s="9" t="s">
        <v>71</v>
      </c>
      <c r="B126" s="10" t="s">
        <v>130</v>
      </c>
      <c r="C126" s="366" t="s">
        <v>726</v>
      </c>
      <c r="D126" s="366"/>
      <c r="E126" s="366"/>
      <c r="F126" s="366"/>
      <c r="G126" s="10" t="s">
        <v>830</v>
      </c>
      <c r="H126" s="11">
        <v>16.3</v>
      </c>
      <c r="I126" s="11">
        <v>0</v>
      </c>
      <c r="J126" s="11">
        <f>H126*AO126</f>
        <v>0</v>
      </c>
      <c r="K126" s="11">
        <f>H126*AP126</f>
        <v>0</v>
      </c>
      <c r="L126" s="11">
        <f>H126*I126</f>
        <v>0</v>
      </c>
      <c r="M126" s="52" t="s">
        <v>575</v>
      </c>
      <c r="Z126" s="11">
        <f>IF(AQ126="5",BJ126,0)</f>
        <v>0</v>
      </c>
      <c r="AB126" s="11">
        <f>IF(AQ126="1",BH126,0)</f>
        <v>0</v>
      </c>
      <c r="AC126" s="11">
        <f>IF(AQ126="1",BI126,0)</f>
        <v>0</v>
      </c>
      <c r="AD126" s="11">
        <f>IF(AQ126="7",BH126,0)</f>
        <v>0</v>
      </c>
      <c r="AE126" s="11">
        <f>IF(AQ126="7",BI126,0)</f>
        <v>0</v>
      </c>
      <c r="AF126" s="11">
        <f>IF(AQ126="2",BH126,0)</f>
        <v>0</v>
      </c>
      <c r="AG126" s="11">
        <f>IF(AQ126="2",BI126,0)</f>
        <v>0</v>
      </c>
      <c r="AH126" s="11">
        <f>IF(AQ126="0",BJ126,0)</f>
        <v>0</v>
      </c>
      <c r="AI126" s="40" t="s">
        <v>586</v>
      </c>
      <c r="AJ126" s="11">
        <f>IF(AN126=0,L126,0)</f>
        <v>0</v>
      </c>
      <c r="AK126" s="11">
        <f>IF(AN126=15,L126,0)</f>
        <v>0</v>
      </c>
      <c r="AL126" s="11">
        <f>IF(AN126=21,L126,0)</f>
        <v>0</v>
      </c>
      <c r="AN126" s="11">
        <v>21</v>
      </c>
      <c r="AO126" s="11">
        <f>I126*0</f>
        <v>0</v>
      </c>
      <c r="AP126" s="11">
        <f>I126*(1-0)</f>
        <v>0</v>
      </c>
      <c r="AQ126" s="12" t="s">
        <v>841</v>
      </c>
      <c r="AV126" s="11">
        <f>AW126+AX126</f>
        <v>0</v>
      </c>
      <c r="AW126" s="11">
        <f>H126*AO126</f>
        <v>0</v>
      </c>
      <c r="AX126" s="11">
        <f>H126*AP126</f>
        <v>0</v>
      </c>
      <c r="AY126" s="12" t="s">
        <v>742</v>
      </c>
      <c r="AZ126" s="12" t="s">
        <v>314</v>
      </c>
      <c r="BA126" s="40" t="s">
        <v>647</v>
      </c>
      <c r="BC126" s="11">
        <f>AW126+AX126</f>
        <v>0</v>
      </c>
      <c r="BD126" s="11">
        <f>I126/(100-BE126)*100</f>
        <v>0</v>
      </c>
      <c r="BE126" s="11">
        <v>0</v>
      </c>
      <c r="BF126" s="11">
        <f>134</f>
        <v>134</v>
      </c>
      <c r="BH126" s="11">
        <f>H126*AO126</f>
        <v>0</v>
      </c>
      <c r="BI126" s="11">
        <f>H126*AP126</f>
        <v>0</v>
      </c>
      <c r="BJ126" s="11">
        <f>H126*I126</f>
        <v>0</v>
      </c>
      <c r="BK126" s="11"/>
      <c r="BL126" s="11">
        <v>96</v>
      </c>
    </row>
    <row r="127" spans="1:64" ht="13.5" customHeight="1">
      <c r="A127" s="53"/>
      <c r="B127" s="54" t="s">
        <v>440</v>
      </c>
      <c r="C127" s="394" t="s">
        <v>938</v>
      </c>
      <c r="D127" s="395"/>
      <c r="E127" s="395"/>
      <c r="F127" s="395"/>
      <c r="G127" s="395"/>
      <c r="H127" s="395"/>
      <c r="I127" s="395"/>
      <c r="J127" s="395"/>
      <c r="K127" s="395"/>
      <c r="L127" s="395"/>
      <c r="M127" s="396"/>
    </row>
    <row r="128" spans="1:64" ht="15" customHeight="1">
      <c r="A128" s="48" t="s">
        <v>586</v>
      </c>
      <c r="B128" s="49" t="s">
        <v>93</v>
      </c>
      <c r="C128" s="392" t="s">
        <v>928</v>
      </c>
      <c r="D128" s="392"/>
      <c r="E128" s="392"/>
      <c r="F128" s="392"/>
      <c r="G128" s="50" t="s">
        <v>783</v>
      </c>
      <c r="H128" s="50" t="s">
        <v>783</v>
      </c>
      <c r="I128" s="50" t="s">
        <v>783</v>
      </c>
      <c r="J128" s="36">
        <f>SUM(J129:J142)</f>
        <v>0</v>
      </c>
      <c r="K128" s="36">
        <f>SUM(K129:K142)</f>
        <v>0</v>
      </c>
      <c r="L128" s="36">
        <f>SUM(L129:L142)</f>
        <v>0</v>
      </c>
      <c r="M128" s="51" t="s">
        <v>586</v>
      </c>
      <c r="AI128" s="40" t="s">
        <v>586</v>
      </c>
      <c r="AS128" s="36">
        <f>SUM(AJ129:AJ142)</f>
        <v>0</v>
      </c>
      <c r="AT128" s="36">
        <f>SUM(AK129:AK142)</f>
        <v>0</v>
      </c>
      <c r="AU128" s="36">
        <f>SUM(AL129:AL142)</f>
        <v>0</v>
      </c>
    </row>
    <row r="129" spans="1:64" ht="15" customHeight="1">
      <c r="A129" s="9" t="s">
        <v>829</v>
      </c>
      <c r="B129" s="10" t="s">
        <v>926</v>
      </c>
      <c r="C129" s="366" t="s">
        <v>566</v>
      </c>
      <c r="D129" s="366"/>
      <c r="E129" s="366"/>
      <c r="F129" s="366"/>
      <c r="G129" s="10" t="s">
        <v>216</v>
      </c>
      <c r="H129" s="11">
        <v>3</v>
      </c>
      <c r="I129" s="11">
        <v>0</v>
      </c>
      <c r="J129" s="11">
        <f t="shared" ref="J129:J142" si="66">H129*AO129</f>
        <v>0</v>
      </c>
      <c r="K129" s="11">
        <f t="shared" ref="K129:K142" si="67">H129*AP129</f>
        <v>0</v>
      </c>
      <c r="L129" s="11">
        <f t="shared" ref="L129:L142" si="68">H129*I129</f>
        <v>0</v>
      </c>
      <c r="M129" s="52" t="s">
        <v>575</v>
      </c>
      <c r="Z129" s="11">
        <f t="shared" ref="Z129:Z142" si="69">IF(AQ129="5",BJ129,0)</f>
        <v>0</v>
      </c>
      <c r="AB129" s="11">
        <f t="shared" ref="AB129:AB142" si="70">IF(AQ129="1",BH129,0)</f>
        <v>0</v>
      </c>
      <c r="AC129" s="11">
        <f t="shared" ref="AC129:AC142" si="71">IF(AQ129="1",BI129,0)</f>
        <v>0</v>
      </c>
      <c r="AD129" s="11">
        <f t="shared" ref="AD129:AD142" si="72">IF(AQ129="7",BH129,0)</f>
        <v>0</v>
      </c>
      <c r="AE129" s="11">
        <f t="shared" ref="AE129:AE142" si="73">IF(AQ129="7",BI129,0)</f>
        <v>0</v>
      </c>
      <c r="AF129" s="11">
        <f t="shared" ref="AF129:AF142" si="74">IF(AQ129="2",BH129,0)</f>
        <v>0</v>
      </c>
      <c r="AG129" s="11">
        <f t="shared" ref="AG129:AG142" si="75">IF(AQ129="2",BI129,0)</f>
        <v>0</v>
      </c>
      <c r="AH129" s="11">
        <f t="shared" ref="AH129:AH142" si="76">IF(AQ129="0",BJ129,0)</f>
        <v>0</v>
      </c>
      <c r="AI129" s="40" t="s">
        <v>586</v>
      </c>
      <c r="AJ129" s="11">
        <f t="shared" ref="AJ129:AJ142" si="77">IF(AN129=0,L129,0)</f>
        <v>0</v>
      </c>
      <c r="AK129" s="11">
        <f t="shared" ref="AK129:AK142" si="78">IF(AN129=15,L129,0)</f>
        <v>0</v>
      </c>
      <c r="AL129" s="11">
        <f t="shared" ref="AL129:AL142" si="79">IF(AN129=21,L129,0)</f>
        <v>0</v>
      </c>
      <c r="AN129" s="11">
        <v>21</v>
      </c>
      <c r="AO129" s="11">
        <f>I129*0.0549435028248587</f>
        <v>0</v>
      </c>
      <c r="AP129" s="11">
        <f>I129*(1-0.0549435028248587)</f>
        <v>0</v>
      </c>
      <c r="AQ129" s="12" t="s">
        <v>841</v>
      </c>
      <c r="AV129" s="11">
        <f t="shared" ref="AV129:AV142" si="80">AW129+AX129</f>
        <v>0</v>
      </c>
      <c r="AW129" s="11">
        <f t="shared" ref="AW129:AW142" si="81">H129*AO129</f>
        <v>0</v>
      </c>
      <c r="AX129" s="11">
        <f t="shared" ref="AX129:AX142" si="82">H129*AP129</f>
        <v>0</v>
      </c>
      <c r="AY129" s="12" t="s">
        <v>270</v>
      </c>
      <c r="AZ129" s="12" t="s">
        <v>314</v>
      </c>
      <c r="BA129" s="40" t="s">
        <v>647</v>
      </c>
      <c r="BC129" s="11">
        <f t="shared" ref="BC129:BC142" si="83">AW129+AX129</f>
        <v>0</v>
      </c>
      <c r="BD129" s="11">
        <f t="shared" ref="BD129:BD142" si="84">I129/(100-BE129)*100</f>
        <v>0</v>
      </c>
      <c r="BE129" s="11">
        <v>0</v>
      </c>
      <c r="BF129" s="11">
        <f>137</f>
        <v>137</v>
      </c>
      <c r="BH129" s="11">
        <f t="shared" ref="BH129:BH142" si="85">H129*AO129</f>
        <v>0</v>
      </c>
      <c r="BI129" s="11">
        <f t="shared" ref="BI129:BI142" si="86">H129*AP129</f>
        <v>0</v>
      </c>
      <c r="BJ129" s="11">
        <f t="shared" ref="BJ129:BJ142" si="87">H129*I129</f>
        <v>0</v>
      </c>
      <c r="BK129" s="11"/>
      <c r="BL129" s="11">
        <v>97</v>
      </c>
    </row>
    <row r="130" spans="1:64" ht="15" customHeight="1">
      <c r="A130" s="9" t="s">
        <v>144</v>
      </c>
      <c r="B130" s="10" t="s">
        <v>900</v>
      </c>
      <c r="C130" s="366" t="s">
        <v>701</v>
      </c>
      <c r="D130" s="366"/>
      <c r="E130" s="366"/>
      <c r="F130" s="366"/>
      <c r="G130" s="10" t="s">
        <v>216</v>
      </c>
      <c r="H130" s="11">
        <v>6</v>
      </c>
      <c r="I130" s="11">
        <v>0</v>
      </c>
      <c r="J130" s="11">
        <f t="shared" si="66"/>
        <v>0</v>
      </c>
      <c r="K130" s="11">
        <f t="shared" si="67"/>
        <v>0</v>
      </c>
      <c r="L130" s="11">
        <f t="shared" si="68"/>
        <v>0</v>
      </c>
      <c r="M130" s="52" t="s">
        <v>575</v>
      </c>
      <c r="Z130" s="11">
        <f t="shared" si="69"/>
        <v>0</v>
      </c>
      <c r="AB130" s="11">
        <f t="shared" si="70"/>
        <v>0</v>
      </c>
      <c r="AC130" s="11">
        <f t="shared" si="71"/>
        <v>0</v>
      </c>
      <c r="AD130" s="11">
        <f t="shared" si="72"/>
        <v>0</v>
      </c>
      <c r="AE130" s="11">
        <f t="shared" si="73"/>
        <v>0</v>
      </c>
      <c r="AF130" s="11">
        <f t="shared" si="74"/>
        <v>0</v>
      </c>
      <c r="AG130" s="11">
        <f t="shared" si="75"/>
        <v>0</v>
      </c>
      <c r="AH130" s="11">
        <f t="shared" si="76"/>
        <v>0</v>
      </c>
      <c r="AI130" s="40" t="s">
        <v>586</v>
      </c>
      <c r="AJ130" s="11">
        <f t="shared" si="77"/>
        <v>0</v>
      </c>
      <c r="AK130" s="11">
        <f t="shared" si="78"/>
        <v>0</v>
      </c>
      <c r="AL130" s="11">
        <f t="shared" si="79"/>
        <v>0</v>
      </c>
      <c r="AN130" s="11">
        <v>21</v>
      </c>
      <c r="AO130" s="11">
        <f>I130*0.0779384748989612</f>
        <v>0</v>
      </c>
      <c r="AP130" s="11">
        <f>I130*(1-0.0779384748989612)</f>
        <v>0</v>
      </c>
      <c r="AQ130" s="12" t="s">
        <v>841</v>
      </c>
      <c r="AV130" s="11">
        <f t="shared" si="80"/>
        <v>0</v>
      </c>
      <c r="AW130" s="11">
        <f t="shared" si="81"/>
        <v>0</v>
      </c>
      <c r="AX130" s="11">
        <f t="shared" si="82"/>
        <v>0</v>
      </c>
      <c r="AY130" s="12" t="s">
        <v>270</v>
      </c>
      <c r="AZ130" s="12" t="s">
        <v>314</v>
      </c>
      <c r="BA130" s="40" t="s">
        <v>647</v>
      </c>
      <c r="BC130" s="11">
        <f t="shared" si="83"/>
        <v>0</v>
      </c>
      <c r="BD130" s="11">
        <f t="shared" si="84"/>
        <v>0</v>
      </c>
      <c r="BE130" s="11">
        <v>0</v>
      </c>
      <c r="BF130" s="11">
        <f>138</f>
        <v>138</v>
      </c>
      <c r="BH130" s="11">
        <f t="shared" si="85"/>
        <v>0</v>
      </c>
      <c r="BI130" s="11">
        <f t="shared" si="86"/>
        <v>0</v>
      </c>
      <c r="BJ130" s="11">
        <f t="shared" si="87"/>
        <v>0</v>
      </c>
      <c r="BK130" s="11"/>
      <c r="BL130" s="11">
        <v>97</v>
      </c>
    </row>
    <row r="131" spans="1:64" ht="15" customHeight="1">
      <c r="A131" s="9" t="s">
        <v>158</v>
      </c>
      <c r="B131" s="10" t="s">
        <v>643</v>
      </c>
      <c r="C131" s="366" t="s">
        <v>789</v>
      </c>
      <c r="D131" s="366"/>
      <c r="E131" s="366"/>
      <c r="F131" s="366"/>
      <c r="G131" s="10" t="s">
        <v>216</v>
      </c>
      <c r="H131" s="11">
        <v>3</v>
      </c>
      <c r="I131" s="11">
        <v>0</v>
      </c>
      <c r="J131" s="11">
        <f t="shared" si="66"/>
        <v>0</v>
      </c>
      <c r="K131" s="11">
        <f t="shared" si="67"/>
        <v>0</v>
      </c>
      <c r="L131" s="11">
        <f t="shared" si="68"/>
        <v>0</v>
      </c>
      <c r="M131" s="52" t="s">
        <v>575</v>
      </c>
      <c r="Z131" s="11">
        <f t="shared" si="69"/>
        <v>0</v>
      </c>
      <c r="AB131" s="11">
        <f t="shared" si="70"/>
        <v>0</v>
      </c>
      <c r="AC131" s="11">
        <f t="shared" si="71"/>
        <v>0</v>
      </c>
      <c r="AD131" s="11">
        <f t="shared" si="72"/>
        <v>0</v>
      </c>
      <c r="AE131" s="11">
        <f t="shared" si="73"/>
        <v>0</v>
      </c>
      <c r="AF131" s="11">
        <f t="shared" si="74"/>
        <v>0</v>
      </c>
      <c r="AG131" s="11">
        <f t="shared" si="75"/>
        <v>0</v>
      </c>
      <c r="AH131" s="11">
        <f t="shared" si="76"/>
        <v>0</v>
      </c>
      <c r="AI131" s="40" t="s">
        <v>586</v>
      </c>
      <c r="AJ131" s="11">
        <f t="shared" si="77"/>
        <v>0</v>
      </c>
      <c r="AK131" s="11">
        <f t="shared" si="78"/>
        <v>0</v>
      </c>
      <c r="AL131" s="11">
        <f t="shared" si="79"/>
        <v>0</v>
      </c>
      <c r="AN131" s="11">
        <v>21</v>
      </c>
      <c r="AO131" s="11">
        <f>I131*0</f>
        <v>0</v>
      </c>
      <c r="AP131" s="11">
        <f>I131*(1-0)</f>
        <v>0</v>
      </c>
      <c r="AQ131" s="12" t="s">
        <v>841</v>
      </c>
      <c r="AV131" s="11">
        <f t="shared" si="80"/>
        <v>0</v>
      </c>
      <c r="AW131" s="11">
        <f t="shared" si="81"/>
        <v>0</v>
      </c>
      <c r="AX131" s="11">
        <f t="shared" si="82"/>
        <v>0</v>
      </c>
      <c r="AY131" s="12" t="s">
        <v>270</v>
      </c>
      <c r="AZ131" s="12" t="s">
        <v>314</v>
      </c>
      <c r="BA131" s="40" t="s">
        <v>647</v>
      </c>
      <c r="BC131" s="11">
        <f t="shared" si="83"/>
        <v>0</v>
      </c>
      <c r="BD131" s="11">
        <f t="shared" si="84"/>
        <v>0</v>
      </c>
      <c r="BE131" s="11">
        <v>0</v>
      </c>
      <c r="BF131" s="11">
        <f>139</f>
        <v>139</v>
      </c>
      <c r="BH131" s="11">
        <f t="shared" si="85"/>
        <v>0</v>
      </c>
      <c r="BI131" s="11">
        <f t="shared" si="86"/>
        <v>0</v>
      </c>
      <c r="BJ131" s="11">
        <f t="shared" si="87"/>
        <v>0</v>
      </c>
      <c r="BK131" s="11"/>
      <c r="BL131" s="11">
        <v>97</v>
      </c>
    </row>
    <row r="132" spans="1:64" ht="15" customHeight="1">
      <c r="A132" s="9" t="s">
        <v>864</v>
      </c>
      <c r="B132" s="10" t="s">
        <v>206</v>
      </c>
      <c r="C132" s="366" t="s">
        <v>119</v>
      </c>
      <c r="D132" s="366"/>
      <c r="E132" s="366"/>
      <c r="F132" s="366"/>
      <c r="G132" s="10" t="s">
        <v>216</v>
      </c>
      <c r="H132" s="11">
        <v>4</v>
      </c>
      <c r="I132" s="11">
        <v>0</v>
      </c>
      <c r="J132" s="11">
        <f t="shared" si="66"/>
        <v>0</v>
      </c>
      <c r="K132" s="11">
        <f t="shared" si="67"/>
        <v>0</v>
      </c>
      <c r="L132" s="11">
        <f t="shared" si="68"/>
        <v>0</v>
      </c>
      <c r="M132" s="52" t="s">
        <v>575</v>
      </c>
      <c r="Z132" s="11">
        <f t="shared" si="69"/>
        <v>0</v>
      </c>
      <c r="AB132" s="11">
        <f t="shared" si="70"/>
        <v>0</v>
      </c>
      <c r="AC132" s="11">
        <f t="shared" si="71"/>
        <v>0</v>
      </c>
      <c r="AD132" s="11">
        <f t="shared" si="72"/>
        <v>0</v>
      </c>
      <c r="AE132" s="11">
        <f t="shared" si="73"/>
        <v>0</v>
      </c>
      <c r="AF132" s="11">
        <f t="shared" si="74"/>
        <v>0</v>
      </c>
      <c r="AG132" s="11">
        <f t="shared" si="75"/>
        <v>0</v>
      </c>
      <c r="AH132" s="11">
        <f t="shared" si="76"/>
        <v>0</v>
      </c>
      <c r="AI132" s="40" t="s">
        <v>586</v>
      </c>
      <c r="AJ132" s="11">
        <f t="shared" si="77"/>
        <v>0</v>
      </c>
      <c r="AK132" s="11">
        <f t="shared" si="78"/>
        <v>0</v>
      </c>
      <c r="AL132" s="11">
        <f t="shared" si="79"/>
        <v>0</v>
      </c>
      <c r="AN132" s="11">
        <v>21</v>
      </c>
      <c r="AO132" s="11">
        <f>I132*0.102192066805846</f>
        <v>0</v>
      </c>
      <c r="AP132" s="11">
        <f>I132*(1-0.102192066805846)</f>
        <v>0</v>
      </c>
      <c r="AQ132" s="12" t="s">
        <v>841</v>
      </c>
      <c r="AV132" s="11">
        <f t="shared" si="80"/>
        <v>0</v>
      </c>
      <c r="AW132" s="11">
        <f t="shared" si="81"/>
        <v>0</v>
      </c>
      <c r="AX132" s="11">
        <f t="shared" si="82"/>
        <v>0</v>
      </c>
      <c r="AY132" s="12" t="s">
        <v>270</v>
      </c>
      <c r="AZ132" s="12" t="s">
        <v>314</v>
      </c>
      <c r="BA132" s="40" t="s">
        <v>647</v>
      </c>
      <c r="BC132" s="11">
        <f t="shared" si="83"/>
        <v>0</v>
      </c>
      <c r="BD132" s="11">
        <f t="shared" si="84"/>
        <v>0</v>
      </c>
      <c r="BE132" s="11">
        <v>0</v>
      </c>
      <c r="BF132" s="11">
        <f>140</f>
        <v>140</v>
      </c>
      <c r="BH132" s="11">
        <f t="shared" si="85"/>
        <v>0</v>
      </c>
      <c r="BI132" s="11">
        <f t="shared" si="86"/>
        <v>0</v>
      </c>
      <c r="BJ132" s="11">
        <f t="shared" si="87"/>
        <v>0</v>
      </c>
      <c r="BK132" s="11"/>
      <c r="BL132" s="11">
        <v>97</v>
      </c>
    </row>
    <row r="133" spans="1:64" ht="15" customHeight="1">
      <c r="A133" s="9" t="s">
        <v>508</v>
      </c>
      <c r="B133" s="10" t="s">
        <v>390</v>
      </c>
      <c r="C133" s="366" t="s">
        <v>733</v>
      </c>
      <c r="D133" s="366"/>
      <c r="E133" s="366"/>
      <c r="F133" s="366"/>
      <c r="G133" s="10" t="s">
        <v>216</v>
      </c>
      <c r="H133" s="11">
        <v>11</v>
      </c>
      <c r="I133" s="11">
        <v>0</v>
      </c>
      <c r="J133" s="11">
        <f t="shared" si="66"/>
        <v>0</v>
      </c>
      <c r="K133" s="11">
        <f t="shared" si="67"/>
        <v>0</v>
      </c>
      <c r="L133" s="11">
        <f t="shared" si="68"/>
        <v>0</v>
      </c>
      <c r="M133" s="52" t="s">
        <v>575</v>
      </c>
      <c r="Z133" s="11">
        <f t="shared" si="69"/>
        <v>0</v>
      </c>
      <c r="AB133" s="11">
        <f t="shared" si="70"/>
        <v>0</v>
      </c>
      <c r="AC133" s="11">
        <f t="shared" si="71"/>
        <v>0</v>
      </c>
      <c r="AD133" s="11">
        <f t="shared" si="72"/>
        <v>0</v>
      </c>
      <c r="AE133" s="11">
        <f t="shared" si="73"/>
        <v>0</v>
      </c>
      <c r="AF133" s="11">
        <f t="shared" si="74"/>
        <v>0</v>
      </c>
      <c r="AG133" s="11">
        <f t="shared" si="75"/>
        <v>0</v>
      </c>
      <c r="AH133" s="11">
        <f t="shared" si="76"/>
        <v>0</v>
      </c>
      <c r="AI133" s="40" t="s">
        <v>586</v>
      </c>
      <c r="AJ133" s="11">
        <f t="shared" si="77"/>
        <v>0</v>
      </c>
      <c r="AK133" s="11">
        <f t="shared" si="78"/>
        <v>0</v>
      </c>
      <c r="AL133" s="11">
        <f t="shared" si="79"/>
        <v>0</v>
      </c>
      <c r="AN133" s="11">
        <v>21</v>
      </c>
      <c r="AO133" s="11">
        <f>I133*0</f>
        <v>0</v>
      </c>
      <c r="AP133" s="11">
        <f>I133*(1-0)</f>
        <v>0</v>
      </c>
      <c r="AQ133" s="12" t="s">
        <v>841</v>
      </c>
      <c r="AV133" s="11">
        <f t="shared" si="80"/>
        <v>0</v>
      </c>
      <c r="AW133" s="11">
        <f t="shared" si="81"/>
        <v>0</v>
      </c>
      <c r="AX133" s="11">
        <f t="shared" si="82"/>
        <v>0</v>
      </c>
      <c r="AY133" s="12" t="s">
        <v>270</v>
      </c>
      <c r="AZ133" s="12" t="s">
        <v>314</v>
      </c>
      <c r="BA133" s="40" t="s">
        <v>647</v>
      </c>
      <c r="BC133" s="11">
        <f t="shared" si="83"/>
        <v>0</v>
      </c>
      <c r="BD133" s="11">
        <f t="shared" si="84"/>
        <v>0</v>
      </c>
      <c r="BE133" s="11">
        <v>0</v>
      </c>
      <c r="BF133" s="11">
        <f>141</f>
        <v>141</v>
      </c>
      <c r="BH133" s="11">
        <f t="shared" si="85"/>
        <v>0</v>
      </c>
      <c r="BI133" s="11">
        <f t="shared" si="86"/>
        <v>0</v>
      </c>
      <c r="BJ133" s="11">
        <f t="shared" si="87"/>
        <v>0</v>
      </c>
      <c r="BK133" s="11"/>
      <c r="BL133" s="11">
        <v>97</v>
      </c>
    </row>
    <row r="134" spans="1:64" ht="15" customHeight="1">
      <c r="A134" s="9" t="s">
        <v>423</v>
      </c>
      <c r="B134" s="10" t="s">
        <v>1</v>
      </c>
      <c r="C134" s="366" t="s">
        <v>477</v>
      </c>
      <c r="D134" s="366"/>
      <c r="E134" s="366"/>
      <c r="F134" s="366"/>
      <c r="G134" s="10" t="s">
        <v>216</v>
      </c>
      <c r="H134" s="11">
        <v>1</v>
      </c>
      <c r="I134" s="11">
        <v>0</v>
      </c>
      <c r="J134" s="11">
        <f t="shared" si="66"/>
        <v>0</v>
      </c>
      <c r="K134" s="11">
        <f t="shared" si="67"/>
        <v>0</v>
      </c>
      <c r="L134" s="11">
        <f t="shared" si="68"/>
        <v>0</v>
      </c>
      <c r="M134" s="52" t="s">
        <v>575</v>
      </c>
      <c r="Z134" s="11">
        <f t="shared" si="69"/>
        <v>0</v>
      </c>
      <c r="AB134" s="11">
        <f t="shared" si="70"/>
        <v>0</v>
      </c>
      <c r="AC134" s="11">
        <f t="shared" si="71"/>
        <v>0</v>
      </c>
      <c r="AD134" s="11">
        <f t="shared" si="72"/>
        <v>0</v>
      </c>
      <c r="AE134" s="11">
        <f t="shared" si="73"/>
        <v>0</v>
      </c>
      <c r="AF134" s="11">
        <f t="shared" si="74"/>
        <v>0</v>
      </c>
      <c r="AG134" s="11">
        <f t="shared" si="75"/>
        <v>0</v>
      </c>
      <c r="AH134" s="11">
        <f t="shared" si="76"/>
        <v>0</v>
      </c>
      <c r="AI134" s="40" t="s">
        <v>586</v>
      </c>
      <c r="AJ134" s="11">
        <f t="shared" si="77"/>
        <v>0</v>
      </c>
      <c r="AK134" s="11">
        <f t="shared" si="78"/>
        <v>0</v>
      </c>
      <c r="AL134" s="11">
        <f t="shared" si="79"/>
        <v>0</v>
      </c>
      <c r="AN134" s="11">
        <v>21</v>
      </c>
      <c r="AO134" s="11">
        <f>I134*0</f>
        <v>0</v>
      </c>
      <c r="AP134" s="11">
        <f>I134*(1-0)</f>
        <v>0</v>
      </c>
      <c r="AQ134" s="12" t="s">
        <v>841</v>
      </c>
      <c r="AV134" s="11">
        <f t="shared" si="80"/>
        <v>0</v>
      </c>
      <c r="AW134" s="11">
        <f t="shared" si="81"/>
        <v>0</v>
      </c>
      <c r="AX134" s="11">
        <f t="shared" si="82"/>
        <v>0</v>
      </c>
      <c r="AY134" s="12" t="s">
        <v>270</v>
      </c>
      <c r="AZ134" s="12" t="s">
        <v>314</v>
      </c>
      <c r="BA134" s="40" t="s">
        <v>647</v>
      </c>
      <c r="BC134" s="11">
        <f t="shared" si="83"/>
        <v>0</v>
      </c>
      <c r="BD134" s="11">
        <f t="shared" si="84"/>
        <v>0</v>
      </c>
      <c r="BE134" s="11">
        <v>0</v>
      </c>
      <c r="BF134" s="11">
        <f>142</f>
        <v>142</v>
      </c>
      <c r="BH134" s="11">
        <f t="shared" si="85"/>
        <v>0</v>
      </c>
      <c r="BI134" s="11">
        <f t="shared" si="86"/>
        <v>0</v>
      </c>
      <c r="BJ134" s="11">
        <f t="shared" si="87"/>
        <v>0</v>
      </c>
      <c r="BK134" s="11"/>
      <c r="BL134" s="11">
        <v>97</v>
      </c>
    </row>
    <row r="135" spans="1:64" ht="15" customHeight="1">
      <c r="A135" s="9" t="s">
        <v>553</v>
      </c>
      <c r="B135" s="10" t="s">
        <v>691</v>
      </c>
      <c r="C135" s="366" t="s">
        <v>686</v>
      </c>
      <c r="D135" s="366"/>
      <c r="E135" s="366"/>
      <c r="F135" s="366"/>
      <c r="G135" s="10" t="s">
        <v>811</v>
      </c>
      <c r="H135" s="11">
        <v>0.158</v>
      </c>
      <c r="I135" s="11">
        <v>0</v>
      </c>
      <c r="J135" s="11">
        <f t="shared" si="66"/>
        <v>0</v>
      </c>
      <c r="K135" s="11">
        <f t="shared" si="67"/>
        <v>0</v>
      </c>
      <c r="L135" s="11">
        <f t="shared" si="68"/>
        <v>0</v>
      </c>
      <c r="M135" s="52" t="s">
        <v>575</v>
      </c>
      <c r="Z135" s="11">
        <f t="shared" si="69"/>
        <v>0</v>
      </c>
      <c r="AB135" s="11">
        <f t="shared" si="70"/>
        <v>0</v>
      </c>
      <c r="AC135" s="11">
        <f t="shared" si="71"/>
        <v>0</v>
      </c>
      <c r="AD135" s="11">
        <f t="shared" si="72"/>
        <v>0</v>
      </c>
      <c r="AE135" s="11">
        <f t="shared" si="73"/>
        <v>0</v>
      </c>
      <c r="AF135" s="11">
        <f t="shared" si="74"/>
        <v>0</v>
      </c>
      <c r="AG135" s="11">
        <f t="shared" si="75"/>
        <v>0</v>
      </c>
      <c r="AH135" s="11">
        <f t="shared" si="76"/>
        <v>0</v>
      </c>
      <c r="AI135" s="40" t="s">
        <v>586</v>
      </c>
      <c r="AJ135" s="11">
        <f t="shared" si="77"/>
        <v>0</v>
      </c>
      <c r="AK135" s="11">
        <f t="shared" si="78"/>
        <v>0</v>
      </c>
      <c r="AL135" s="11">
        <f t="shared" si="79"/>
        <v>0</v>
      </c>
      <c r="AN135" s="11">
        <v>21</v>
      </c>
      <c r="AO135" s="11">
        <f>I135*0</f>
        <v>0</v>
      </c>
      <c r="AP135" s="11">
        <f>I135*(1-0)</f>
        <v>0</v>
      </c>
      <c r="AQ135" s="12" t="s">
        <v>841</v>
      </c>
      <c r="AV135" s="11">
        <f t="shared" si="80"/>
        <v>0</v>
      </c>
      <c r="AW135" s="11">
        <f t="shared" si="81"/>
        <v>0</v>
      </c>
      <c r="AX135" s="11">
        <f t="shared" si="82"/>
        <v>0</v>
      </c>
      <c r="AY135" s="12" t="s">
        <v>270</v>
      </c>
      <c r="AZ135" s="12" t="s">
        <v>314</v>
      </c>
      <c r="BA135" s="40" t="s">
        <v>647</v>
      </c>
      <c r="BC135" s="11">
        <f t="shared" si="83"/>
        <v>0</v>
      </c>
      <c r="BD135" s="11">
        <f t="shared" si="84"/>
        <v>0</v>
      </c>
      <c r="BE135" s="11">
        <v>0</v>
      </c>
      <c r="BF135" s="11">
        <f>143</f>
        <v>143</v>
      </c>
      <c r="BH135" s="11">
        <f t="shared" si="85"/>
        <v>0</v>
      </c>
      <c r="BI135" s="11">
        <f t="shared" si="86"/>
        <v>0</v>
      </c>
      <c r="BJ135" s="11">
        <f t="shared" si="87"/>
        <v>0</v>
      </c>
      <c r="BK135" s="11"/>
      <c r="BL135" s="11">
        <v>97</v>
      </c>
    </row>
    <row r="136" spans="1:64" ht="15" customHeight="1">
      <c r="A136" s="9" t="s">
        <v>31</v>
      </c>
      <c r="B136" s="10" t="s">
        <v>663</v>
      </c>
      <c r="C136" s="366" t="s">
        <v>57</v>
      </c>
      <c r="D136" s="366"/>
      <c r="E136" s="366"/>
      <c r="F136" s="366"/>
      <c r="G136" s="10" t="s">
        <v>830</v>
      </c>
      <c r="H136" s="11">
        <v>93.201999999999998</v>
      </c>
      <c r="I136" s="11">
        <v>0</v>
      </c>
      <c r="J136" s="11">
        <f t="shared" si="66"/>
        <v>0</v>
      </c>
      <c r="K136" s="11">
        <f t="shared" si="67"/>
        <v>0</v>
      </c>
      <c r="L136" s="11">
        <f t="shared" si="68"/>
        <v>0</v>
      </c>
      <c r="M136" s="52" t="s">
        <v>575</v>
      </c>
      <c r="Z136" s="11">
        <f t="shared" si="69"/>
        <v>0</v>
      </c>
      <c r="AB136" s="11">
        <f t="shared" si="70"/>
        <v>0</v>
      </c>
      <c r="AC136" s="11">
        <f t="shared" si="71"/>
        <v>0</v>
      </c>
      <c r="AD136" s="11">
        <f t="shared" si="72"/>
        <v>0</v>
      </c>
      <c r="AE136" s="11">
        <f t="shared" si="73"/>
        <v>0</v>
      </c>
      <c r="AF136" s="11">
        <f t="shared" si="74"/>
        <v>0</v>
      </c>
      <c r="AG136" s="11">
        <f t="shared" si="75"/>
        <v>0</v>
      </c>
      <c r="AH136" s="11">
        <f t="shared" si="76"/>
        <v>0</v>
      </c>
      <c r="AI136" s="40" t="s">
        <v>586</v>
      </c>
      <c r="AJ136" s="11">
        <f t="shared" si="77"/>
        <v>0</v>
      </c>
      <c r="AK136" s="11">
        <f t="shared" si="78"/>
        <v>0</v>
      </c>
      <c r="AL136" s="11">
        <f t="shared" si="79"/>
        <v>0</v>
      </c>
      <c r="AN136" s="11">
        <v>21</v>
      </c>
      <c r="AO136" s="11">
        <f>I136*0</f>
        <v>0</v>
      </c>
      <c r="AP136" s="11">
        <f>I136*(1-0)</f>
        <v>0</v>
      </c>
      <c r="AQ136" s="12" t="s">
        <v>841</v>
      </c>
      <c r="AV136" s="11">
        <f t="shared" si="80"/>
        <v>0</v>
      </c>
      <c r="AW136" s="11">
        <f t="shared" si="81"/>
        <v>0</v>
      </c>
      <c r="AX136" s="11">
        <f t="shared" si="82"/>
        <v>0</v>
      </c>
      <c r="AY136" s="12" t="s">
        <v>270</v>
      </c>
      <c r="AZ136" s="12" t="s">
        <v>314</v>
      </c>
      <c r="BA136" s="40" t="s">
        <v>647</v>
      </c>
      <c r="BC136" s="11">
        <f t="shared" si="83"/>
        <v>0</v>
      </c>
      <c r="BD136" s="11">
        <f t="shared" si="84"/>
        <v>0</v>
      </c>
      <c r="BE136" s="11">
        <v>0</v>
      </c>
      <c r="BF136" s="11">
        <f>144</f>
        <v>144</v>
      </c>
      <c r="BH136" s="11">
        <f t="shared" si="85"/>
        <v>0</v>
      </c>
      <c r="BI136" s="11">
        <f t="shared" si="86"/>
        <v>0</v>
      </c>
      <c r="BJ136" s="11">
        <f t="shared" si="87"/>
        <v>0</v>
      </c>
      <c r="BK136" s="11"/>
      <c r="BL136" s="11">
        <v>97</v>
      </c>
    </row>
    <row r="137" spans="1:64" ht="15" customHeight="1">
      <c r="A137" s="9" t="s">
        <v>904</v>
      </c>
      <c r="B137" s="10" t="s">
        <v>913</v>
      </c>
      <c r="C137" s="366" t="s">
        <v>494</v>
      </c>
      <c r="D137" s="366"/>
      <c r="E137" s="366"/>
      <c r="F137" s="366"/>
      <c r="G137" s="10" t="s">
        <v>830</v>
      </c>
      <c r="H137" s="11">
        <v>2.4239999999999999</v>
      </c>
      <c r="I137" s="11">
        <v>0</v>
      </c>
      <c r="J137" s="11">
        <f t="shared" si="66"/>
        <v>0</v>
      </c>
      <c r="K137" s="11">
        <f t="shared" si="67"/>
        <v>0</v>
      </c>
      <c r="L137" s="11">
        <f t="shared" si="68"/>
        <v>0</v>
      </c>
      <c r="M137" s="52" t="s">
        <v>575</v>
      </c>
      <c r="Z137" s="11">
        <f t="shared" si="69"/>
        <v>0</v>
      </c>
      <c r="AB137" s="11">
        <f t="shared" si="70"/>
        <v>0</v>
      </c>
      <c r="AC137" s="11">
        <f t="shared" si="71"/>
        <v>0</v>
      </c>
      <c r="AD137" s="11">
        <f t="shared" si="72"/>
        <v>0</v>
      </c>
      <c r="AE137" s="11">
        <f t="shared" si="73"/>
        <v>0</v>
      </c>
      <c r="AF137" s="11">
        <f t="shared" si="74"/>
        <v>0</v>
      </c>
      <c r="AG137" s="11">
        <f t="shared" si="75"/>
        <v>0</v>
      </c>
      <c r="AH137" s="11">
        <f t="shared" si="76"/>
        <v>0</v>
      </c>
      <c r="AI137" s="40" t="s">
        <v>586</v>
      </c>
      <c r="AJ137" s="11">
        <f t="shared" si="77"/>
        <v>0</v>
      </c>
      <c r="AK137" s="11">
        <f t="shared" si="78"/>
        <v>0</v>
      </c>
      <c r="AL137" s="11">
        <f t="shared" si="79"/>
        <v>0</v>
      </c>
      <c r="AN137" s="11">
        <v>21</v>
      </c>
      <c r="AO137" s="11">
        <f>I137*0.0775896209203324</f>
        <v>0</v>
      </c>
      <c r="AP137" s="11">
        <f>I137*(1-0.0775896209203324)</f>
        <v>0</v>
      </c>
      <c r="AQ137" s="12" t="s">
        <v>841</v>
      </c>
      <c r="AV137" s="11">
        <f t="shared" si="80"/>
        <v>0</v>
      </c>
      <c r="AW137" s="11">
        <f t="shared" si="81"/>
        <v>0</v>
      </c>
      <c r="AX137" s="11">
        <f t="shared" si="82"/>
        <v>0</v>
      </c>
      <c r="AY137" s="12" t="s">
        <v>270</v>
      </c>
      <c r="AZ137" s="12" t="s">
        <v>314</v>
      </c>
      <c r="BA137" s="40" t="s">
        <v>647</v>
      </c>
      <c r="BC137" s="11">
        <f t="shared" si="83"/>
        <v>0</v>
      </c>
      <c r="BD137" s="11">
        <f t="shared" si="84"/>
        <v>0</v>
      </c>
      <c r="BE137" s="11">
        <v>0</v>
      </c>
      <c r="BF137" s="11">
        <f>145</f>
        <v>145</v>
      </c>
      <c r="BH137" s="11">
        <f t="shared" si="85"/>
        <v>0</v>
      </c>
      <c r="BI137" s="11">
        <f t="shared" si="86"/>
        <v>0</v>
      </c>
      <c r="BJ137" s="11">
        <f t="shared" si="87"/>
        <v>0</v>
      </c>
      <c r="BK137" s="11"/>
      <c r="BL137" s="11">
        <v>97</v>
      </c>
    </row>
    <row r="138" spans="1:64" ht="15" customHeight="1">
      <c r="A138" s="9" t="s">
        <v>898</v>
      </c>
      <c r="B138" s="10" t="s">
        <v>344</v>
      </c>
      <c r="C138" s="366" t="s">
        <v>935</v>
      </c>
      <c r="D138" s="366"/>
      <c r="E138" s="366"/>
      <c r="F138" s="366"/>
      <c r="G138" s="10" t="s">
        <v>830</v>
      </c>
      <c r="H138" s="11">
        <v>74.7</v>
      </c>
      <c r="I138" s="11">
        <v>0</v>
      </c>
      <c r="J138" s="11">
        <f t="shared" si="66"/>
        <v>0</v>
      </c>
      <c r="K138" s="11">
        <f t="shared" si="67"/>
        <v>0</v>
      </c>
      <c r="L138" s="11">
        <f t="shared" si="68"/>
        <v>0</v>
      </c>
      <c r="M138" s="52" t="s">
        <v>575</v>
      </c>
      <c r="Z138" s="11">
        <f t="shared" si="69"/>
        <v>0</v>
      </c>
      <c r="AB138" s="11">
        <f t="shared" si="70"/>
        <v>0</v>
      </c>
      <c r="AC138" s="11">
        <f t="shared" si="71"/>
        <v>0</v>
      </c>
      <c r="AD138" s="11">
        <f t="shared" si="72"/>
        <v>0</v>
      </c>
      <c r="AE138" s="11">
        <f t="shared" si="73"/>
        <v>0</v>
      </c>
      <c r="AF138" s="11">
        <f t="shared" si="74"/>
        <v>0</v>
      </c>
      <c r="AG138" s="11">
        <f t="shared" si="75"/>
        <v>0</v>
      </c>
      <c r="AH138" s="11">
        <f t="shared" si="76"/>
        <v>0</v>
      </c>
      <c r="AI138" s="40" t="s">
        <v>586</v>
      </c>
      <c r="AJ138" s="11">
        <f t="shared" si="77"/>
        <v>0</v>
      </c>
      <c r="AK138" s="11">
        <f t="shared" si="78"/>
        <v>0</v>
      </c>
      <c r="AL138" s="11">
        <f t="shared" si="79"/>
        <v>0</v>
      </c>
      <c r="AN138" s="11">
        <v>21</v>
      </c>
      <c r="AO138" s="11">
        <f>I138*0</f>
        <v>0</v>
      </c>
      <c r="AP138" s="11">
        <f>I138*(1-0)</f>
        <v>0</v>
      </c>
      <c r="AQ138" s="12" t="s">
        <v>841</v>
      </c>
      <c r="AV138" s="11">
        <f t="shared" si="80"/>
        <v>0</v>
      </c>
      <c r="AW138" s="11">
        <f t="shared" si="81"/>
        <v>0</v>
      </c>
      <c r="AX138" s="11">
        <f t="shared" si="82"/>
        <v>0</v>
      </c>
      <c r="AY138" s="12" t="s">
        <v>270</v>
      </c>
      <c r="AZ138" s="12" t="s">
        <v>314</v>
      </c>
      <c r="BA138" s="40" t="s">
        <v>647</v>
      </c>
      <c r="BC138" s="11">
        <f t="shared" si="83"/>
        <v>0</v>
      </c>
      <c r="BD138" s="11">
        <f t="shared" si="84"/>
        <v>0</v>
      </c>
      <c r="BE138" s="11">
        <v>0</v>
      </c>
      <c r="BF138" s="11">
        <f>146</f>
        <v>146</v>
      </c>
      <c r="BH138" s="11">
        <f t="shared" si="85"/>
        <v>0</v>
      </c>
      <c r="BI138" s="11">
        <f t="shared" si="86"/>
        <v>0</v>
      </c>
      <c r="BJ138" s="11">
        <f t="shared" si="87"/>
        <v>0</v>
      </c>
      <c r="BK138" s="11"/>
      <c r="BL138" s="11">
        <v>97</v>
      </c>
    </row>
    <row r="139" spans="1:64" ht="15" customHeight="1">
      <c r="A139" s="9" t="s">
        <v>895</v>
      </c>
      <c r="B139" s="10" t="s">
        <v>362</v>
      </c>
      <c r="C139" s="366" t="s">
        <v>444</v>
      </c>
      <c r="D139" s="366"/>
      <c r="E139" s="366"/>
      <c r="F139" s="366"/>
      <c r="G139" s="10" t="s">
        <v>700</v>
      </c>
      <c r="H139" s="11">
        <v>23.59</v>
      </c>
      <c r="I139" s="11">
        <v>0</v>
      </c>
      <c r="J139" s="11">
        <f t="shared" si="66"/>
        <v>0</v>
      </c>
      <c r="K139" s="11">
        <f t="shared" si="67"/>
        <v>0</v>
      </c>
      <c r="L139" s="11">
        <f t="shared" si="68"/>
        <v>0</v>
      </c>
      <c r="M139" s="52" t="s">
        <v>575</v>
      </c>
      <c r="Z139" s="11">
        <f t="shared" si="69"/>
        <v>0</v>
      </c>
      <c r="AB139" s="11">
        <f t="shared" si="70"/>
        <v>0</v>
      </c>
      <c r="AC139" s="11">
        <f t="shared" si="71"/>
        <v>0</v>
      </c>
      <c r="AD139" s="11">
        <f t="shared" si="72"/>
        <v>0</v>
      </c>
      <c r="AE139" s="11">
        <f t="shared" si="73"/>
        <v>0</v>
      </c>
      <c r="AF139" s="11">
        <f t="shared" si="74"/>
        <v>0</v>
      </c>
      <c r="AG139" s="11">
        <f t="shared" si="75"/>
        <v>0</v>
      </c>
      <c r="AH139" s="11">
        <f t="shared" si="76"/>
        <v>0</v>
      </c>
      <c r="AI139" s="40" t="s">
        <v>586</v>
      </c>
      <c r="AJ139" s="11">
        <f t="shared" si="77"/>
        <v>0</v>
      </c>
      <c r="AK139" s="11">
        <f t="shared" si="78"/>
        <v>0</v>
      </c>
      <c r="AL139" s="11">
        <f t="shared" si="79"/>
        <v>0</v>
      </c>
      <c r="AN139" s="11">
        <v>21</v>
      </c>
      <c r="AO139" s="11">
        <f>I139*0</f>
        <v>0</v>
      </c>
      <c r="AP139" s="11">
        <f>I139*(1-0)</f>
        <v>0</v>
      </c>
      <c r="AQ139" s="12" t="s">
        <v>841</v>
      </c>
      <c r="AV139" s="11">
        <f t="shared" si="80"/>
        <v>0</v>
      </c>
      <c r="AW139" s="11">
        <f t="shared" si="81"/>
        <v>0</v>
      </c>
      <c r="AX139" s="11">
        <f t="shared" si="82"/>
        <v>0</v>
      </c>
      <c r="AY139" s="12" t="s">
        <v>270</v>
      </c>
      <c r="AZ139" s="12" t="s">
        <v>314</v>
      </c>
      <c r="BA139" s="40" t="s">
        <v>647</v>
      </c>
      <c r="BC139" s="11">
        <f t="shared" si="83"/>
        <v>0</v>
      </c>
      <c r="BD139" s="11">
        <f t="shared" si="84"/>
        <v>0</v>
      </c>
      <c r="BE139" s="11">
        <v>0</v>
      </c>
      <c r="BF139" s="11">
        <f>147</f>
        <v>147</v>
      </c>
      <c r="BH139" s="11">
        <f t="shared" si="85"/>
        <v>0</v>
      </c>
      <c r="BI139" s="11">
        <f t="shared" si="86"/>
        <v>0</v>
      </c>
      <c r="BJ139" s="11">
        <f t="shared" si="87"/>
        <v>0</v>
      </c>
      <c r="BK139" s="11"/>
      <c r="BL139" s="11">
        <v>97</v>
      </c>
    </row>
    <row r="140" spans="1:64" ht="15" customHeight="1">
      <c r="A140" s="9" t="s">
        <v>29</v>
      </c>
      <c r="B140" s="10" t="s">
        <v>357</v>
      </c>
      <c r="C140" s="366" t="s">
        <v>465</v>
      </c>
      <c r="D140" s="366"/>
      <c r="E140" s="366"/>
      <c r="F140" s="366"/>
      <c r="G140" s="10" t="s">
        <v>700</v>
      </c>
      <c r="H140" s="11">
        <v>10.11</v>
      </c>
      <c r="I140" s="11">
        <v>0</v>
      </c>
      <c r="J140" s="11">
        <f t="shared" si="66"/>
        <v>0</v>
      </c>
      <c r="K140" s="11">
        <f t="shared" si="67"/>
        <v>0</v>
      </c>
      <c r="L140" s="11">
        <f t="shared" si="68"/>
        <v>0</v>
      </c>
      <c r="M140" s="52" t="s">
        <v>575</v>
      </c>
      <c r="Z140" s="11">
        <f t="shared" si="69"/>
        <v>0</v>
      </c>
      <c r="AB140" s="11">
        <f t="shared" si="70"/>
        <v>0</v>
      </c>
      <c r="AC140" s="11">
        <f t="shared" si="71"/>
        <v>0</v>
      </c>
      <c r="AD140" s="11">
        <f t="shared" si="72"/>
        <v>0</v>
      </c>
      <c r="AE140" s="11">
        <f t="shared" si="73"/>
        <v>0</v>
      </c>
      <c r="AF140" s="11">
        <f t="shared" si="74"/>
        <v>0</v>
      </c>
      <c r="AG140" s="11">
        <f t="shared" si="75"/>
        <v>0</v>
      </c>
      <c r="AH140" s="11">
        <f t="shared" si="76"/>
        <v>0</v>
      </c>
      <c r="AI140" s="40" t="s">
        <v>586</v>
      </c>
      <c r="AJ140" s="11">
        <f t="shared" si="77"/>
        <v>0</v>
      </c>
      <c r="AK140" s="11">
        <f t="shared" si="78"/>
        <v>0</v>
      </c>
      <c r="AL140" s="11">
        <f t="shared" si="79"/>
        <v>0</v>
      </c>
      <c r="AN140" s="11">
        <v>21</v>
      </c>
      <c r="AO140" s="11">
        <f>I140*0</f>
        <v>0</v>
      </c>
      <c r="AP140" s="11">
        <f>I140*(1-0)</f>
        <v>0</v>
      </c>
      <c r="AQ140" s="12" t="s">
        <v>841</v>
      </c>
      <c r="AV140" s="11">
        <f t="shared" si="80"/>
        <v>0</v>
      </c>
      <c r="AW140" s="11">
        <f t="shared" si="81"/>
        <v>0</v>
      </c>
      <c r="AX140" s="11">
        <f t="shared" si="82"/>
        <v>0</v>
      </c>
      <c r="AY140" s="12" t="s">
        <v>270</v>
      </c>
      <c r="AZ140" s="12" t="s">
        <v>314</v>
      </c>
      <c r="BA140" s="40" t="s">
        <v>647</v>
      </c>
      <c r="BC140" s="11">
        <f t="shared" si="83"/>
        <v>0</v>
      </c>
      <c r="BD140" s="11">
        <f t="shared" si="84"/>
        <v>0</v>
      </c>
      <c r="BE140" s="11">
        <v>0</v>
      </c>
      <c r="BF140" s="11">
        <f>148</f>
        <v>148</v>
      </c>
      <c r="BH140" s="11">
        <f t="shared" si="85"/>
        <v>0</v>
      </c>
      <c r="BI140" s="11">
        <f t="shared" si="86"/>
        <v>0</v>
      </c>
      <c r="BJ140" s="11">
        <f t="shared" si="87"/>
        <v>0</v>
      </c>
      <c r="BK140" s="11"/>
      <c r="BL140" s="11">
        <v>97</v>
      </c>
    </row>
    <row r="141" spans="1:64" ht="15" customHeight="1">
      <c r="A141" s="9" t="s">
        <v>0</v>
      </c>
      <c r="B141" s="10" t="s">
        <v>425</v>
      </c>
      <c r="C141" s="366" t="s">
        <v>910</v>
      </c>
      <c r="D141" s="366"/>
      <c r="E141" s="366"/>
      <c r="F141" s="366"/>
      <c r="G141" s="10" t="s">
        <v>700</v>
      </c>
      <c r="H141" s="11">
        <v>6.74</v>
      </c>
      <c r="I141" s="11">
        <v>0</v>
      </c>
      <c r="J141" s="11">
        <f t="shared" si="66"/>
        <v>0</v>
      </c>
      <c r="K141" s="11">
        <f t="shared" si="67"/>
        <v>0</v>
      </c>
      <c r="L141" s="11">
        <f t="shared" si="68"/>
        <v>0</v>
      </c>
      <c r="M141" s="52" t="s">
        <v>575</v>
      </c>
      <c r="Z141" s="11">
        <f t="shared" si="69"/>
        <v>0</v>
      </c>
      <c r="AB141" s="11">
        <f t="shared" si="70"/>
        <v>0</v>
      </c>
      <c r="AC141" s="11">
        <f t="shared" si="71"/>
        <v>0</v>
      </c>
      <c r="AD141" s="11">
        <f t="shared" si="72"/>
        <v>0</v>
      </c>
      <c r="AE141" s="11">
        <f t="shared" si="73"/>
        <v>0</v>
      </c>
      <c r="AF141" s="11">
        <f t="shared" si="74"/>
        <v>0</v>
      </c>
      <c r="AG141" s="11">
        <f t="shared" si="75"/>
        <v>0</v>
      </c>
      <c r="AH141" s="11">
        <f t="shared" si="76"/>
        <v>0</v>
      </c>
      <c r="AI141" s="40" t="s">
        <v>586</v>
      </c>
      <c r="AJ141" s="11">
        <f t="shared" si="77"/>
        <v>0</v>
      </c>
      <c r="AK141" s="11">
        <f t="shared" si="78"/>
        <v>0</v>
      </c>
      <c r="AL141" s="11">
        <f t="shared" si="79"/>
        <v>0</v>
      </c>
      <c r="AN141" s="11">
        <v>21</v>
      </c>
      <c r="AO141" s="11">
        <f>I141*0</f>
        <v>0</v>
      </c>
      <c r="AP141" s="11">
        <f>I141*(1-0)</f>
        <v>0</v>
      </c>
      <c r="AQ141" s="12" t="s">
        <v>841</v>
      </c>
      <c r="AV141" s="11">
        <f t="shared" si="80"/>
        <v>0</v>
      </c>
      <c r="AW141" s="11">
        <f t="shared" si="81"/>
        <v>0</v>
      </c>
      <c r="AX141" s="11">
        <f t="shared" si="82"/>
        <v>0</v>
      </c>
      <c r="AY141" s="12" t="s">
        <v>270</v>
      </c>
      <c r="AZ141" s="12" t="s">
        <v>314</v>
      </c>
      <c r="BA141" s="40" t="s">
        <v>647</v>
      </c>
      <c r="BC141" s="11">
        <f t="shared" si="83"/>
        <v>0</v>
      </c>
      <c r="BD141" s="11">
        <f t="shared" si="84"/>
        <v>0</v>
      </c>
      <c r="BE141" s="11">
        <v>0</v>
      </c>
      <c r="BF141" s="11">
        <f>149</f>
        <v>149</v>
      </c>
      <c r="BH141" s="11">
        <f t="shared" si="85"/>
        <v>0</v>
      </c>
      <c r="BI141" s="11">
        <f t="shared" si="86"/>
        <v>0</v>
      </c>
      <c r="BJ141" s="11">
        <f t="shared" si="87"/>
        <v>0</v>
      </c>
      <c r="BK141" s="11"/>
      <c r="BL141" s="11">
        <v>97</v>
      </c>
    </row>
    <row r="142" spans="1:64" ht="15" customHeight="1">
      <c r="A142" s="9" t="s">
        <v>765</v>
      </c>
      <c r="B142" s="10" t="s">
        <v>917</v>
      </c>
      <c r="C142" s="366" t="s">
        <v>46</v>
      </c>
      <c r="D142" s="366"/>
      <c r="E142" s="366"/>
      <c r="F142" s="366"/>
      <c r="G142" s="10" t="s">
        <v>216</v>
      </c>
      <c r="H142" s="11">
        <v>1</v>
      </c>
      <c r="I142" s="11">
        <v>0</v>
      </c>
      <c r="J142" s="11">
        <f t="shared" si="66"/>
        <v>0</v>
      </c>
      <c r="K142" s="11">
        <f t="shared" si="67"/>
        <v>0</v>
      </c>
      <c r="L142" s="11">
        <f t="shared" si="68"/>
        <v>0</v>
      </c>
      <c r="M142" s="52" t="s">
        <v>575</v>
      </c>
      <c r="Z142" s="11">
        <f t="shared" si="69"/>
        <v>0</v>
      </c>
      <c r="AB142" s="11">
        <f t="shared" si="70"/>
        <v>0</v>
      </c>
      <c r="AC142" s="11">
        <f t="shared" si="71"/>
        <v>0</v>
      </c>
      <c r="AD142" s="11">
        <f t="shared" si="72"/>
        <v>0</v>
      </c>
      <c r="AE142" s="11">
        <f t="shared" si="73"/>
        <v>0</v>
      </c>
      <c r="AF142" s="11">
        <f t="shared" si="74"/>
        <v>0</v>
      </c>
      <c r="AG142" s="11">
        <f t="shared" si="75"/>
        <v>0</v>
      </c>
      <c r="AH142" s="11">
        <f t="shared" si="76"/>
        <v>0</v>
      </c>
      <c r="AI142" s="40" t="s">
        <v>586</v>
      </c>
      <c r="AJ142" s="11">
        <f t="shared" si="77"/>
        <v>0</v>
      </c>
      <c r="AK142" s="11">
        <f t="shared" si="78"/>
        <v>0</v>
      </c>
      <c r="AL142" s="11">
        <f t="shared" si="79"/>
        <v>0</v>
      </c>
      <c r="AN142" s="11">
        <v>21</v>
      </c>
      <c r="AO142" s="11">
        <f>I142*0</f>
        <v>0</v>
      </c>
      <c r="AP142" s="11">
        <f>I142*(1-0)</f>
        <v>0</v>
      </c>
      <c r="AQ142" s="12" t="s">
        <v>841</v>
      </c>
      <c r="AV142" s="11">
        <f t="shared" si="80"/>
        <v>0</v>
      </c>
      <c r="AW142" s="11">
        <f t="shared" si="81"/>
        <v>0</v>
      </c>
      <c r="AX142" s="11">
        <f t="shared" si="82"/>
        <v>0</v>
      </c>
      <c r="AY142" s="12" t="s">
        <v>270</v>
      </c>
      <c r="AZ142" s="12" t="s">
        <v>314</v>
      </c>
      <c r="BA142" s="40" t="s">
        <v>647</v>
      </c>
      <c r="BC142" s="11">
        <f t="shared" si="83"/>
        <v>0</v>
      </c>
      <c r="BD142" s="11">
        <f t="shared" si="84"/>
        <v>0</v>
      </c>
      <c r="BE142" s="11">
        <v>0</v>
      </c>
      <c r="BF142" s="11">
        <f>150</f>
        <v>150</v>
      </c>
      <c r="BH142" s="11">
        <f t="shared" si="85"/>
        <v>0</v>
      </c>
      <c r="BI142" s="11">
        <f t="shared" si="86"/>
        <v>0</v>
      </c>
      <c r="BJ142" s="11">
        <f t="shared" si="87"/>
        <v>0</v>
      </c>
      <c r="BK142" s="11"/>
      <c r="BL142" s="11">
        <v>97</v>
      </c>
    </row>
    <row r="143" spans="1:64" ht="13.5" customHeight="1">
      <c r="A143" s="53"/>
      <c r="B143" s="54" t="s">
        <v>440</v>
      </c>
      <c r="C143" s="394" t="s">
        <v>842</v>
      </c>
      <c r="D143" s="395"/>
      <c r="E143" s="395"/>
      <c r="F143" s="395"/>
      <c r="G143" s="395"/>
      <c r="H143" s="395"/>
      <c r="I143" s="395"/>
      <c r="J143" s="395"/>
      <c r="K143" s="395"/>
      <c r="L143" s="395"/>
      <c r="M143" s="396"/>
    </row>
    <row r="144" spans="1:64" ht="15" customHeight="1">
      <c r="A144" s="48" t="s">
        <v>586</v>
      </c>
      <c r="B144" s="49" t="s">
        <v>288</v>
      </c>
      <c r="C144" s="392" t="s">
        <v>374</v>
      </c>
      <c r="D144" s="392"/>
      <c r="E144" s="392"/>
      <c r="F144" s="392"/>
      <c r="G144" s="50" t="s">
        <v>783</v>
      </c>
      <c r="H144" s="50" t="s">
        <v>783</v>
      </c>
      <c r="I144" s="50" t="s">
        <v>783</v>
      </c>
      <c r="J144" s="36">
        <f>SUM(J145:J154)</f>
        <v>0</v>
      </c>
      <c r="K144" s="36">
        <f>SUM(K145:K154)</f>
        <v>0</v>
      </c>
      <c r="L144" s="36">
        <f>SUM(L145:L154)</f>
        <v>0</v>
      </c>
      <c r="M144" s="51" t="s">
        <v>586</v>
      </c>
      <c r="AI144" s="40" t="s">
        <v>586</v>
      </c>
      <c r="AS144" s="36">
        <f>SUM(AJ145:AJ154)</f>
        <v>0</v>
      </c>
      <c r="AT144" s="36">
        <f>SUM(AK145:AK154)</f>
        <v>0</v>
      </c>
      <c r="AU144" s="36">
        <f>SUM(AL145:AL154)</f>
        <v>0</v>
      </c>
    </row>
    <row r="145" spans="1:64" ht="15" customHeight="1">
      <c r="A145" s="9" t="s">
        <v>95</v>
      </c>
      <c r="B145" s="10" t="s">
        <v>863</v>
      </c>
      <c r="C145" s="366" t="s">
        <v>227</v>
      </c>
      <c r="D145" s="366"/>
      <c r="E145" s="366"/>
      <c r="F145" s="366"/>
      <c r="G145" s="10" t="s">
        <v>401</v>
      </c>
      <c r="H145" s="11">
        <v>45.506999999999998</v>
      </c>
      <c r="I145" s="11">
        <v>0</v>
      </c>
      <c r="J145" s="11">
        <f>H145*AO145</f>
        <v>0</v>
      </c>
      <c r="K145" s="11">
        <f>H145*AP145</f>
        <v>0</v>
      </c>
      <c r="L145" s="11">
        <f>H145*I145</f>
        <v>0</v>
      </c>
      <c r="M145" s="52" t="s">
        <v>575</v>
      </c>
      <c r="Z145" s="11">
        <f>IF(AQ145="5",BJ145,0)</f>
        <v>0</v>
      </c>
      <c r="AB145" s="11">
        <f>IF(AQ145="1",BH145,0)</f>
        <v>0</v>
      </c>
      <c r="AC145" s="11">
        <f>IF(AQ145="1",BI145,0)</f>
        <v>0</v>
      </c>
      <c r="AD145" s="11">
        <f>IF(AQ145="7",BH145,0)</f>
        <v>0</v>
      </c>
      <c r="AE145" s="11">
        <f>IF(AQ145="7",BI145,0)</f>
        <v>0</v>
      </c>
      <c r="AF145" s="11">
        <f>IF(AQ145="2",BH145,0)</f>
        <v>0</v>
      </c>
      <c r="AG145" s="11">
        <f>IF(AQ145="2",BI145,0)</f>
        <v>0</v>
      </c>
      <c r="AH145" s="11">
        <f>IF(AQ145="0",BJ145,0)</f>
        <v>0</v>
      </c>
      <c r="AI145" s="40" t="s">
        <v>586</v>
      </c>
      <c r="AJ145" s="11">
        <f>IF(AN145=0,L145,0)</f>
        <v>0</v>
      </c>
      <c r="AK145" s="11">
        <f>IF(AN145=15,L145,0)</f>
        <v>0</v>
      </c>
      <c r="AL145" s="11">
        <f>IF(AN145=21,L145,0)</f>
        <v>0</v>
      </c>
      <c r="AN145" s="11">
        <v>21</v>
      </c>
      <c r="AO145" s="11">
        <f>I145*0</f>
        <v>0</v>
      </c>
      <c r="AP145" s="11">
        <f>I145*(1-0)</f>
        <v>0</v>
      </c>
      <c r="AQ145" s="12" t="s">
        <v>454</v>
      </c>
      <c r="AV145" s="11">
        <f>AW145+AX145</f>
        <v>0</v>
      </c>
      <c r="AW145" s="11">
        <f>H145*AO145</f>
        <v>0</v>
      </c>
      <c r="AX145" s="11">
        <f>H145*AP145</f>
        <v>0</v>
      </c>
      <c r="AY145" s="12" t="s">
        <v>355</v>
      </c>
      <c r="AZ145" s="12" t="s">
        <v>314</v>
      </c>
      <c r="BA145" s="40" t="s">
        <v>647</v>
      </c>
      <c r="BC145" s="11">
        <f>AW145+AX145</f>
        <v>0</v>
      </c>
      <c r="BD145" s="11">
        <f>I145/(100-BE145)*100</f>
        <v>0</v>
      </c>
      <c r="BE145" s="11">
        <v>0</v>
      </c>
      <c r="BF145" s="11">
        <f>153</f>
        <v>153</v>
      </c>
      <c r="BH145" s="11">
        <f>H145*AO145</f>
        <v>0</v>
      </c>
      <c r="BI145" s="11">
        <f>H145*AP145</f>
        <v>0</v>
      </c>
      <c r="BJ145" s="11">
        <f>H145*I145</f>
        <v>0</v>
      </c>
      <c r="BK145" s="11"/>
      <c r="BL145" s="11"/>
    </row>
    <row r="146" spans="1:64" ht="15" customHeight="1">
      <c r="A146" s="9" t="s">
        <v>345</v>
      </c>
      <c r="B146" s="10" t="s">
        <v>173</v>
      </c>
      <c r="C146" s="366" t="s">
        <v>429</v>
      </c>
      <c r="D146" s="366"/>
      <c r="E146" s="366"/>
      <c r="F146" s="366"/>
      <c r="G146" s="10" t="s">
        <v>401</v>
      </c>
      <c r="H146" s="11">
        <v>91.013999999999996</v>
      </c>
      <c r="I146" s="11">
        <v>0</v>
      </c>
      <c r="J146" s="11">
        <f>H146*AO146</f>
        <v>0</v>
      </c>
      <c r="K146" s="11">
        <f>H146*AP146</f>
        <v>0</v>
      </c>
      <c r="L146" s="11">
        <f>H146*I146</f>
        <v>0</v>
      </c>
      <c r="M146" s="52" t="s">
        <v>575</v>
      </c>
      <c r="Z146" s="11">
        <f>IF(AQ146="5",BJ146,0)</f>
        <v>0</v>
      </c>
      <c r="AB146" s="11">
        <f>IF(AQ146="1",BH146,0)</f>
        <v>0</v>
      </c>
      <c r="AC146" s="11">
        <f>IF(AQ146="1",BI146,0)</f>
        <v>0</v>
      </c>
      <c r="AD146" s="11">
        <f>IF(AQ146="7",BH146,0)</f>
        <v>0</v>
      </c>
      <c r="AE146" s="11">
        <f>IF(AQ146="7",BI146,0)</f>
        <v>0</v>
      </c>
      <c r="AF146" s="11">
        <f>IF(AQ146="2",BH146,0)</f>
        <v>0</v>
      </c>
      <c r="AG146" s="11">
        <f>IF(AQ146="2",BI146,0)</f>
        <v>0</v>
      </c>
      <c r="AH146" s="11">
        <f>IF(AQ146="0",BJ146,0)</f>
        <v>0</v>
      </c>
      <c r="AI146" s="40" t="s">
        <v>586</v>
      </c>
      <c r="AJ146" s="11">
        <f>IF(AN146=0,L146,0)</f>
        <v>0</v>
      </c>
      <c r="AK146" s="11">
        <f>IF(AN146=15,L146,0)</f>
        <v>0</v>
      </c>
      <c r="AL146" s="11">
        <f>IF(AN146=21,L146,0)</f>
        <v>0</v>
      </c>
      <c r="AN146" s="11">
        <v>21</v>
      </c>
      <c r="AO146" s="11">
        <f>I146*0</f>
        <v>0</v>
      </c>
      <c r="AP146" s="11">
        <f>I146*(1-0)</f>
        <v>0</v>
      </c>
      <c r="AQ146" s="12" t="s">
        <v>454</v>
      </c>
      <c r="AV146" s="11">
        <f>AW146+AX146</f>
        <v>0</v>
      </c>
      <c r="AW146" s="11">
        <f>H146*AO146</f>
        <v>0</v>
      </c>
      <c r="AX146" s="11">
        <f>H146*AP146</f>
        <v>0</v>
      </c>
      <c r="AY146" s="12" t="s">
        <v>355</v>
      </c>
      <c r="AZ146" s="12" t="s">
        <v>314</v>
      </c>
      <c r="BA146" s="40" t="s">
        <v>647</v>
      </c>
      <c r="BC146" s="11">
        <f>AW146+AX146</f>
        <v>0</v>
      </c>
      <c r="BD146" s="11">
        <f>I146/(100-BE146)*100</f>
        <v>0</v>
      </c>
      <c r="BE146" s="11">
        <v>0</v>
      </c>
      <c r="BF146" s="11">
        <f>154</f>
        <v>154</v>
      </c>
      <c r="BH146" s="11">
        <f>H146*AO146</f>
        <v>0</v>
      </c>
      <c r="BI146" s="11">
        <f>H146*AP146</f>
        <v>0</v>
      </c>
      <c r="BJ146" s="11">
        <f>H146*I146</f>
        <v>0</v>
      </c>
      <c r="BK146" s="11"/>
      <c r="BL146" s="11"/>
    </row>
    <row r="147" spans="1:64" ht="15" customHeight="1">
      <c r="A147" s="9" t="s">
        <v>479</v>
      </c>
      <c r="B147" s="10" t="s">
        <v>668</v>
      </c>
      <c r="C147" s="366" t="s">
        <v>560</v>
      </c>
      <c r="D147" s="366"/>
      <c r="E147" s="366"/>
      <c r="F147" s="366"/>
      <c r="G147" s="10" t="s">
        <v>401</v>
      </c>
      <c r="H147" s="11">
        <v>45.506999999999998</v>
      </c>
      <c r="I147" s="11">
        <v>0</v>
      </c>
      <c r="J147" s="11">
        <f>H147*AO147</f>
        <v>0</v>
      </c>
      <c r="K147" s="11">
        <f>H147*AP147</f>
        <v>0</v>
      </c>
      <c r="L147" s="11">
        <f>H147*I147</f>
        <v>0</v>
      </c>
      <c r="M147" s="52" t="s">
        <v>575</v>
      </c>
      <c r="Z147" s="11">
        <f>IF(AQ147="5",BJ147,0)</f>
        <v>0</v>
      </c>
      <c r="AB147" s="11">
        <f>IF(AQ147="1",BH147,0)</f>
        <v>0</v>
      </c>
      <c r="AC147" s="11">
        <f>IF(AQ147="1",BI147,0)</f>
        <v>0</v>
      </c>
      <c r="AD147" s="11">
        <f>IF(AQ147="7",BH147,0)</f>
        <v>0</v>
      </c>
      <c r="AE147" s="11">
        <f>IF(AQ147="7",BI147,0)</f>
        <v>0</v>
      </c>
      <c r="AF147" s="11">
        <f>IF(AQ147="2",BH147,0)</f>
        <v>0</v>
      </c>
      <c r="AG147" s="11">
        <f>IF(AQ147="2",BI147,0)</f>
        <v>0</v>
      </c>
      <c r="AH147" s="11">
        <f>IF(AQ147="0",BJ147,0)</f>
        <v>0</v>
      </c>
      <c r="AI147" s="40" t="s">
        <v>586</v>
      </c>
      <c r="AJ147" s="11">
        <f>IF(AN147=0,L147,0)</f>
        <v>0</v>
      </c>
      <c r="AK147" s="11">
        <f>IF(AN147=15,L147,0)</f>
        <v>0</v>
      </c>
      <c r="AL147" s="11">
        <f>IF(AN147=21,L147,0)</f>
        <v>0</v>
      </c>
      <c r="AN147" s="11">
        <v>21</v>
      </c>
      <c r="AO147" s="11">
        <f>I147*0.00998701978579675</f>
        <v>0</v>
      </c>
      <c r="AP147" s="11">
        <f>I147*(1-0.00998701978579675)</f>
        <v>0</v>
      </c>
      <c r="AQ147" s="12" t="s">
        <v>454</v>
      </c>
      <c r="AV147" s="11">
        <f>AW147+AX147</f>
        <v>0</v>
      </c>
      <c r="AW147" s="11">
        <f>H147*AO147</f>
        <v>0</v>
      </c>
      <c r="AX147" s="11">
        <f>H147*AP147</f>
        <v>0</v>
      </c>
      <c r="AY147" s="12" t="s">
        <v>355</v>
      </c>
      <c r="AZ147" s="12" t="s">
        <v>314</v>
      </c>
      <c r="BA147" s="40" t="s">
        <v>647</v>
      </c>
      <c r="BC147" s="11">
        <f>AW147+AX147</f>
        <v>0</v>
      </c>
      <c r="BD147" s="11">
        <f>I147/(100-BE147)*100</f>
        <v>0</v>
      </c>
      <c r="BE147" s="11">
        <v>0</v>
      </c>
      <c r="BF147" s="11">
        <f>155</f>
        <v>155</v>
      </c>
      <c r="BH147" s="11">
        <f>H147*AO147</f>
        <v>0</v>
      </c>
      <c r="BI147" s="11">
        <f>H147*AP147</f>
        <v>0</v>
      </c>
      <c r="BJ147" s="11">
        <f>H147*I147</f>
        <v>0</v>
      </c>
      <c r="BK147" s="11"/>
      <c r="BL147" s="11"/>
    </row>
    <row r="148" spans="1:64" ht="13.5" customHeight="1">
      <c r="A148" s="53"/>
      <c r="B148" s="54" t="s">
        <v>440</v>
      </c>
      <c r="C148" s="394" t="s">
        <v>576</v>
      </c>
      <c r="D148" s="395"/>
      <c r="E148" s="395"/>
      <c r="F148" s="395"/>
      <c r="G148" s="395"/>
      <c r="H148" s="395"/>
      <c r="I148" s="395"/>
      <c r="J148" s="395"/>
      <c r="K148" s="395"/>
      <c r="L148" s="395"/>
      <c r="M148" s="396"/>
    </row>
    <row r="149" spans="1:64" ht="15" customHeight="1">
      <c r="A149" s="9" t="s">
        <v>93</v>
      </c>
      <c r="B149" s="10" t="s">
        <v>578</v>
      </c>
      <c r="C149" s="366" t="s">
        <v>251</v>
      </c>
      <c r="D149" s="366"/>
      <c r="E149" s="366"/>
      <c r="F149" s="366"/>
      <c r="G149" s="10" t="s">
        <v>401</v>
      </c>
      <c r="H149" s="11">
        <v>182.02799999999999</v>
      </c>
      <c r="I149" s="11">
        <v>0</v>
      </c>
      <c r="J149" s="11">
        <f t="shared" ref="J149:J154" si="88">H149*AO149</f>
        <v>0</v>
      </c>
      <c r="K149" s="11">
        <f t="shared" ref="K149:K154" si="89">H149*AP149</f>
        <v>0</v>
      </c>
      <c r="L149" s="11">
        <f t="shared" ref="L149:L154" si="90">H149*I149</f>
        <v>0</v>
      </c>
      <c r="M149" s="52" t="s">
        <v>575</v>
      </c>
      <c r="Z149" s="11">
        <f t="shared" ref="Z149:Z154" si="91">IF(AQ149="5",BJ149,0)</f>
        <v>0</v>
      </c>
      <c r="AB149" s="11">
        <f t="shared" ref="AB149:AB154" si="92">IF(AQ149="1",BH149,0)</f>
        <v>0</v>
      </c>
      <c r="AC149" s="11">
        <f t="shared" ref="AC149:AC154" si="93">IF(AQ149="1",BI149,0)</f>
        <v>0</v>
      </c>
      <c r="AD149" s="11">
        <f t="shared" ref="AD149:AD154" si="94">IF(AQ149="7",BH149,0)</f>
        <v>0</v>
      </c>
      <c r="AE149" s="11">
        <f t="shared" ref="AE149:AE154" si="95">IF(AQ149="7",BI149,0)</f>
        <v>0</v>
      </c>
      <c r="AF149" s="11">
        <f t="shared" ref="AF149:AF154" si="96">IF(AQ149="2",BH149,0)</f>
        <v>0</v>
      </c>
      <c r="AG149" s="11">
        <f t="shared" ref="AG149:AG154" si="97">IF(AQ149="2",BI149,0)</f>
        <v>0</v>
      </c>
      <c r="AH149" s="11">
        <f t="shared" ref="AH149:AH154" si="98">IF(AQ149="0",BJ149,0)</f>
        <v>0</v>
      </c>
      <c r="AI149" s="40" t="s">
        <v>586</v>
      </c>
      <c r="AJ149" s="11">
        <f t="shared" ref="AJ149:AJ154" si="99">IF(AN149=0,L149,0)</f>
        <v>0</v>
      </c>
      <c r="AK149" s="11">
        <f t="shared" ref="AK149:AK154" si="100">IF(AN149=15,L149,0)</f>
        <v>0</v>
      </c>
      <c r="AL149" s="11">
        <f t="shared" ref="AL149:AL154" si="101">IF(AN149=21,L149,0)</f>
        <v>0</v>
      </c>
      <c r="AN149" s="11">
        <v>21</v>
      </c>
      <c r="AO149" s="11">
        <f t="shared" ref="AO149:AO154" si="102">I149*0</f>
        <v>0</v>
      </c>
      <c r="AP149" s="11">
        <f t="shared" ref="AP149:AP154" si="103">I149*(1-0)</f>
        <v>0</v>
      </c>
      <c r="AQ149" s="12" t="s">
        <v>454</v>
      </c>
      <c r="AV149" s="11">
        <f t="shared" ref="AV149:AV154" si="104">AW149+AX149</f>
        <v>0</v>
      </c>
      <c r="AW149" s="11">
        <f t="shared" ref="AW149:AW154" si="105">H149*AO149</f>
        <v>0</v>
      </c>
      <c r="AX149" s="11">
        <f t="shared" ref="AX149:AX154" si="106">H149*AP149</f>
        <v>0</v>
      </c>
      <c r="AY149" s="12" t="s">
        <v>355</v>
      </c>
      <c r="AZ149" s="12" t="s">
        <v>314</v>
      </c>
      <c r="BA149" s="40" t="s">
        <v>647</v>
      </c>
      <c r="BC149" s="11">
        <f t="shared" ref="BC149:BC154" si="107">AW149+AX149</f>
        <v>0</v>
      </c>
      <c r="BD149" s="11">
        <f t="shared" ref="BD149:BD154" si="108">I149/(100-BE149)*100</f>
        <v>0</v>
      </c>
      <c r="BE149" s="11">
        <v>0</v>
      </c>
      <c r="BF149" s="11">
        <f>157</f>
        <v>157</v>
      </c>
      <c r="BH149" s="11">
        <f t="shared" ref="BH149:BH154" si="109">H149*AO149</f>
        <v>0</v>
      </c>
      <c r="BI149" s="11">
        <f t="shared" ref="BI149:BI154" si="110">H149*AP149</f>
        <v>0</v>
      </c>
      <c r="BJ149" s="11">
        <f t="shared" ref="BJ149:BJ154" si="111">H149*I149</f>
        <v>0</v>
      </c>
      <c r="BK149" s="11"/>
      <c r="BL149" s="11"/>
    </row>
    <row r="150" spans="1:64" ht="15" customHeight="1">
      <c r="A150" s="9" t="s">
        <v>592</v>
      </c>
      <c r="B150" s="10" t="s">
        <v>68</v>
      </c>
      <c r="C150" s="366" t="s">
        <v>450</v>
      </c>
      <c r="D150" s="366"/>
      <c r="E150" s="366"/>
      <c r="F150" s="366"/>
      <c r="G150" s="10" t="s">
        <v>401</v>
      </c>
      <c r="H150" s="11">
        <v>8.077</v>
      </c>
      <c r="I150" s="11">
        <v>0</v>
      </c>
      <c r="J150" s="11">
        <f t="shared" si="88"/>
        <v>0</v>
      </c>
      <c r="K150" s="11">
        <f t="shared" si="89"/>
        <v>0</v>
      </c>
      <c r="L150" s="11">
        <f t="shared" si="90"/>
        <v>0</v>
      </c>
      <c r="M150" s="52" t="s">
        <v>575</v>
      </c>
      <c r="Z150" s="11">
        <f t="shared" si="91"/>
        <v>0</v>
      </c>
      <c r="AB150" s="11">
        <f t="shared" si="92"/>
        <v>0</v>
      </c>
      <c r="AC150" s="11">
        <f t="shared" si="93"/>
        <v>0</v>
      </c>
      <c r="AD150" s="11">
        <f t="shared" si="94"/>
        <v>0</v>
      </c>
      <c r="AE150" s="11">
        <f t="shared" si="95"/>
        <v>0</v>
      </c>
      <c r="AF150" s="11">
        <f t="shared" si="96"/>
        <v>0</v>
      </c>
      <c r="AG150" s="11">
        <f t="shared" si="97"/>
        <v>0</v>
      </c>
      <c r="AH150" s="11">
        <f t="shared" si="98"/>
        <v>0</v>
      </c>
      <c r="AI150" s="40" t="s">
        <v>586</v>
      </c>
      <c r="AJ150" s="11">
        <f t="shared" si="99"/>
        <v>0</v>
      </c>
      <c r="AK150" s="11">
        <f t="shared" si="100"/>
        <v>0</v>
      </c>
      <c r="AL150" s="11">
        <f t="shared" si="101"/>
        <v>0</v>
      </c>
      <c r="AN150" s="11">
        <v>21</v>
      </c>
      <c r="AO150" s="11">
        <f t="shared" si="102"/>
        <v>0</v>
      </c>
      <c r="AP150" s="11">
        <f t="shared" si="103"/>
        <v>0</v>
      </c>
      <c r="AQ150" s="12" t="s">
        <v>454</v>
      </c>
      <c r="AV150" s="11">
        <f t="shared" si="104"/>
        <v>0</v>
      </c>
      <c r="AW150" s="11">
        <f t="shared" si="105"/>
        <v>0</v>
      </c>
      <c r="AX150" s="11">
        <f t="shared" si="106"/>
        <v>0</v>
      </c>
      <c r="AY150" s="12" t="s">
        <v>355</v>
      </c>
      <c r="AZ150" s="12" t="s">
        <v>314</v>
      </c>
      <c r="BA150" s="40" t="s">
        <v>647</v>
      </c>
      <c r="BC150" s="11">
        <f t="shared" si="107"/>
        <v>0</v>
      </c>
      <c r="BD150" s="11">
        <f t="shared" si="108"/>
        <v>0</v>
      </c>
      <c r="BE150" s="11">
        <v>0</v>
      </c>
      <c r="BF150" s="11">
        <f>158</f>
        <v>158</v>
      </c>
      <c r="BH150" s="11">
        <f t="shared" si="109"/>
        <v>0</v>
      </c>
      <c r="BI150" s="11">
        <f t="shared" si="110"/>
        <v>0</v>
      </c>
      <c r="BJ150" s="11">
        <f t="shared" si="111"/>
        <v>0</v>
      </c>
      <c r="BK150" s="11"/>
      <c r="BL150" s="11"/>
    </row>
    <row r="151" spans="1:64" ht="15" customHeight="1">
      <c r="A151" s="9" t="s">
        <v>411</v>
      </c>
      <c r="B151" s="10" t="s">
        <v>449</v>
      </c>
      <c r="C151" s="366" t="s">
        <v>426</v>
      </c>
      <c r="D151" s="366"/>
      <c r="E151" s="366"/>
      <c r="F151" s="366"/>
      <c r="G151" s="10" t="s">
        <v>401</v>
      </c>
      <c r="H151" s="11">
        <v>0.16800000000000001</v>
      </c>
      <c r="I151" s="11">
        <v>0</v>
      </c>
      <c r="J151" s="11">
        <f t="shared" si="88"/>
        <v>0</v>
      </c>
      <c r="K151" s="11">
        <f t="shared" si="89"/>
        <v>0</v>
      </c>
      <c r="L151" s="11">
        <f t="shared" si="90"/>
        <v>0</v>
      </c>
      <c r="M151" s="52" t="s">
        <v>575</v>
      </c>
      <c r="Z151" s="11">
        <f t="shared" si="91"/>
        <v>0</v>
      </c>
      <c r="AB151" s="11">
        <f t="shared" si="92"/>
        <v>0</v>
      </c>
      <c r="AC151" s="11">
        <f t="shared" si="93"/>
        <v>0</v>
      </c>
      <c r="AD151" s="11">
        <f t="shared" si="94"/>
        <v>0</v>
      </c>
      <c r="AE151" s="11">
        <f t="shared" si="95"/>
        <v>0</v>
      </c>
      <c r="AF151" s="11">
        <f t="shared" si="96"/>
        <v>0</v>
      </c>
      <c r="AG151" s="11">
        <f t="shared" si="97"/>
        <v>0</v>
      </c>
      <c r="AH151" s="11">
        <f t="shared" si="98"/>
        <v>0</v>
      </c>
      <c r="AI151" s="40" t="s">
        <v>586</v>
      </c>
      <c r="AJ151" s="11">
        <f t="shared" si="99"/>
        <v>0</v>
      </c>
      <c r="AK151" s="11">
        <f t="shared" si="100"/>
        <v>0</v>
      </c>
      <c r="AL151" s="11">
        <f t="shared" si="101"/>
        <v>0</v>
      </c>
      <c r="AN151" s="11">
        <v>21</v>
      </c>
      <c r="AO151" s="11">
        <f t="shared" si="102"/>
        <v>0</v>
      </c>
      <c r="AP151" s="11">
        <f t="shared" si="103"/>
        <v>0</v>
      </c>
      <c r="AQ151" s="12" t="s">
        <v>454</v>
      </c>
      <c r="AV151" s="11">
        <f t="shared" si="104"/>
        <v>0</v>
      </c>
      <c r="AW151" s="11">
        <f t="shared" si="105"/>
        <v>0</v>
      </c>
      <c r="AX151" s="11">
        <f t="shared" si="106"/>
        <v>0</v>
      </c>
      <c r="AY151" s="12" t="s">
        <v>355</v>
      </c>
      <c r="AZ151" s="12" t="s">
        <v>314</v>
      </c>
      <c r="BA151" s="40" t="s">
        <v>647</v>
      </c>
      <c r="BC151" s="11">
        <f t="shared" si="107"/>
        <v>0</v>
      </c>
      <c r="BD151" s="11">
        <f t="shared" si="108"/>
        <v>0</v>
      </c>
      <c r="BE151" s="11">
        <v>0</v>
      </c>
      <c r="BF151" s="11">
        <f>159</f>
        <v>159</v>
      </c>
      <c r="BH151" s="11">
        <f t="shared" si="109"/>
        <v>0</v>
      </c>
      <c r="BI151" s="11">
        <f t="shared" si="110"/>
        <v>0</v>
      </c>
      <c r="BJ151" s="11">
        <f t="shared" si="111"/>
        <v>0</v>
      </c>
      <c r="BK151" s="11"/>
      <c r="BL151" s="11"/>
    </row>
    <row r="152" spans="1:64" ht="15" customHeight="1">
      <c r="A152" s="9" t="s">
        <v>693</v>
      </c>
      <c r="B152" s="10" t="s">
        <v>293</v>
      </c>
      <c r="C152" s="366" t="s">
        <v>740</v>
      </c>
      <c r="D152" s="366"/>
      <c r="E152" s="366"/>
      <c r="F152" s="366"/>
      <c r="G152" s="10" t="s">
        <v>401</v>
      </c>
      <c r="H152" s="11">
        <v>30.579000000000001</v>
      </c>
      <c r="I152" s="11">
        <v>0</v>
      </c>
      <c r="J152" s="11">
        <f t="shared" si="88"/>
        <v>0</v>
      </c>
      <c r="K152" s="11">
        <f t="shared" si="89"/>
        <v>0</v>
      </c>
      <c r="L152" s="11">
        <f t="shared" si="90"/>
        <v>0</v>
      </c>
      <c r="M152" s="52" t="s">
        <v>575</v>
      </c>
      <c r="Z152" s="11">
        <f t="shared" si="91"/>
        <v>0</v>
      </c>
      <c r="AB152" s="11">
        <f t="shared" si="92"/>
        <v>0</v>
      </c>
      <c r="AC152" s="11">
        <f t="shared" si="93"/>
        <v>0</v>
      </c>
      <c r="AD152" s="11">
        <f t="shared" si="94"/>
        <v>0</v>
      </c>
      <c r="AE152" s="11">
        <f t="shared" si="95"/>
        <v>0</v>
      </c>
      <c r="AF152" s="11">
        <f t="shared" si="96"/>
        <v>0</v>
      </c>
      <c r="AG152" s="11">
        <f t="shared" si="97"/>
        <v>0</v>
      </c>
      <c r="AH152" s="11">
        <f t="shared" si="98"/>
        <v>0</v>
      </c>
      <c r="AI152" s="40" t="s">
        <v>586</v>
      </c>
      <c r="AJ152" s="11">
        <f t="shared" si="99"/>
        <v>0</v>
      </c>
      <c r="AK152" s="11">
        <f t="shared" si="100"/>
        <v>0</v>
      </c>
      <c r="AL152" s="11">
        <f t="shared" si="101"/>
        <v>0</v>
      </c>
      <c r="AN152" s="11">
        <v>21</v>
      </c>
      <c r="AO152" s="11">
        <f t="shared" si="102"/>
        <v>0</v>
      </c>
      <c r="AP152" s="11">
        <f t="shared" si="103"/>
        <v>0</v>
      </c>
      <c r="AQ152" s="12" t="s">
        <v>454</v>
      </c>
      <c r="AV152" s="11">
        <f t="shared" si="104"/>
        <v>0</v>
      </c>
      <c r="AW152" s="11">
        <f t="shared" si="105"/>
        <v>0</v>
      </c>
      <c r="AX152" s="11">
        <f t="shared" si="106"/>
        <v>0</v>
      </c>
      <c r="AY152" s="12" t="s">
        <v>355</v>
      </c>
      <c r="AZ152" s="12" t="s">
        <v>314</v>
      </c>
      <c r="BA152" s="40" t="s">
        <v>647</v>
      </c>
      <c r="BC152" s="11">
        <f t="shared" si="107"/>
        <v>0</v>
      </c>
      <c r="BD152" s="11">
        <f t="shared" si="108"/>
        <v>0</v>
      </c>
      <c r="BE152" s="11">
        <v>0</v>
      </c>
      <c r="BF152" s="11">
        <f>160</f>
        <v>160</v>
      </c>
      <c r="BH152" s="11">
        <f t="shared" si="109"/>
        <v>0</v>
      </c>
      <c r="BI152" s="11">
        <f t="shared" si="110"/>
        <v>0</v>
      </c>
      <c r="BJ152" s="11">
        <f t="shared" si="111"/>
        <v>0</v>
      </c>
      <c r="BK152" s="11"/>
      <c r="BL152" s="11"/>
    </row>
    <row r="153" spans="1:64" ht="15" customHeight="1">
      <c r="A153" s="9" t="s">
        <v>777</v>
      </c>
      <c r="B153" s="10" t="s">
        <v>527</v>
      </c>
      <c r="C153" s="366" t="s">
        <v>294</v>
      </c>
      <c r="D153" s="366"/>
      <c r="E153" s="366"/>
      <c r="F153" s="366"/>
      <c r="G153" s="10" t="s">
        <v>401</v>
      </c>
      <c r="H153" s="11">
        <v>0.13900000000000001</v>
      </c>
      <c r="I153" s="11">
        <v>0</v>
      </c>
      <c r="J153" s="11">
        <f t="shared" si="88"/>
        <v>0</v>
      </c>
      <c r="K153" s="11">
        <f t="shared" si="89"/>
        <v>0</v>
      </c>
      <c r="L153" s="11">
        <f t="shared" si="90"/>
        <v>0</v>
      </c>
      <c r="M153" s="52" t="s">
        <v>575</v>
      </c>
      <c r="Z153" s="11">
        <f t="shared" si="91"/>
        <v>0</v>
      </c>
      <c r="AB153" s="11">
        <f t="shared" si="92"/>
        <v>0</v>
      </c>
      <c r="AC153" s="11">
        <f t="shared" si="93"/>
        <v>0</v>
      </c>
      <c r="AD153" s="11">
        <f t="shared" si="94"/>
        <v>0</v>
      </c>
      <c r="AE153" s="11">
        <f t="shared" si="95"/>
        <v>0</v>
      </c>
      <c r="AF153" s="11">
        <f t="shared" si="96"/>
        <v>0</v>
      </c>
      <c r="AG153" s="11">
        <f t="shared" si="97"/>
        <v>0</v>
      </c>
      <c r="AH153" s="11">
        <f t="shared" si="98"/>
        <v>0</v>
      </c>
      <c r="AI153" s="40" t="s">
        <v>586</v>
      </c>
      <c r="AJ153" s="11">
        <f t="shared" si="99"/>
        <v>0</v>
      </c>
      <c r="AK153" s="11">
        <f t="shared" si="100"/>
        <v>0</v>
      </c>
      <c r="AL153" s="11">
        <f t="shared" si="101"/>
        <v>0</v>
      </c>
      <c r="AN153" s="11">
        <v>21</v>
      </c>
      <c r="AO153" s="11">
        <f t="shared" si="102"/>
        <v>0</v>
      </c>
      <c r="AP153" s="11">
        <f t="shared" si="103"/>
        <v>0</v>
      </c>
      <c r="AQ153" s="12" t="s">
        <v>454</v>
      </c>
      <c r="AV153" s="11">
        <f t="shared" si="104"/>
        <v>0</v>
      </c>
      <c r="AW153" s="11">
        <f t="shared" si="105"/>
        <v>0</v>
      </c>
      <c r="AX153" s="11">
        <f t="shared" si="106"/>
        <v>0</v>
      </c>
      <c r="AY153" s="12" t="s">
        <v>355</v>
      </c>
      <c r="AZ153" s="12" t="s">
        <v>314</v>
      </c>
      <c r="BA153" s="40" t="s">
        <v>647</v>
      </c>
      <c r="BC153" s="11">
        <f t="shared" si="107"/>
        <v>0</v>
      </c>
      <c r="BD153" s="11">
        <f t="shared" si="108"/>
        <v>0</v>
      </c>
      <c r="BE153" s="11">
        <v>0</v>
      </c>
      <c r="BF153" s="11">
        <f>161</f>
        <v>161</v>
      </c>
      <c r="BH153" s="11">
        <f t="shared" si="109"/>
        <v>0</v>
      </c>
      <c r="BI153" s="11">
        <f t="shared" si="110"/>
        <v>0</v>
      </c>
      <c r="BJ153" s="11">
        <f t="shared" si="111"/>
        <v>0</v>
      </c>
      <c r="BK153" s="11"/>
      <c r="BL153" s="11"/>
    </row>
    <row r="154" spans="1:64" ht="15" customHeight="1">
      <c r="A154" s="9" t="s">
        <v>737</v>
      </c>
      <c r="B154" s="10" t="s">
        <v>330</v>
      </c>
      <c r="C154" s="366" t="s">
        <v>793</v>
      </c>
      <c r="D154" s="366"/>
      <c r="E154" s="366"/>
      <c r="F154" s="366"/>
      <c r="G154" s="10" t="s">
        <v>401</v>
      </c>
      <c r="H154" s="11">
        <v>0.29299999999999998</v>
      </c>
      <c r="I154" s="11">
        <v>0</v>
      </c>
      <c r="J154" s="11">
        <f t="shared" si="88"/>
        <v>0</v>
      </c>
      <c r="K154" s="11">
        <f t="shared" si="89"/>
        <v>0</v>
      </c>
      <c r="L154" s="11">
        <f t="shared" si="90"/>
        <v>0</v>
      </c>
      <c r="M154" s="52" t="s">
        <v>575</v>
      </c>
      <c r="Z154" s="11">
        <f t="shared" si="91"/>
        <v>0</v>
      </c>
      <c r="AB154" s="11">
        <f t="shared" si="92"/>
        <v>0</v>
      </c>
      <c r="AC154" s="11">
        <f t="shared" si="93"/>
        <v>0</v>
      </c>
      <c r="AD154" s="11">
        <f t="shared" si="94"/>
        <v>0</v>
      </c>
      <c r="AE154" s="11">
        <f t="shared" si="95"/>
        <v>0</v>
      </c>
      <c r="AF154" s="11">
        <f t="shared" si="96"/>
        <v>0</v>
      </c>
      <c r="AG154" s="11">
        <f t="shared" si="97"/>
        <v>0</v>
      </c>
      <c r="AH154" s="11">
        <f t="shared" si="98"/>
        <v>0</v>
      </c>
      <c r="AI154" s="40" t="s">
        <v>586</v>
      </c>
      <c r="AJ154" s="11">
        <f t="shared" si="99"/>
        <v>0</v>
      </c>
      <c r="AK154" s="11">
        <f t="shared" si="100"/>
        <v>0</v>
      </c>
      <c r="AL154" s="11">
        <f t="shared" si="101"/>
        <v>0</v>
      </c>
      <c r="AN154" s="11">
        <v>21</v>
      </c>
      <c r="AO154" s="11">
        <f t="shared" si="102"/>
        <v>0</v>
      </c>
      <c r="AP154" s="11">
        <f t="shared" si="103"/>
        <v>0</v>
      </c>
      <c r="AQ154" s="12" t="s">
        <v>454</v>
      </c>
      <c r="AV154" s="11">
        <f t="shared" si="104"/>
        <v>0</v>
      </c>
      <c r="AW154" s="11">
        <f t="shared" si="105"/>
        <v>0</v>
      </c>
      <c r="AX154" s="11">
        <f t="shared" si="106"/>
        <v>0</v>
      </c>
      <c r="AY154" s="12" t="s">
        <v>355</v>
      </c>
      <c r="AZ154" s="12" t="s">
        <v>314</v>
      </c>
      <c r="BA154" s="40" t="s">
        <v>647</v>
      </c>
      <c r="BC154" s="11">
        <f t="shared" si="107"/>
        <v>0</v>
      </c>
      <c r="BD154" s="11">
        <f t="shared" si="108"/>
        <v>0</v>
      </c>
      <c r="BE154" s="11">
        <v>0</v>
      </c>
      <c r="BF154" s="11">
        <f>162</f>
        <v>162</v>
      </c>
      <c r="BH154" s="11">
        <f t="shared" si="109"/>
        <v>0</v>
      </c>
      <c r="BI154" s="11">
        <f t="shared" si="110"/>
        <v>0</v>
      </c>
      <c r="BJ154" s="11">
        <f t="shared" si="111"/>
        <v>0</v>
      </c>
      <c r="BK154" s="11"/>
      <c r="BL154" s="11"/>
    </row>
    <row r="155" spans="1:64" ht="15" customHeight="1">
      <c r="A155" s="48" t="s">
        <v>586</v>
      </c>
      <c r="B155" s="137" t="s">
        <v>126</v>
      </c>
      <c r="C155" s="392" t="s">
        <v>641</v>
      </c>
      <c r="D155" s="392"/>
      <c r="E155" s="392"/>
      <c r="F155" s="392"/>
      <c r="G155" s="50" t="s">
        <v>783</v>
      </c>
      <c r="H155" s="50" t="s">
        <v>783</v>
      </c>
      <c r="I155" s="50" t="s">
        <v>783</v>
      </c>
      <c r="J155" s="36">
        <f>SUM(J156:J156)</f>
        <v>0</v>
      </c>
      <c r="K155" s="36">
        <f>SUM(K156:K156)</f>
        <v>0</v>
      </c>
      <c r="L155" s="36">
        <f>SUM(L156:L156)</f>
        <v>0</v>
      </c>
      <c r="M155" s="51" t="s">
        <v>586</v>
      </c>
      <c r="AI155" s="40" t="s">
        <v>586</v>
      </c>
      <c r="AS155" s="36">
        <f>SUM(AJ156:AJ156)</f>
        <v>0</v>
      </c>
      <c r="AT155" s="36">
        <f>SUM(AK156:AK156)</f>
        <v>0</v>
      </c>
      <c r="AU155" s="36">
        <f>SUM(AL156:AL156)</f>
        <v>0</v>
      </c>
    </row>
    <row r="156" spans="1:64" ht="15" customHeight="1">
      <c r="A156" s="9" t="s">
        <v>16</v>
      </c>
      <c r="B156" s="10" t="s">
        <v>381</v>
      </c>
      <c r="C156" s="366" t="s">
        <v>727</v>
      </c>
      <c r="D156" s="366"/>
      <c r="E156" s="366"/>
      <c r="F156" s="366"/>
      <c r="G156" s="10" t="s">
        <v>648</v>
      </c>
      <c r="H156" s="11">
        <v>1</v>
      </c>
      <c r="I156" s="11">
        <v>0</v>
      </c>
      <c r="J156" s="11">
        <v>0</v>
      </c>
      <c r="K156" s="11">
        <v>0</v>
      </c>
      <c r="L156" s="11">
        <f>H156*I156</f>
        <v>0</v>
      </c>
      <c r="M156" s="52" t="s">
        <v>586</v>
      </c>
      <c r="Z156" s="11">
        <f>IF(AQ156="5",BJ156,0)</f>
        <v>0</v>
      </c>
      <c r="AB156" s="11">
        <f>IF(AQ156="1",BH156,0)</f>
        <v>0</v>
      </c>
      <c r="AC156" s="11">
        <f>IF(AQ156="1",BI156,0)</f>
        <v>0</v>
      </c>
      <c r="AD156" s="11">
        <f>IF(AQ156="7",BH156,0)</f>
        <v>0</v>
      </c>
      <c r="AE156" s="11">
        <f>IF(AQ156="7",BI156,0)</f>
        <v>0</v>
      </c>
      <c r="AF156" s="11">
        <f>IF(AQ156="2",BH156,0)</f>
        <v>0</v>
      </c>
      <c r="AG156" s="11">
        <f>IF(AQ156="2",BI156,0)</f>
        <v>0</v>
      </c>
      <c r="AH156" s="11">
        <f>IF(AQ156="0",BJ156,0)</f>
        <v>0</v>
      </c>
      <c r="AI156" s="40" t="s">
        <v>586</v>
      </c>
      <c r="AJ156" s="11">
        <f>IF(AN156=0,L156,0)</f>
        <v>0</v>
      </c>
      <c r="AK156" s="11">
        <f>IF(AN156=15,L156,0)</f>
        <v>0</v>
      </c>
      <c r="AL156" s="11">
        <f>IF(AN156=21,L156,0)</f>
        <v>0</v>
      </c>
      <c r="AN156" s="11">
        <v>21</v>
      </c>
      <c r="AO156" s="11">
        <f>I156*0.8</f>
        <v>0</v>
      </c>
      <c r="AP156" s="11">
        <f>I156*(1-0.8)</f>
        <v>0</v>
      </c>
      <c r="AQ156" s="12" t="s">
        <v>581</v>
      </c>
      <c r="AV156" s="11">
        <f>AW156+AX156</f>
        <v>0</v>
      </c>
      <c r="AW156" s="11">
        <f>H156*AO156</f>
        <v>0</v>
      </c>
      <c r="AX156" s="11">
        <f>H156*AP156</f>
        <v>0</v>
      </c>
      <c r="AY156" s="12" t="s">
        <v>879</v>
      </c>
      <c r="AZ156" s="12" t="s">
        <v>314</v>
      </c>
      <c r="BA156" s="40" t="s">
        <v>647</v>
      </c>
      <c r="BC156" s="11">
        <f>AW156+AX156</f>
        <v>0</v>
      </c>
      <c r="BD156" s="11">
        <f>I156/(100-BE156)*100</f>
        <v>0</v>
      </c>
      <c r="BE156" s="11">
        <v>0</v>
      </c>
      <c r="BF156" s="11">
        <f>164</f>
        <v>164</v>
      </c>
      <c r="BH156" s="11">
        <f>H156*AO156</f>
        <v>0</v>
      </c>
      <c r="BI156" s="11">
        <f>H156*AP156</f>
        <v>0</v>
      </c>
      <c r="BJ156" s="11">
        <f>H156*I156</f>
        <v>0</v>
      </c>
      <c r="BK156" s="11"/>
      <c r="BL156" s="11"/>
    </row>
    <row r="157" spans="1:64" ht="13.5" customHeight="1">
      <c r="A157" s="53"/>
      <c r="B157" s="54" t="s">
        <v>440</v>
      </c>
      <c r="C157" s="394" t="s">
        <v>464</v>
      </c>
      <c r="D157" s="395"/>
      <c r="E157" s="395"/>
      <c r="F157" s="395"/>
      <c r="G157" s="395"/>
      <c r="H157" s="395"/>
      <c r="I157" s="395"/>
      <c r="J157" s="395"/>
      <c r="K157" s="395"/>
      <c r="L157" s="395"/>
      <c r="M157" s="396"/>
    </row>
    <row r="158" spans="1:64" ht="15" customHeight="1">
      <c r="A158" s="48" t="s">
        <v>586</v>
      </c>
      <c r="B158" s="137" t="s">
        <v>116</v>
      </c>
      <c r="C158" s="392" t="s">
        <v>405</v>
      </c>
      <c r="D158" s="392"/>
      <c r="E158" s="392"/>
      <c r="F158" s="392"/>
      <c r="G158" s="50" t="s">
        <v>783</v>
      </c>
      <c r="H158" s="50" t="s">
        <v>783</v>
      </c>
      <c r="I158" s="50" t="s">
        <v>783</v>
      </c>
      <c r="J158" s="36">
        <f>SUM(J159:J159)</f>
        <v>0</v>
      </c>
      <c r="K158" s="36">
        <f>SUM(K159:K159)</f>
        <v>0</v>
      </c>
      <c r="L158" s="36">
        <f>SUM(L159:L159)</f>
        <v>0</v>
      </c>
      <c r="M158" s="51" t="s">
        <v>586</v>
      </c>
      <c r="AI158" s="40" t="s">
        <v>586</v>
      </c>
      <c r="AS158" s="36">
        <f>SUM(AJ159:AJ159)</f>
        <v>0</v>
      </c>
      <c r="AT158" s="36">
        <f>SUM(AK159:AK159)</f>
        <v>0</v>
      </c>
      <c r="AU158" s="36">
        <f>SUM(AL159:AL159)</f>
        <v>0</v>
      </c>
    </row>
    <row r="159" spans="1:64" ht="15" customHeight="1">
      <c r="A159" s="9" t="s">
        <v>338</v>
      </c>
      <c r="B159" s="10" t="s">
        <v>436</v>
      </c>
      <c r="C159" s="366" t="s">
        <v>456</v>
      </c>
      <c r="D159" s="366"/>
      <c r="E159" s="366"/>
      <c r="F159" s="366"/>
      <c r="G159" s="10" t="s">
        <v>648</v>
      </c>
      <c r="H159" s="11">
        <v>1</v>
      </c>
      <c r="I159" s="11">
        <v>0</v>
      </c>
      <c r="J159" s="11">
        <v>0</v>
      </c>
      <c r="K159" s="11">
        <v>0</v>
      </c>
      <c r="L159" s="11">
        <f>H159*I159</f>
        <v>0</v>
      </c>
      <c r="M159" s="52" t="s">
        <v>586</v>
      </c>
      <c r="Z159" s="11">
        <f>IF(AQ159="5",BJ159,0)</f>
        <v>0</v>
      </c>
      <c r="AB159" s="11">
        <f>IF(AQ159="1",BH159,0)</f>
        <v>0</v>
      </c>
      <c r="AC159" s="11">
        <f>IF(AQ159="1",BI159,0)</f>
        <v>0</v>
      </c>
      <c r="AD159" s="11">
        <f>IF(AQ159="7",BH159,0)</f>
        <v>0</v>
      </c>
      <c r="AE159" s="11">
        <f>IF(AQ159="7",BI159,0)</f>
        <v>0</v>
      </c>
      <c r="AF159" s="11">
        <f>IF(AQ159="2",BH159,0)</f>
        <v>0</v>
      </c>
      <c r="AG159" s="11">
        <f>IF(AQ159="2",BI159,0)</f>
        <v>0</v>
      </c>
      <c r="AH159" s="11">
        <f>IF(AQ159="0",BJ159,0)</f>
        <v>0</v>
      </c>
      <c r="AI159" s="40" t="s">
        <v>586</v>
      </c>
      <c r="AJ159" s="11">
        <f>IF(AN159=0,L159,0)</f>
        <v>0</v>
      </c>
      <c r="AK159" s="11">
        <f>IF(AN159=15,L159,0)</f>
        <v>0</v>
      </c>
      <c r="AL159" s="11">
        <f>IF(AN159=21,L159,0)</f>
        <v>0</v>
      </c>
      <c r="AN159" s="11">
        <v>21</v>
      </c>
      <c r="AO159" s="11">
        <f>I159*0.899084303699879</f>
        <v>0</v>
      </c>
      <c r="AP159" s="11">
        <f>I159*(1-0.899084303699879)</f>
        <v>0</v>
      </c>
      <c r="AQ159" s="12" t="s">
        <v>581</v>
      </c>
      <c r="AV159" s="11">
        <f>AW159+AX159</f>
        <v>0</v>
      </c>
      <c r="AW159" s="11">
        <f>H159*AO159</f>
        <v>0</v>
      </c>
      <c r="AX159" s="11">
        <f>H159*AP159</f>
        <v>0</v>
      </c>
      <c r="AY159" s="12" t="s">
        <v>540</v>
      </c>
      <c r="AZ159" s="12" t="s">
        <v>314</v>
      </c>
      <c r="BA159" s="40" t="s">
        <v>647</v>
      </c>
      <c r="BC159" s="11">
        <f>AW159+AX159</f>
        <v>0</v>
      </c>
      <c r="BD159" s="11">
        <f>I159/(100-BE159)*100</f>
        <v>0</v>
      </c>
      <c r="BE159" s="11">
        <v>0</v>
      </c>
      <c r="BF159" s="11">
        <f>167</f>
        <v>167</v>
      </c>
      <c r="BH159" s="11">
        <f>H159*AO159</f>
        <v>0</v>
      </c>
      <c r="BI159" s="11">
        <f>H159*AP159</f>
        <v>0</v>
      </c>
      <c r="BJ159" s="11">
        <f>H159*I159</f>
        <v>0</v>
      </c>
      <c r="BK159" s="11"/>
      <c r="BL159" s="11"/>
    </row>
    <row r="160" spans="1:64" ht="13.5" customHeight="1">
      <c r="A160" s="53"/>
      <c r="B160" s="54" t="s">
        <v>440</v>
      </c>
      <c r="C160" s="394" t="s">
        <v>464</v>
      </c>
      <c r="D160" s="395"/>
      <c r="E160" s="395"/>
      <c r="F160" s="395"/>
      <c r="G160" s="395"/>
      <c r="H160" s="395"/>
      <c r="I160" s="395"/>
      <c r="J160" s="395"/>
      <c r="K160" s="395"/>
      <c r="L160" s="395"/>
      <c r="M160" s="396"/>
    </row>
    <row r="161" spans="1:64" ht="15" customHeight="1">
      <c r="A161" s="48" t="s">
        <v>586</v>
      </c>
      <c r="B161" s="49" t="s">
        <v>50</v>
      </c>
      <c r="C161" s="392" t="s">
        <v>939</v>
      </c>
      <c r="D161" s="392"/>
      <c r="E161" s="392"/>
      <c r="F161" s="392"/>
      <c r="G161" s="50" t="s">
        <v>783</v>
      </c>
      <c r="H161" s="50" t="s">
        <v>783</v>
      </c>
      <c r="I161" s="50" t="s">
        <v>783</v>
      </c>
      <c r="J161" s="36">
        <f>SUM(J162:J168)</f>
        <v>0</v>
      </c>
      <c r="K161" s="36">
        <f>SUM(K162:K168)</f>
        <v>0</v>
      </c>
      <c r="L161" s="36">
        <f>SUM(L162:L168)</f>
        <v>0</v>
      </c>
      <c r="M161" s="51" t="s">
        <v>586</v>
      </c>
      <c r="AI161" s="40" t="s">
        <v>586</v>
      </c>
      <c r="AS161" s="36">
        <f>SUM(AJ162:AJ168)</f>
        <v>0</v>
      </c>
      <c r="AT161" s="36">
        <f>SUM(AK162:AK168)</f>
        <v>0</v>
      </c>
      <c r="AU161" s="36">
        <f>SUM(AL162:AL168)</f>
        <v>0</v>
      </c>
    </row>
    <row r="162" spans="1:64" ht="15" customHeight="1">
      <c r="A162" s="9" t="s">
        <v>108</v>
      </c>
      <c r="B162" s="10" t="s">
        <v>256</v>
      </c>
      <c r="C162" s="366" t="s">
        <v>814</v>
      </c>
      <c r="D162" s="366"/>
      <c r="E162" s="366"/>
      <c r="F162" s="366"/>
      <c r="G162" s="10" t="s">
        <v>830</v>
      </c>
      <c r="H162" s="11">
        <v>12.5</v>
      </c>
      <c r="I162" s="11">
        <v>0</v>
      </c>
      <c r="J162" s="11">
        <f>H162*AO162</f>
        <v>0</v>
      </c>
      <c r="K162" s="11">
        <f>H162*AP162</f>
        <v>0</v>
      </c>
      <c r="L162" s="11">
        <f>H162*I162</f>
        <v>0</v>
      </c>
      <c r="M162" s="52" t="s">
        <v>575</v>
      </c>
      <c r="Z162" s="11">
        <f>IF(AQ162="5",BJ162,0)</f>
        <v>0</v>
      </c>
      <c r="AB162" s="11">
        <f>IF(AQ162="1",BH162,0)</f>
        <v>0</v>
      </c>
      <c r="AC162" s="11">
        <f>IF(AQ162="1",BI162,0)</f>
        <v>0</v>
      </c>
      <c r="AD162" s="11">
        <f>IF(AQ162="7",BH162,0)</f>
        <v>0</v>
      </c>
      <c r="AE162" s="11">
        <f>IF(AQ162="7",BI162,0)</f>
        <v>0</v>
      </c>
      <c r="AF162" s="11">
        <f>IF(AQ162="2",BH162,0)</f>
        <v>0</v>
      </c>
      <c r="AG162" s="11">
        <f>IF(AQ162="2",BI162,0)</f>
        <v>0</v>
      </c>
      <c r="AH162" s="11">
        <f>IF(AQ162="0",BJ162,0)</f>
        <v>0</v>
      </c>
      <c r="AI162" s="40" t="s">
        <v>586</v>
      </c>
      <c r="AJ162" s="11">
        <f>IF(AN162=0,L162,0)</f>
        <v>0</v>
      </c>
      <c r="AK162" s="11">
        <f>IF(AN162=15,L162,0)</f>
        <v>0</v>
      </c>
      <c r="AL162" s="11">
        <f>IF(AN162=21,L162,0)</f>
        <v>0</v>
      </c>
      <c r="AN162" s="11">
        <v>21</v>
      </c>
      <c r="AO162" s="11">
        <f>I162*0.626404494382023</f>
        <v>0</v>
      </c>
      <c r="AP162" s="11">
        <f>I162*(1-0.626404494382023)</f>
        <v>0</v>
      </c>
      <c r="AQ162" s="12" t="s">
        <v>845</v>
      </c>
      <c r="AV162" s="11">
        <f>AW162+AX162</f>
        <v>0</v>
      </c>
      <c r="AW162" s="11">
        <f>H162*AO162</f>
        <v>0</v>
      </c>
      <c r="AX162" s="11">
        <f>H162*AP162</f>
        <v>0</v>
      </c>
      <c r="AY162" s="12" t="s">
        <v>735</v>
      </c>
      <c r="AZ162" s="12" t="s">
        <v>689</v>
      </c>
      <c r="BA162" s="40" t="s">
        <v>647</v>
      </c>
      <c r="BC162" s="11">
        <f>AW162+AX162</f>
        <v>0</v>
      </c>
      <c r="BD162" s="11">
        <f>I162/(100-BE162)*100</f>
        <v>0</v>
      </c>
      <c r="BE162" s="11">
        <v>0</v>
      </c>
      <c r="BF162" s="11">
        <f>170</f>
        <v>170</v>
      </c>
      <c r="BH162" s="11">
        <f>H162*AO162</f>
        <v>0</v>
      </c>
      <c r="BI162" s="11">
        <f>H162*AP162</f>
        <v>0</v>
      </c>
      <c r="BJ162" s="11">
        <f>H162*I162</f>
        <v>0</v>
      </c>
      <c r="BK162" s="11"/>
      <c r="BL162" s="11">
        <v>711</v>
      </c>
    </row>
    <row r="163" spans="1:64" ht="13.5" customHeight="1">
      <c r="A163" s="53"/>
      <c r="B163" s="54" t="s">
        <v>440</v>
      </c>
      <c r="C163" s="394" t="s">
        <v>614</v>
      </c>
      <c r="D163" s="395"/>
      <c r="E163" s="395"/>
      <c r="F163" s="395"/>
      <c r="G163" s="395"/>
      <c r="H163" s="395"/>
      <c r="I163" s="395"/>
      <c r="J163" s="395"/>
      <c r="K163" s="395"/>
      <c r="L163" s="395"/>
      <c r="M163" s="396"/>
    </row>
    <row r="164" spans="1:64" ht="15" customHeight="1">
      <c r="A164" s="9" t="s">
        <v>923</v>
      </c>
      <c r="B164" s="10" t="s">
        <v>161</v>
      </c>
      <c r="C164" s="366" t="s">
        <v>170</v>
      </c>
      <c r="D164" s="366"/>
      <c r="E164" s="366"/>
      <c r="F164" s="366"/>
      <c r="G164" s="10" t="s">
        <v>830</v>
      </c>
      <c r="H164" s="11">
        <v>141.96</v>
      </c>
      <c r="I164" s="11">
        <v>0</v>
      </c>
      <c r="J164" s="11">
        <f>H164*AO164</f>
        <v>0</v>
      </c>
      <c r="K164" s="11">
        <f>H164*AP164</f>
        <v>0</v>
      </c>
      <c r="L164" s="11">
        <f>H164*I164</f>
        <v>0</v>
      </c>
      <c r="M164" s="52" t="s">
        <v>575</v>
      </c>
      <c r="Z164" s="11">
        <f>IF(AQ164="5",BJ164,0)</f>
        <v>0</v>
      </c>
      <c r="AB164" s="11">
        <f>IF(AQ164="1",BH164,0)</f>
        <v>0</v>
      </c>
      <c r="AC164" s="11">
        <f>IF(AQ164="1",BI164,0)</f>
        <v>0</v>
      </c>
      <c r="AD164" s="11">
        <f>IF(AQ164="7",BH164,0)</f>
        <v>0</v>
      </c>
      <c r="AE164" s="11">
        <f>IF(AQ164="7",BI164,0)</f>
        <v>0</v>
      </c>
      <c r="AF164" s="11">
        <f>IF(AQ164="2",BH164,0)</f>
        <v>0</v>
      </c>
      <c r="AG164" s="11">
        <f>IF(AQ164="2",BI164,0)</f>
        <v>0</v>
      </c>
      <c r="AH164" s="11">
        <f>IF(AQ164="0",BJ164,0)</f>
        <v>0</v>
      </c>
      <c r="AI164" s="40" t="s">
        <v>586</v>
      </c>
      <c r="AJ164" s="11">
        <f>IF(AN164=0,L164,0)</f>
        <v>0</v>
      </c>
      <c r="AK164" s="11">
        <f>IF(AN164=15,L164,0)</f>
        <v>0</v>
      </c>
      <c r="AL164" s="11">
        <f>IF(AN164=21,L164,0)</f>
        <v>0</v>
      </c>
      <c r="AN164" s="11">
        <v>21</v>
      </c>
      <c r="AO164" s="11">
        <f>I164*0.673041825830472</f>
        <v>0</v>
      </c>
      <c r="AP164" s="11">
        <f>I164*(1-0.673041825830472)</f>
        <v>0</v>
      </c>
      <c r="AQ164" s="12" t="s">
        <v>845</v>
      </c>
      <c r="AV164" s="11">
        <f>AW164+AX164</f>
        <v>0</v>
      </c>
      <c r="AW164" s="11">
        <f>H164*AO164</f>
        <v>0</v>
      </c>
      <c r="AX164" s="11">
        <f>H164*AP164</f>
        <v>0</v>
      </c>
      <c r="AY164" s="12" t="s">
        <v>735</v>
      </c>
      <c r="AZ164" s="12" t="s">
        <v>689</v>
      </c>
      <c r="BA164" s="40" t="s">
        <v>647</v>
      </c>
      <c r="BC164" s="11">
        <f>AW164+AX164</f>
        <v>0</v>
      </c>
      <c r="BD164" s="11">
        <f>I164/(100-BE164)*100</f>
        <v>0</v>
      </c>
      <c r="BE164" s="11">
        <v>0</v>
      </c>
      <c r="BF164" s="11">
        <f>172</f>
        <v>172</v>
      </c>
      <c r="BH164" s="11">
        <f>H164*AO164</f>
        <v>0</v>
      </c>
      <c r="BI164" s="11">
        <f>H164*AP164</f>
        <v>0</v>
      </c>
      <c r="BJ164" s="11">
        <f>H164*I164</f>
        <v>0</v>
      </c>
      <c r="BK164" s="11"/>
      <c r="BL164" s="11">
        <v>711</v>
      </c>
    </row>
    <row r="165" spans="1:64" ht="13.5" customHeight="1">
      <c r="A165" s="53"/>
      <c r="B165" s="54" t="s">
        <v>440</v>
      </c>
      <c r="C165" s="394" t="s">
        <v>725</v>
      </c>
      <c r="D165" s="395"/>
      <c r="E165" s="395"/>
      <c r="F165" s="395"/>
      <c r="G165" s="395"/>
      <c r="H165" s="395"/>
      <c r="I165" s="395"/>
      <c r="J165" s="395"/>
      <c r="K165" s="395"/>
      <c r="L165" s="395"/>
      <c r="M165" s="396"/>
    </row>
    <row r="166" spans="1:64" ht="15" customHeight="1">
      <c r="A166" s="9" t="s">
        <v>413</v>
      </c>
      <c r="B166" s="10" t="s">
        <v>161</v>
      </c>
      <c r="C166" s="366" t="s">
        <v>170</v>
      </c>
      <c r="D166" s="366"/>
      <c r="E166" s="366"/>
      <c r="F166" s="366"/>
      <c r="G166" s="10" t="s">
        <v>830</v>
      </c>
      <c r="H166" s="11">
        <v>141.96</v>
      </c>
      <c r="I166" s="11">
        <v>0</v>
      </c>
      <c r="J166" s="11">
        <f>H166*AO166</f>
        <v>0</v>
      </c>
      <c r="K166" s="11">
        <f>H166*AP166</f>
        <v>0</v>
      </c>
      <c r="L166" s="11">
        <f>H166*I166</f>
        <v>0</v>
      </c>
      <c r="M166" s="52" t="s">
        <v>575</v>
      </c>
      <c r="Z166" s="11">
        <f>IF(AQ166="5",BJ166,0)</f>
        <v>0</v>
      </c>
      <c r="AB166" s="11">
        <f>IF(AQ166="1",BH166,0)</f>
        <v>0</v>
      </c>
      <c r="AC166" s="11">
        <f>IF(AQ166="1",BI166,0)</f>
        <v>0</v>
      </c>
      <c r="AD166" s="11">
        <f>IF(AQ166="7",BH166,0)</f>
        <v>0</v>
      </c>
      <c r="AE166" s="11">
        <f>IF(AQ166="7",BI166,0)</f>
        <v>0</v>
      </c>
      <c r="AF166" s="11">
        <f>IF(AQ166="2",BH166,0)</f>
        <v>0</v>
      </c>
      <c r="AG166" s="11">
        <f>IF(AQ166="2",BI166,0)</f>
        <v>0</v>
      </c>
      <c r="AH166" s="11">
        <f>IF(AQ166="0",BJ166,0)</f>
        <v>0</v>
      </c>
      <c r="AI166" s="40" t="s">
        <v>586</v>
      </c>
      <c r="AJ166" s="11">
        <f>IF(AN166=0,L166,0)</f>
        <v>0</v>
      </c>
      <c r="AK166" s="11">
        <f>IF(AN166=15,L166,0)</f>
        <v>0</v>
      </c>
      <c r="AL166" s="11">
        <f>IF(AN166=21,L166,0)</f>
        <v>0</v>
      </c>
      <c r="AN166" s="11">
        <v>21</v>
      </c>
      <c r="AO166" s="11">
        <f>I166*0.673041825830472</f>
        <v>0</v>
      </c>
      <c r="AP166" s="11">
        <f>I166*(1-0.673041825830472)</f>
        <v>0</v>
      </c>
      <c r="AQ166" s="12" t="s">
        <v>845</v>
      </c>
      <c r="AV166" s="11">
        <f>AW166+AX166</f>
        <v>0</v>
      </c>
      <c r="AW166" s="11">
        <f>H166*AO166</f>
        <v>0</v>
      </c>
      <c r="AX166" s="11">
        <f>H166*AP166</f>
        <v>0</v>
      </c>
      <c r="AY166" s="12" t="s">
        <v>735</v>
      </c>
      <c r="AZ166" s="12" t="s">
        <v>689</v>
      </c>
      <c r="BA166" s="40" t="s">
        <v>647</v>
      </c>
      <c r="BC166" s="11">
        <f>AW166+AX166</f>
        <v>0</v>
      </c>
      <c r="BD166" s="11">
        <f>I166/(100-BE166)*100</f>
        <v>0</v>
      </c>
      <c r="BE166" s="11">
        <v>0</v>
      </c>
      <c r="BF166" s="11">
        <f>174</f>
        <v>174</v>
      </c>
      <c r="BH166" s="11">
        <f>H166*AO166</f>
        <v>0</v>
      </c>
      <c r="BI166" s="11">
        <f>H166*AP166</f>
        <v>0</v>
      </c>
      <c r="BJ166" s="11">
        <f>H166*I166</f>
        <v>0</v>
      </c>
      <c r="BK166" s="11"/>
      <c r="BL166" s="11">
        <v>711</v>
      </c>
    </row>
    <row r="167" spans="1:64" ht="13.5" customHeight="1">
      <c r="A167" s="53"/>
      <c r="B167" s="54" t="s">
        <v>440</v>
      </c>
      <c r="C167" s="394" t="s">
        <v>725</v>
      </c>
      <c r="D167" s="395"/>
      <c r="E167" s="395"/>
      <c r="F167" s="395"/>
      <c r="G167" s="395"/>
      <c r="H167" s="395"/>
      <c r="I167" s="395"/>
      <c r="J167" s="395"/>
      <c r="K167" s="395"/>
      <c r="L167" s="395"/>
      <c r="M167" s="396"/>
    </row>
    <row r="168" spans="1:64" ht="15" customHeight="1">
      <c r="A168" s="9" t="s">
        <v>694</v>
      </c>
      <c r="B168" s="10" t="s">
        <v>800</v>
      </c>
      <c r="C168" s="366" t="s">
        <v>661</v>
      </c>
      <c r="D168" s="366"/>
      <c r="E168" s="366"/>
      <c r="F168" s="366"/>
      <c r="G168" s="10" t="s">
        <v>401</v>
      </c>
      <c r="H168" s="11">
        <v>1.0129999999999999</v>
      </c>
      <c r="I168" s="11">
        <v>0</v>
      </c>
      <c r="J168" s="11">
        <f>H168*AO168</f>
        <v>0</v>
      </c>
      <c r="K168" s="11">
        <f>H168*AP168</f>
        <v>0</v>
      </c>
      <c r="L168" s="11">
        <f>H168*I168</f>
        <v>0</v>
      </c>
      <c r="M168" s="52" t="s">
        <v>575</v>
      </c>
      <c r="Z168" s="11">
        <f>IF(AQ168="5",BJ168,0)</f>
        <v>0</v>
      </c>
      <c r="AB168" s="11">
        <f>IF(AQ168="1",BH168,0)</f>
        <v>0</v>
      </c>
      <c r="AC168" s="11">
        <f>IF(AQ168="1",BI168,0)</f>
        <v>0</v>
      </c>
      <c r="AD168" s="11">
        <f>IF(AQ168="7",BH168,0)</f>
        <v>0</v>
      </c>
      <c r="AE168" s="11">
        <f>IF(AQ168="7",BI168,0)</f>
        <v>0</v>
      </c>
      <c r="AF168" s="11">
        <f>IF(AQ168="2",BH168,0)</f>
        <v>0</v>
      </c>
      <c r="AG168" s="11">
        <f>IF(AQ168="2",BI168,0)</f>
        <v>0</v>
      </c>
      <c r="AH168" s="11">
        <f>IF(AQ168="0",BJ168,0)</f>
        <v>0</v>
      </c>
      <c r="AI168" s="40" t="s">
        <v>586</v>
      </c>
      <c r="AJ168" s="11">
        <f>IF(AN168=0,L168,0)</f>
        <v>0</v>
      </c>
      <c r="AK168" s="11">
        <f>IF(AN168=15,L168,0)</f>
        <v>0</v>
      </c>
      <c r="AL168" s="11">
        <f>IF(AN168=21,L168,0)</f>
        <v>0</v>
      </c>
      <c r="AN168" s="11">
        <v>21</v>
      </c>
      <c r="AO168" s="11">
        <f>I168*0</f>
        <v>0</v>
      </c>
      <c r="AP168" s="11">
        <f>I168*(1-0)</f>
        <v>0</v>
      </c>
      <c r="AQ168" s="12" t="s">
        <v>454</v>
      </c>
      <c r="AV168" s="11">
        <f>AW168+AX168</f>
        <v>0</v>
      </c>
      <c r="AW168" s="11">
        <f>H168*AO168</f>
        <v>0</v>
      </c>
      <c r="AX168" s="11">
        <f>H168*AP168</f>
        <v>0</v>
      </c>
      <c r="AY168" s="12" t="s">
        <v>735</v>
      </c>
      <c r="AZ168" s="12" t="s">
        <v>689</v>
      </c>
      <c r="BA168" s="40" t="s">
        <v>647</v>
      </c>
      <c r="BC168" s="11">
        <f>AW168+AX168</f>
        <v>0</v>
      </c>
      <c r="BD168" s="11">
        <f>I168/(100-BE168)*100</f>
        <v>0</v>
      </c>
      <c r="BE168" s="11">
        <v>0</v>
      </c>
      <c r="BF168" s="11">
        <f>176</f>
        <v>176</v>
      </c>
      <c r="BH168" s="11">
        <f>H168*AO168</f>
        <v>0</v>
      </c>
      <c r="BI168" s="11">
        <f>H168*AP168</f>
        <v>0</v>
      </c>
      <c r="BJ168" s="11">
        <f>H168*I168</f>
        <v>0</v>
      </c>
      <c r="BK168" s="11"/>
      <c r="BL168" s="11">
        <v>711</v>
      </c>
    </row>
    <row r="169" spans="1:64" ht="15" customHeight="1">
      <c r="A169" s="48" t="s">
        <v>586</v>
      </c>
      <c r="B169" s="49" t="s">
        <v>542</v>
      </c>
      <c r="C169" s="392" t="s">
        <v>948</v>
      </c>
      <c r="D169" s="392"/>
      <c r="E169" s="392"/>
      <c r="F169" s="392"/>
      <c r="G169" s="50" t="s">
        <v>783</v>
      </c>
      <c r="H169" s="50" t="s">
        <v>783</v>
      </c>
      <c r="I169" s="50" t="s">
        <v>783</v>
      </c>
      <c r="J169" s="36">
        <f>SUM(J170:J188)</f>
        <v>0</v>
      </c>
      <c r="K169" s="36">
        <f>SUM(K170:K188)</f>
        <v>0</v>
      </c>
      <c r="L169" s="36">
        <f>SUM(L170:L188)</f>
        <v>0</v>
      </c>
      <c r="M169" s="51" t="s">
        <v>586</v>
      </c>
      <c r="AI169" s="40" t="s">
        <v>586</v>
      </c>
      <c r="AS169" s="36">
        <f>SUM(AJ170:AJ188)</f>
        <v>0</v>
      </c>
      <c r="AT169" s="36">
        <f>SUM(AK170:AK188)</f>
        <v>0</v>
      </c>
      <c r="AU169" s="36">
        <f>SUM(AL170:AL188)</f>
        <v>0</v>
      </c>
    </row>
    <row r="170" spans="1:64" ht="15" customHeight="1">
      <c r="A170" s="9" t="s">
        <v>400</v>
      </c>
      <c r="B170" s="10" t="s">
        <v>359</v>
      </c>
      <c r="C170" s="366" t="s">
        <v>386</v>
      </c>
      <c r="D170" s="366"/>
      <c r="E170" s="366"/>
      <c r="F170" s="366"/>
      <c r="G170" s="10" t="s">
        <v>700</v>
      </c>
      <c r="H170" s="11">
        <v>14</v>
      </c>
      <c r="I170" s="11">
        <v>0</v>
      </c>
      <c r="J170" s="11">
        <f t="shared" ref="J170:J178" si="112">H170*AO170</f>
        <v>0</v>
      </c>
      <c r="K170" s="11">
        <f t="shared" ref="K170:K178" si="113">H170*AP170</f>
        <v>0</v>
      </c>
      <c r="L170" s="11">
        <f t="shared" ref="L170:L178" si="114">H170*I170</f>
        <v>0</v>
      </c>
      <c r="M170" s="52" t="s">
        <v>575</v>
      </c>
      <c r="Z170" s="11">
        <f t="shared" ref="Z170:Z178" si="115">IF(AQ170="5",BJ170,0)</f>
        <v>0</v>
      </c>
      <c r="AB170" s="11">
        <f t="shared" ref="AB170:AB178" si="116">IF(AQ170="1",BH170,0)</f>
        <v>0</v>
      </c>
      <c r="AC170" s="11">
        <f t="shared" ref="AC170:AC178" si="117">IF(AQ170="1",BI170,0)</f>
        <v>0</v>
      </c>
      <c r="AD170" s="11">
        <f t="shared" ref="AD170:AD178" si="118">IF(AQ170="7",BH170,0)</f>
        <v>0</v>
      </c>
      <c r="AE170" s="11">
        <f t="shared" ref="AE170:AE178" si="119">IF(AQ170="7",BI170,0)</f>
        <v>0</v>
      </c>
      <c r="AF170" s="11">
        <f t="shared" ref="AF170:AF178" si="120">IF(AQ170="2",BH170,0)</f>
        <v>0</v>
      </c>
      <c r="AG170" s="11">
        <f t="shared" ref="AG170:AG178" si="121">IF(AQ170="2",BI170,0)</f>
        <v>0</v>
      </c>
      <c r="AH170" s="11">
        <f t="shared" ref="AH170:AH178" si="122">IF(AQ170="0",BJ170,0)</f>
        <v>0</v>
      </c>
      <c r="AI170" s="40" t="s">
        <v>586</v>
      </c>
      <c r="AJ170" s="11">
        <f t="shared" ref="AJ170:AJ178" si="123">IF(AN170=0,L170,0)</f>
        <v>0</v>
      </c>
      <c r="AK170" s="11">
        <f t="shared" ref="AK170:AK178" si="124">IF(AN170=15,L170,0)</f>
        <v>0</v>
      </c>
      <c r="AL170" s="11">
        <f t="shared" ref="AL170:AL178" si="125">IF(AN170=21,L170,0)</f>
        <v>0</v>
      </c>
      <c r="AN170" s="11">
        <v>21</v>
      </c>
      <c r="AO170" s="11">
        <f>I170*0.398747225213741</f>
        <v>0</v>
      </c>
      <c r="AP170" s="11">
        <f>I170*(1-0.398747225213741)</f>
        <v>0</v>
      </c>
      <c r="AQ170" s="12" t="s">
        <v>845</v>
      </c>
      <c r="AV170" s="11">
        <f t="shared" ref="AV170:AV178" si="126">AW170+AX170</f>
        <v>0</v>
      </c>
      <c r="AW170" s="11">
        <f t="shared" ref="AW170:AW178" si="127">H170*AO170</f>
        <v>0</v>
      </c>
      <c r="AX170" s="11">
        <f t="shared" ref="AX170:AX178" si="128">H170*AP170</f>
        <v>0</v>
      </c>
      <c r="AY170" s="12" t="s">
        <v>129</v>
      </c>
      <c r="AZ170" s="12" t="s">
        <v>52</v>
      </c>
      <c r="BA170" s="40" t="s">
        <v>647</v>
      </c>
      <c r="BC170" s="11">
        <f t="shared" ref="BC170:BC178" si="129">AW170+AX170</f>
        <v>0</v>
      </c>
      <c r="BD170" s="11">
        <f t="shared" ref="BD170:BD178" si="130">I170/(100-BE170)*100</f>
        <v>0</v>
      </c>
      <c r="BE170" s="11">
        <v>0</v>
      </c>
      <c r="BF170" s="11">
        <f>178</f>
        <v>178</v>
      </c>
      <c r="BH170" s="11">
        <f t="shared" ref="BH170:BH178" si="131">H170*AO170</f>
        <v>0</v>
      </c>
      <c r="BI170" s="11">
        <f t="shared" ref="BI170:BI178" si="132">H170*AP170</f>
        <v>0</v>
      </c>
      <c r="BJ170" s="11">
        <f t="shared" ref="BJ170:BJ178" si="133">H170*I170</f>
        <v>0</v>
      </c>
      <c r="BK170" s="11"/>
      <c r="BL170" s="11">
        <v>721</v>
      </c>
    </row>
    <row r="171" spans="1:64" ht="15" customHeight="1">
      <c r="A171" s="9" t="s">
        <v>543</v>
      </c>
      <c r="B171" s="10" t="s">
        <v>23</v>
      </c>
      <c r="C171" s="366" t="s">
        <v>750</v>
      </c>
      <c r="D171" s="366"/>
      <c r="E171" s="366"/>
      <c r="F171" s="366"/>
      <c r="G171" s="10" t="s">
        <v>700</v>
      </c>
      <c r="H171" s="11">
        <v>19</v>
      </c>
      <c r="I171" s="11">
        <v>0</v>
      </c>
      <c r="J171" s="11">
        <f t="shared" si="112"/>
        <v>0</v>
      </c>
      <c r="K171" s="11">
        <f t="shared" si="113"/>
        <v>0</v>
      </c>
      <c r="L171" s="11">
        <f t="shared" si="114"/>
        <v>0</v>
      </c>
      <c r="M171" s="52" t="s">
        <v>575</v>
      </c>
      <c r="Z171" s="11">
        <f t="shared" si="115"/>
        <v>0</v>
      </c>
      <c r="AB171" s="11">
        <f t="shared" si="116"/>
        <v>0</v>
      </c>
      <c r="AC171" s="11">
        <f t="shared" si="117"/>
        <v>0</v>
      </c>
      <c r="AD171" s="11">
        <f t="shared" si="118"/>
        <v>0</v>
      </c>
      <c r="AE171" s="11">
        <f t="shared" si="119"/>
        <v>0</v>
      </c>
      <c r="AF171" s="11">
        <f t="shared" si="120"/>
        <v>0</v>
      </c>
      <c r="AG171" s="11">
        <f t="shared" si="121"/>
        <v>0</v>
      </c>
      <c r="AH171" s="11">
        <f t="shared" si="122"/>
        <v>0</v>
      </c>
      <c r="AI171" s="40" t="s">
        <v>586</v>
      </c>
      <c r="AJ171" s="11">
        <f t="shared" si="123"/>
        <v>0</v>
      </c>
      <c r="AK171" s="11">
        <f t="shared" si="124"/>
        <v>0</v>
      </c>
      <c r="AL171" s="11">
        <f t="shared" si="125"/>
        <v>0</v>
      </c>
      <c r="AN171" s="11">
        <v>21</v>
      </c>
      <c r="AO171" s="11">
        <f>I171*0.429154251941582</f>
        <v>0</v>
      </c>
      <c r="AP171" s="11">
        <f>I171*(1-0.429154251941582)</f>
        <v>0</v>
      </c>
      <c r="AQ171" s="12" t="s">
        <v>845</v>
      </c>
      <c r="AV171" s="11">
        <f t="shared" si="126"/>
        <v>0</v>
      </c>
      <c r="AW171" s="11">
        <f t="shared" si="127"/>
        <v>0</v>
      </c>
      <c r="AX171" s="11">
        <f t="shared" si="128"/>
        <v>0</v>
      </c>
      <c r="AY171" s="12" t="s">
        <v>129</v>
      </c>
      <c r="AZ171" s="12" t="s">
        <v>52</v>
      </c>
      <c r="BA171" s="40" t="s">
        <v>647</v>
      </c>
      <c r="BC171" s="11">
        <f t="shared" si="129"/>
        <v>0</v>
      </c>
      <c r="BD171" s="11">
        <f t="shared" si="130"/>
        <v>0</v>
      </c>
      <c r="BE171" s="11">
        <v>0</v>
      </c>
      <c r="BF171" s="11">
        <f>179</f>
        <v>179</v>
      </c>
      <c r="BH171" s="11">
        <f t="shared" si="131"/>
        <v>0</v>
      </c>
      <c r="BI171" s="11">
        <f t="shared" si="132"/>
        <v>0</v>
      </c>
      <c r="BJ171" s="11">
        <f t="shared" si="133"/>
        <v>0</v>
      </c>
      <c r="BK171" s="11"/>
      <c r="BL171" s="11">
        <v>721</v>
      </c>
    </row>
    <row r="172" spans="1:64" ht="15" customHeight="1">
      <c r="A172" s="9" t="s">
        <v>912</v>
      </c>
      <c r="B172" s="10" t="s">
        <v>36</v>
      </c>
      <c r="C172" s="366" t="s">
        <v>604</v>
      </c>
      <c r="D172" s="366"/>
      <c r="E172" s="366"/>
      <c r="F172" s="366"/>
      <c r="G172" s="10" t="s">
        <v>700</v>
      </c>
      <c r="H172" s="11">
        <v>53</v>
      </c>
      <c r="I172" s="11">
        <v>0</v>
      </c>
      <c r="J172" s="11">
        <f t="shared" si="112"/>
        <v>0</v>
      </c>
      <c r="K172" s="11">
        <f t="shared" si="113"/>
        <v>0</v>
      </c>
      <c r="L172" s="11">
        <f t="shared" si="114"/>
        <v>0</v>
      </c>
      <c r="M172" s="52" t="s">
        <v>575</v>
      </c>
      <c r="Z172" s="11">
        <f t="shared" si="115"/>
        <v>0</v>
      </c>
      <c r="AB172" s="11">
        <f t="shared" si="116"/>
        <v>0</v>
      </c>
      <c r="AC172" s="11">
        <f t="shared" si="117"/>
        <v>0</v>
      </c>
      <c r="AD172" s="11">
        <f t="shared" si="118"/>
        <v>0</v>
      </c>
      <c r="AE172" s="11">
        <f t="shared" si="119"/>
        <v>0</v>
      </c>
      <c r="AF172" s="11">
        <f t="shared" si="120"/>
        <v>0</v>
      </c>
      <c r="AG172" s="11">
        <f t="shared" si="121"/>
        <v>0</v>
      </c>
      <c r="AH172" s="11">
        <f t="shared" si="122"/>
        <v>0</v>
      </c>
      <c r="AI172" s="40" t="s">
        <v>586</v>
      </c>
      <c r="AJ172" s="11">
        <f t="shared" si="123"/>
        <v>0</v>
      </c>
      <c r="AK172" s="11">
        <f t="shared" si="124"/>
        <v>0</v>
      </c>
      <c r="AL172" s="11">
        <f t="shared" si="125"/>
        <v>0</v>
      </c>
      <c r="AN172" s="11">
        <v>21</v>
      </c>
      <c r="AO172" s="11">
        <f>I172*0.535819935691318</f>
        <v>0</v>
      </c>
      <c r="AP172" s="11">
        <f>I172*(1-0.535819935691318)</f>
        <v>0</v>
      </c>
      <c r="AQ172" s="12" t="s">
        <v>845</v>
      </c>
      <c r="AV172" s="11">
        <f t="shared" si="126"/>
        <v>0</v>
      </c>
      <c r="AW172" s="11">
        <f t="shared" si="127"/>
        <v>0</v>
      </c>
      <c r="AX172" s="11">
        <f t="shared" si="128"/>
        <v>0</v>
      </c>
      <c r="AY172" s="12" t="s">
        <v>129</v>
      </c>
      <c r="AZ172" s="12" t="s">
        <v>52</v>
      </c>
      <c r="BA172" s="40" t="s">
        <v>647</v>
      </c>
      <c r="BC172" s="11">
        <f t="shared" si="129"/>
        <v>0</v>
      </c>
      <c r="BD172" s="11">
        <f t="shared" si="130"/>
        <v>0</v>
      </c>
      <c r="BE172" s="11">
        <v>0</v>
      </c>
      <c r="BF172" s="11">
        <f>180</f>
        <v>180</v>
      </c>
      <c r="BH172" s="11">
        <f t="shared" si="131"/>
        <v>0</v>
      </c>
      <c r="BI172" s="11">
        <f t="shared" si="132"/>
        <v>0</v>
      </c>
      <c r="BJ172" s="11">
        <f t="shared" si="133"/>
        <v>0</v>
      </c>
      <c r="BK172" s="11"/>
      <c r="BL172" s="11">
        <v>721</v>
      </c>
    </row>
    <row r="173" spans="1:64" ht="15" customHeight="1">
      <c r="A173" s="9" t="s">
        <v>593</v>
      </c>
      <c r="B173" s="10" t="s">
        <v>375</v>
      </c>
      <c r="C173" s="366" t="s">
        <v>372</v>
      </c>
      <c r="D173" s="366"/>
      <c r="E173" s="366"/>
      <c r="F173" s="366"/>
      <c r="G173" s="10" t="s">
        <v>216</v>
      </c>
      <c r="H173" s="11">
        <v>1</v>
      </c>
      <c r="I173" s="11">
        <v>0</v>
      </c>
      <c r="J173" s="11">
        <f t="shared" si="112"/>
        <v>0</v>
      </c>
      <c r="K173" s="11">
        <f t="shared" si="113"/>
        <v>0</v>
      </c>
      <c r="L173" s="11">
        <f t="shared" si="114"/>
        <v>0</v>
      </c>
      <c r="M173" s="52" t="s">
        <v>575</v>
      </c>
      <c r="Z173" s="11">
        <f t="shared" si="115"/>
        <v>0</v>
      </c>
      <c r="AB173" s="11">
        <f t="shared" si="116"/>
        <v>0</v>
      </c>
      <c r="AC173" s="11">
        <f t="shared" si="117"/>
        <v>0</v>
      </c>
      <c r="AD173" s="11">
        <f t="shared" si="118"/>
        <v>0</v>
      </c>
      <c r="AE173" s="11">
        <f t="shared" si="119"/>
        <v>0</v>
      </c>
      <c r="AF173" s="11">
        <f t="shared" si="120"/>
        <v>0</v>
      </c>
      <c r="AG173" s="11">
        <f t="shared" si="121"/>
        <v>0</v>
      </c>
      <c r="AH173" s="11">
        <f t="shared" si="122"/>
        <v>0</v>
      </c>
      <c r="AI173" s="40" t="s">
        <v>586</v>
      </c>
      <c r="AJ173" s="11">
        <f t="shared" si="123"/>
        <v>0</v>
      </c>
      <c r="AK173" s="11">
        <f t="shared" si="124"/>
        <v>0</v>
      </c>
      <c r="AL173" s="11">
        <f t="shared" si="125"/>
        <v>0</v>
      </c>
      <c r="AN173" s="11">
        <v>21</v>
      </c>
      <c r="AO173" s="11">
        <f>I173*0.247151162790698</f>
        <v>0</v>
      </c>
      <c r="AP173" s="11">
        <f>I173*(1-0.247151162790698)</f>
        <v>0</v>
      </c>
      <c r="AQ173" s="12" t="s">
        <v>845</v>
      </c>
      <c r="AV173" s="11">
        <f t="shared" si="126"/>
        <v>0</v>
      </c>
      <c r="AW173" s="11">
        <f t="shared" si="127"/>
        <v>0</v>
      </c>
      <c r="AX173" s="11">
        <f t="shared" si="128"/>
        <v>0</v>
      </c>
      <c r="AY173" s="12" t="s">
        <v>129</v>
      </c>
      <c r="AZ173" s="12" t="s">
        <v>52</v>
      </c>
      <c r="BA173" s="40" t="s">
        <v>647</v>
      </c>
      <c r="BC173" s="11">
        <f t="shared" si="129"/>
        <v>0</v>
      </c>
      <c r="BD173" s="11">
        <f t="shared" si="130"/>
        <v>0</v>
      </c>
      <c r="BE173" s="11">
        <v>0</v>
      </c>
      <c r="BF173" s="11">
        <f>181</f>
        <v>181</v>
      </c>
      <c r="BH173" s="11">
        <f t="shared" si="131"/>
        <v>0</v>
      </c>
      <c r="BI173" s="11">
        <f t="shared" si="132"/>
        <v>0</v>
      </c>
      <c r="BJ173" s="11">
        <f t="shared" si="133"/>
        <v>0</v>
      </c>
      <c r="BK173" s="11"/>
      <c r="BL173" s="11">
        <v>721</v>
      </c>
    </row>
    <row r="174" spans="1:64" ht="15" customHeight="1">
      <c r="A174" s="9" t="s">
        <v>921</v>
      </c>
      <c r="B174" s="10" t="s">
        <v>649</v>
      </c>
      <c r="C174" s="366" t="s">
        <v>674</v>
      </c>
      <c r="D174" s="366"/>
      <c r="E174" s="366"/>
      <c r="F174" s="366"/>
      <c r="G174" s="10" t="s">
        <v>216</v>
      </c>
      <c r="H174" s="11">
        <v>3</v>
      </c>
      <c r="I174" s="11">
        <v>0</v>
      </c>
      <c r="J174" s="11">
        <f t="shared" si="112"/>
        <v>0</v>
      </c>
      <c r="K174" s="11">
        <f t="shared" si="113"/>
        <v>0</v>
      </c>
      <c r="L174" s="11">
        <f t="shared" si="114"/>
        <v>0</v>
      </c>
      <c r="M174" s="52" t="s">
        <v>575</v>
      </c>
      <c r="Z174" s="11">
        <f t="shared" si="115"/>
        <v>0</v>
      </c>
      <c r="AB174" s="11">
        <f t="shared" si="116"/>
        <v>0</v>
      </c>
      <c r="AC174" s="11">
        <f t="shared" si="117"/>
        <v>0</v>
      </c>
      <c r="AD174" s="11">
        <f t="shared" si="118"/>
        <v>0</v>
      </c>
      <c r="AE174" s="11">
        <f t="shared" si="119"/>
        <v>0</v>
      </c>
      <c r="AF174" s="11">
        <f t="shared" si="120"/>
        <v>0</v>
      </c>
      <c r="AG174" s="11">
        <f t="shared" si="121"/>
        <v>0</v>
      </c>
      <c r="AH174" s="11">
        <f t="shared" si="122"/>
        <v>0</v>
      </c>
      <c r="AI174" s="40" t="s">
        <v>586</v>
      </c>
      <c r="AJ174" s="11">
        <f t="shared" si="123"/>
        <v>0</v>
      </c>
      <c r="AK174" s="11">
        <f t="shared" si="124"/>
        <v>0</v>
      </c>
      <c r="AL174" s="11">
        <f t="shared" si="125"/>
        <v>0</v>
      </c>
      <c r="AN174" s="11">
        <v>21</v>
      </c>
      <c r="AO174" s="11">
        <f>I174*0.250500963391137</f>
        <v>0</v>
      </c>
      <c r="AP174" s="11">
        <f>I174*(1-0.250500963391137)</f>
        <v>0</v>
      </c>
      <c r="AQ174" s="12" t="s">
        <v>845</v>
      </c>
      <c r="AV174" s="11">
        <f t="shared" si="126"/>
        <v>0</v>
      </c>
      <c r="AW174" s="11">
        <f t="shared" si="127"/>
        <v>0</v>
      </c>
      <c r="AX174" s="11">
        <f t="shared" si="128"/>
        <v>0</v>
      </c>
      <c r="AY174" s="12" t="s">
        <v>129</v>
      </c>
      <c r="AZ174" s="12" t="s">
        <v>52</v>
      </c>
      <c r="BA174" s="40" t="s">
        <v>647</v>
      </c>
      <c r="BC174" s="11">
        <f t="shared" si="129"/>
        <v>0</v>
      </c>
      <c r="BD174" s="11">
        <f t="shared" si="130"/>
        <v>0</v>
      </c>
      <c r="BE174" s="11">
        <v>0</v>
      </c>
      <c r="BF174" s="11">
        <f>182</f>
        <v>182</v>
      </c>
      <c r="BH174" s="11">
        <f t="shared" si="131"/>
        <v>0</v>
      </c>
      <c r="BI174" s="11">
        <f t="shared" si="132"/>
        <v>0</v>
      </c>
      <c r="BJ174" s="11">
        <f t="shared" si="133"/>
        <v>0</v>
      </c>
      <c r="BK174" s="11"/>
      <c r="BL174" s="11">
        <v>721</v>
      </c>
    </row>
    <row r="175" spans="1:64" ht="15" customHeight="1">
      <c r="A175" s="9" t="s">
        <v>872</v>
      </c>
      <c r="B175" s="10" t="s">
        <v>452</v>
      </c>
      <c r="C175" s="366" t="s">
        <v>797</v>
      </c>
      <c r="D175" s="366"/>
      <c r="E175" s="366"/>
      <c r="F175" s="366"/>
      <c r="G175" s="10" t="s">
        <v>216</v>
      </c>
      <c r="H175" s="11">
        <v>17</v>
      </c>
      <c r="I175" s="11">
        <v>0</v>
      </c>
      <c r="J175" s="11">
        <f t="shared" si="112"/>
        <v>0</v>
      </c>
      <c r="K175" s="11">
        <f t="shared" si="113"/>
        <v>0</v>
      </c>
      <c r="L175" s="11">
        <f t="shared" si="114"/>
        <v>0</v>
      </c>
      <c r="M175" s="52" t="s">
        <v>575</v>
      </c>
      <c r="Z175" s="11">
        <f t="shared" si="115"/>
        <v>0</v>
      </c>
      <c r="AB175" s="11">
        <f t="shared" si="116"/>
        <v>0</v>
      </c>
      <c r="AC175" s="11">
        <f t="shared" si="117"/>
        <v>0</v>
      </c>
      <c r="AD175" s="11">
        <f t="shared" si="118"/>
        <v>0</v>
      </c>
      <c r="AE175" s="11">
        <f t="shared" si="119"/>
        <v>0</v>
      </c>
      <c r="AF175" s="11">
        <f t="shared" si="120"/>
        <v>0</v>
      </c>
      <c r="AG175" s="11">
        <f t="shared" si="121"/>
        <v>0</v>
      </c>
      <c r="AH175" s="11">
        <f t="shared" si="122"/>
        <v>0</v>
      </c>
      <c r="AI175" s="40" t="s">
        <v>586</v>
      </c>
      <c r="AJ175" s="11">
        <f t="shared" si="123"/>
        <v>0</v>
      </c>
      <c r="AK175" s="11">
        <f t="shared" si="124"/>
        <v>0</v>
      </c>
      <c r="AL175" s="11">
        <f t="shared" si="125"/>
        <v>0</v>
      </c>
      <c r="AN175" s="11">
        <v>21</v>
      </c>
      <c r="AO175" s="11">
        <f>I175*0.304848066298343</f>
        <v>0</v>
      </c>
      <c r="AP175" s="11">
        <f>I175*(1-0.304848066298343)</f>
        <v>0</v>
      </c>
      <c r="AQ175" s="12" t="s">
        <v>845</v>
      </c>
      <c r="AV175" s="11">
        <f t="shared" si="126"/>
        <v>0</v>
      </c>
      <c r="AW175" s="11">
        <f t="shared" si="127"/>
        <v>0</v>
      </c>
      <c r="AX175" s="11">
        <f t="shared" si="128"/>
        <v>0</v>
      </c>
      <c r="AY175" s="12" t="s">
        <v>129</v>
      </c>
      <c r="AZ175" s="12" t="s">
        <v>52</v>
      </c>
      <c r="BA175" s="40" t="s">
        <v>647</v>
      </c>
      <c r="BC175" s="11">
        <f t="shared" si="129"/>
        <v>0</v>
      </c>
      <c r="BD175" s="11">
        <f t="shared" si="130"/>
        <v>0</v>
      </c>
      <c r="BE175" s="11">
        <v>0</v>
      </c>
      <c r="BF175" s="11">
        <f>183</f>
        <v>183</v>
      </c>
      <c r="BH175" s="11">
        <f t="shared" si="131"/>
        <v>0</v>
      </c>
      <c r="BI175" s="11">
        <f t="shared" si="132"/>
        <v>0</v>
      </c>
      <c r="BJ175" s="11">
        <f t="shared" si="133"/>
        <v>0</v>
      </c>
      <c r="BK175" s="11"/>
      <c r="BL175" s="11">
        <v>721</v>
      </c>
    </row>
    <row r="176" spans="1:64" ht="15" customHeight="1">
      <c r="A176" s="9" t="s">
        <v>804</v>
      </c>
      <c r="B176" s="10" t="s">
        <v>415</v>
      </c>
      <c r="C176" s="366" t="s">
        <v>455</v>
      </c>
      <c r="D176" s="366"/>
      <c r="E176" s="366"/>
      <c r="F176" s="366"/>
      <c r="G176" s="10" t="s">
        <v>216</v>
      </c>
      <c r="H176" s="11">
        <v>1</v>
      </c>
      <c r="I176" s="11">
        <v>0</v>
      </c>
      <c r="J176" s="11">
        <f t="shared" si="112"/>
        <v>0</v>
      </c>
      <c r="K176" s="11">
        <f t="shared" si="113"/>
        <v>0</v>
      </c>
      <c r="L176" s="11">
        <f t="shared" si="114"/>
        <v>0</v>
      </c>
      <c r="M176" s="52" t="s">
        <v>575</v>
      </c>
      <c r="Z176" s="11">
        <f t="shared" si="115"/>
        <v>0</v>
      </c>
      <c r="AB176" s="11">
        <f t="shared" si="116"/>
        <v>0</v>
      </c>
      <c r="AC176" s="11">
        <f t="shared" si="117"/>
        <v>0</v>
      </c>
      <c r="AD176" s="11">
        <f t="shared" si="118"/>
        <v>0</v>
      </c>
      <c r="AE176" s="11">
        <f t="shared" si="119"/>
        <v>0</v>
      </c>
      <c r="AF176" s="11">
        <f t="shared" si="120"/>
        <v>0</v>
      </c>
      <c r="AG176" s="11">
        <f t="shared" si="121"/>
        <v>0</v>
      </c>
      <c r="AH176" s="11">
        <f t="shared" si="122"/>
        <v>0</v>
      </c>
      <c r="AI176" s="40" t="s">
        <v>586</v>
      </c>
      <c r="AJ176" s="11">
        <f t="shared" si="123"/>
        <v>0</v>
      </c>
      <c r="AK176" s="11">
        <f t="shared" si="124"/>
        <v>0</v>
      </c>
      <c r="AL176" s="11">
        <f t="shared" si="125"/>
        <v>0</v>
      </c>
      <c r="AN176" s="11">
        <v>21</v>
      </c>
      <c r="AO176" s="11">
        <f>I176*0.552922590837283</f>
        <v>0</v>
      </c>
      <c r="AP176" s="11">
        <f>I176*(1-0.552922590837283)</f>
        <v>0</v>
      </c>
      <c r="AQ176" s="12" t="s">
        <v>845</v>
      </c>
      <c r="AV176" s="11">
        <f t="shared" si="126"/>
        <v>0</v>
      </c>
      <c r="AW176" s="11">
        <f t="shared" si="127"/>
        <v>0</v>
      </c>
      <c r="AX176" s="11">
        <f t="shared" si="128"/>
        <v>0</v>
      </c>
      <c r="AY176" s="12" t="s">
        <v>129</v>
      </c>
      <c r="AZ176" s="12" t="s">
        <v>52</v>
      </c>
      <c r="BA176" s="40" t="s">
        <v>647</v>
      </c>
      <c r="BC176" s="11">
        <f t="shared" si="129"/>
        <v>0</v>
      </c>
      <c r="BD176" s="11">
        <f t="shared" si="130"/>
        <v>0</v>
      </c>
      <c r="BE176" s="11">
        <v>0</v>
      </c>
      <c r="BF176" s="11">
        <f>184</f>
        <v>184</v>
      </c>
      <c r="BH176" s="11">
        <f t="shared" si="131"/>
        <v>0</v>
      </c>
      <c r="BI176" s="11">
        <f t="shared" si="132"/>
        <v>0</v>
      </c>
      <c r="BJ176" s="11">
        <f t="shared" si="133"/>
        <v>0</v>
      </c>
      <c r="BK176" s="11"/>
      <c r="BL176" s="11">
        <v>721</v>
      </c>
    </row>
    <row r="177" spans="1:64" ht="15" customHeight="1">
      <c r="A177" s="9" t="s">
        <v>446</v>
      </c>
      <c r="B177" s="10" t="s">
        <v>48</v>
      </c>
      <c r="C177" s="366" t="s">
        <v>273</v>
      </c>
      <c r="D177" s="366"/>
      <c r="E177" s="366"/>
      <c r="F177" s="366"/>
      <c r="G177" s="10" t="s">
        <v>216</v>
      </c>
      <c r="H177" s="11">
        <v>3</v>
      </c>
      <c r="I177" s="11">
        <v>0</v>
      </c>
      <c r="J177" s="11">
        <f t="shared" si="112"/>
        <v>0</v>
      </c>
      <c r="K177" s="11">
        <f t="shared" si="113"/>
        <v>0</v>
      </c>
      <c r="L177" s="11">
        <f t="shared" si="114"/>
        <v>0</v>
      </c>
      <c r="M177" s="52" t="s">
        <v>575</v>
      </c>
      <c r="Z177" s="11">
        <f t="shared" si="115"/>
        <v>0</v>
      </c>
      <c r="AB177" s="11">
        <f t="shared" si="116"/>
        <v>0</v>
      </c>
      <c r="AC177" s="11">
        <f t="shared" si="117"/>
        <v>0</v>
      </c>
      <c r="AD177" s="11">
        <f t="shared" si="118"/>
        <v>0</v>
      </c>
      <c r="AE177" s="11">
        <f t="shared" si="119"/>
        <v>0</v>
      </c>
      <c r="AF177" s="11">
        <f t="shared" si="120"/>
        <v>0</v>
      </c>
      <c r="AG177" s="11">
        <f t="shared" si="121"/>
        <v>0</v>
      </c>
      <c r="AH177" s="11">
        <f t="shared" si="122"/>
        <v>0</v>
      </c>
      <c r="AI177" s="40" t="s">
        <v>586</v>
      </c>
      <c r="AJ177" s="11">
        <f t="shared" si="123"/>
        <v>0</v>
      </c>
      <c r="AK177" s="11">
        <f t="shared" si="124"/>
        <v>0</v>
      </c>
      <c r="AL177" s="11">
        <f t="shared" si="125"/>
        <v>0</v>
      </c>
      <c r="AN177" s="11">
        <v>21</v>
      </c>
      <c r="AO177" s="11">
        <f>I177*0.476959700731168</f>
        <v>0</v>
      </c>
      <c r="AP177" s="11">
        <f>I177*(1-0.476959700731168)</f>
        <v>0</v>
      </c>
      <c r="AQ177" s="12" t="s">
        <v>845</v>
      </c>
      <c r="AV177" s="11">
        <f t="shared" si="126"/>
        <v>0</v>
      </c>
      <c r="AW177" s="11">
        <f t="shared" si="127"/>
        <v>0</v>
      </c>
      <c r="AX177" s="11">
        <f t="shared" si="128"/>
        <v>0</v>
      </c>
      <c r="AY177" s="12" t="s">
        <v>129</v>
      </c>
      <c r="AZ177" s="12" t="s">
        <v>52</v>
      </c>
      <c r="BA177" s="40" t="s">
        <v>647</v>
      </c>
      <c r="BC177" s="11">
        <f t="shared" si="129"/>
        <v>0</v>
      </c>
      <c r="BD177" s="11">
        <f t="shared" si="130"/>
        <v>0</v>
      </c>
      <c r="BE177" s="11">
        <v>0</v>
      </c>
      <c r="BF177" s="11">
        <f>185</f>
        <v>185</v>
      </c>
      <c r="BH177" s="11">
        <f t="shared" si="131"/>
        <v>0</v>
      </c>
      <c r="BI177" s="11">
        <f t="shared" si="132"/>
        <v>0</v>
      </c>
      <c r="BJ177" s="11">
        <f t="shared" si="133"/>
        <v>0</v>
      </c>
      <c r="BK177" s="11"/>
      <c r="BL177" s="11">
        <v>721</v>
      </c>
    </row>
    <row r="178" spans="1:64" ht="15" customHeight="1">
      <c r="A178" s="9" t="s">
        <v>404</v>
      </c>
      <c r="B178" s="10" t="s">
        <v>257</v>
      </c>
      <c r="C178" s="366" t="s">
        <v>899</v>
      </c>
      <c r="D178" s="366"/>
      <c r="E178" s="366"/>
      <c r="F178" s="366"/>
      <c r="G178" s="10" t="s">
        <v>216</v>
      </c>
      <c r="H178" s="11">
        <v>5</v>
      </c>
      <c r="I178" s="11">
        <v>0</v>
      </c>
      <c r="J178" s="11">
        <f t="shared" si="112"/>
        <v>0</v>
      </c>
      <c r="K178" s="11">
        <f t="shared" si="113"/>
        <v>0</v>
      </c>
      <c r="L178" s="11">
        <f t="shared" si="114"/>
        <v>0</v>
      </c>
      <c r="M178" s="52" t="s">
        <v>575</v>
      </c>
      <c r="Z178" s="11">
        <f t="shared" si="115"/>
        <v>0</v>
      </c>
      <c r="AB178" s="11">
        <f t="shared" si="116"/>
        <v>0</v>
      </c>
      <c r="AC178" s="11">
        <f t="shared" si="117"/>
        <v>0</v>
      </c>
      <c r="AD178" s="11">
        <f t="shared" si="118"/>
        <v>0</v>
      </c>
      <c r="AE178" s="11">
        <f t="shared" si="119"/>
        <v>0</v>
      </c>
      <c r="AF178" s="11">
        <f t="shared" si="120"/>
        <v>0</v>
      </c>
      <c r="AG178" s="11">
        <f t="shared" si="121"/>
        <v>0</v>
      </c>
      <c r="AH178" s="11">
        <f t="shared" si="122"/>
        <v>0</v>
      </c>
      <c r="AI178" s="40" t="s">
        <v>586</v>
      </c>
      <c r="AJ178" s="11">
        <f t="shared" si="123"/>
        <v>0</v>
      </c>
      <c r="AK178" s="11">
        <f t="shared" si="124"/>
        <v>0</v>
      </c>
      <c r="AL178" s="11">
        <f t="shared" si="125"/>
        <v>0</v>
      </c>
      <c r="AN178" s="11">
        <v>21</v>
      </c>
      <c r="AO178" s="11">
        <f>I178*0.960703309692671</f>
        <v>0</v>
      </c>
      <c r="AP178" s="11">
        <f>I178*(1-0.960703309692671)</f>
        <v>0</v>
      </c>
      <c r="AQ178" s="12" t="s">
        <v>845</v>
      </c>
      <c r="AV178" s="11">
        <f t="shared" si="126"/>
        <v>0</v>
      </c>
      <c r="AW178" s="11">
        <f t="shared" si="127"/>
        <v>0</v>
      </c>
      <c r="AX178" s="11">
        <f t="shared" si="128"/>
        <v>0</v>
      </c>
      <c r="AY178" s="12" t="s">
        <v>129</v>
      </c>
      <c r="AZ178" s="12" t="s">
        <v>52</v>
      </c>
      <c r="BA178" s="40" t="s">
        <v>647</v>
      </c>
      <c r="BC178" s="11">
        <f t="shared" si="129"/>
        <v>0</v>
      </c>
      <c r="BD178" s="11">
        <f t="shared" si="130"/>
        <v>0</v>
      </c>
      <c r="BE178" s="11">
        <v>0</v>
      </c>
      <c r="BF178" s="11">
        <f>186</f>
        <v>186</v>
      </c>
      <c r="BH178" s="11">
        <f t="shared" si="131"/>
        <v>0</v>
      </c>
      <c r="BI178" s="11">
        <f t="shared" si="132"/>
        <v>0</v>
      </c>
      <c r="BJ178" s="11">
        <f t="shared" si="133"/>
        <v>0</v>
      </c>
      <c r="BK178" s="11"/>
      <c r="BL178" s="11">
        <v>721</v>
      </c>
    </row>
    <row r="179" spans="1:64" ht="13.5" customHeight="1">
      <c r="A179" s="53"/>
      <c r="B179" s="54" t="s">
        <v>440</v>
      </c>
      <c r="C179" s="394" t="s">
        <v>369</v>
      </c>
      <c r="D179" s="395"/>
      <c r="E179" s="395"/>
      <c r="F179" s="395"/>
      <c r="G179" s="395"/>
      <c r="H179" s="395"/>
      <c r="I179" s="395"/>
      <c r="J179" s="395"/>
      <c r="K179" s="395"/>
      <c r="L179" s="395"/>
      <c r="M179" s="396"/>
    </row>
    <row r="180" spans="1:64" ht="15" customHeight="1">
      <c r="A180" s="9" t="s">
        <v>366</v>
      </c>
      <c r="B180" s="10" t="s">
        <v>160</v>
      </c>
      <c r="C180" s="366" t="s">
        <v>815</v>
      </c>
      <c r="D180" s="366"/>
      <c r="E180" s="366"/>
      <c r="F180" s="366"/>
      <c r="G180" s="10" t="s">
        <v>216</v>
      </c>
      <c r="H180" s="11">
        <v>17</v>
      </c>
      <c r="I180" s="11">
        <v>0</v>
      </c>
      <c r="J180" s="11">
        <f t="shared" ref="J180:J188" si="134">H180*AO180</f>
        <v>0</v>
      </c>
      <c r="K180" s="11">
        <f t="shared" ref="K180:K188" si="135">H180*AP180</f>
        <v>0</v>
      </c>
      <c r="L180" s="11">
        <f t="shared" ref="L180:L188" si="136">H180*I180</f>
        <v>0</v>
      </c>
      <c r="M180" s="52" t="s">
        <v>575</v>
      </c>
      <c r="Z180" s="11">
        <f t="shared" ref="Z180:Z188" si="137">IF(AQ180="5",BJ180,0)</f>
        <v>0</v>
      </c>
      <c r="AB180" s="11">
        <f t="shared" ref="AB180:AB188" si="138">IF(AQ180="1",BH180,0)</f>
        <v>0</v>
      </c>
      <c r="AC180" s="11">
        <f t="shared" ref="AC180:AC188" si="139">IF(AQ180="1",BI180,0)</f>
        <v>0</v>
      </c>
      <c r="AD180" s="11">
        <f t="shared" ref="AD180:AD188" si="140">IF(AQ180="7",BH180,0)</f>
        <v>0</v>
      </c>
      <c r="AE180" s="11">
        <f t="shared" ref="AE180:AE188" si="141">IF(AQ180="7",BI180,0)</f>
        <v>0</v>
      </c>
      <c r="AF180" s="11">
        <f t="shared" ref="AF180:AF188" si="142">IF(AQ180="2",BH180,0)</f>
        <v>0</v>
      </c>
      <c r="AG180" s="11">
        <f t="shared" ref="AG180:AG188" si="143">IF(AQ180="2",BI180,0)</f>
        <v>0</v>
      </c>
      <c r="AH180" s="11">
        <f t="shared" ref="AH180:AH188" si="144">IF(AQ180="0",BJ180,0)</f>
        <v>0</v>
      </c>
      <c r="AI180" s="40" t="s">
        <v>586</v>
      </c>
      <c r="AJ180" s="11">
        <f t="shared" ref="AJ180:AJ188" si="145">IF(AN180=0,L180,0)</f>
        <v>0</v>
      </c>
      <c r="AK180" s="11">
        <f t="shared" ref="AK180:AK188" si="146">IF(AN180=15,L180,0)</f>
        <v>0</v>
      </c>
      <c r="AL180" s="11">
        <f t="shared" ref="AL180:AL188" si="147">IF(AN180=21,L180,0)</f>
        <v>0</v>
      </c>
      <c r="AN180" s="11">
        <v>21</v>
      </c>
      <c r="AO180" s="11">
        <f>I180*0.261518987341772</f>
        <v>0</v>
      </c>
      <c r="AP180" s="11">
        <f>I180*(1-0.261518987341772)</f>
        <v>0</v>
      </c>
      <c r="AQ180" s="12" t="s">
        <v>845</v>
      </c>
      <c r="AV180" s="11">
        <f t="shared" ref="AV180:AV188" si="148">AW180+AX180</f>
        <v>0</v>
      </c>
      <c r="AW180" s="11">
        <f t="shared" ref="AW180:AW188" si="149">H180*AO180</f>
        <v>0</v>
      </c>
      <c r="AX180" s="11">
        <f t="shared" ref="AX180:AX188" si="150">H180*AP180</f>
        <v>0</v>
      </c>
      <c r="AY180" s="12" t="s">
        <v>129</v>
      </c>
      <c r="AZ180" s="12" t="s">
        <v>52</v>
      </c>
      <c r="BA180" s="40" t="s">
        <v>647</v>
      </c>
      <c r="BC180" s="11">
        <f t="shared" ref="BC180:BC188" si="151">AW180+AX180</f>
        <v>0</v>
      </c>
      <c r="BD180" s="11">
        <f t="shared" ref="BD180:BD188" si="152">I180/(100-BE180)*100</f>
        <v>0</v>
      </c>
      <c r="BE180" s="11">
        <v>0</v>
      </c>
      <c r="BF180" s="11">
        <f>188</f>
        <v>188</v>
      </c>
      <c r="BH180" s="11">
        <f t="shared" ref="BH180:BH188" si="153">H180*AO180</f>
        <v>0</v>
      </c>
      <c r="BI180" s="11">
        <f t="shared" ref="BI180:BI188" si="154">H180*AP180</f>
        <v>0</v>
      </c>
      <c r="BJ180" s="11">
        <f t="shared" ref="BJ180:BJ188" si="155">H180*I180</f>
        <v>0</v>
      </c>
      <c r="BK180" s="11"/>
      <c r="BL180" s="11">
        <v>721</v>
      </c>
    </row>
    <row r="181" spans="1:64" ht="15" customHeight="1">
      <c r="A181" s="9" t="s">
        <v>151</v>
      </c>
      <c r="B181" s="10" t="s">
        <v>169</v>
      </c>
      <c r="C181" s="366" t="s">
        <v>929</v>
      </c>
      <c r="D181" s="366"/>
      <c r="E181" s="366"/>
      <c r="F181" s="366"/>
      <c r="G181" s="10" t="s">
        <v>216</v>
      </c>
      <c r="H181" s="11">
        <v>10</v>
      </c>
      <c r="I181" s="11">
        <v>0</v>
      </c>
      <c r="J181" s="11">
        <f t="shared" si="134"/>
        <v>0</v>
      </c>
      <c r="K181" s="11">
        <f t="shared" si="135"/>
        <v>0</v>
      </c>
      <c r="L181" s="11">
        <f t="shared" si="136"/>
        <v>0</v>
      </c>
      <c r="M181" s="52" t="s">
        <v>575</v>
      </c>
      <c r="Z181" s="11">
        <f t="shared" si="137"/>
        <v>0</v>
      </c>
      <c r="AB181" s="11">
        <f t="shared" si="138"/>
        <v>0</v>
      </c>
      <c r="AC181" s="11">
        <f t="shared" si="139"/>
        <v>0</v>
      </c>
      <c r="AD181" s="11">
        <f t="shared" si="140"/>
        <v>0</v>
      </c>
      <c r="AE181" s="11">
        <f t="shared" si="141"/>
        <v>0</v>
      </c>
      <c r="AF181" s="11">
        <f t="shared" si="142"/>
        <v>0</v>
      </c>
      <c r="AG181" s="11">
        <f t="shared" si="143"/>
        <v>0</v>
      </c>
      <c r="AH181" s="11">
        <f t="shared" si="144"/>
        <v>0</v>
      </c>
      <c r="AI181" s="40" t="s">
        <v>586</v>
      </c>
      <c r="AJ181" s="11">
        <f t="shared" si="145"/>
        <v>0</v>
      </c>
      <c r="AK181" s="11">
        <f t="shared" si="146"/>
        <v>0</v>
      </c>
      <c r="AL181" s="11">
        <f t="shared" si="147"/>
        <v>0</v>
      </c>
      <c r="AN181" s="11">
        <v>21</v>
      </c>
      <c r="AO181" s="11">
        <f>I181*1</f>
        <v>0</v>
      </c>
      <c r="AP181" s="11">
        <f>I181*(1-1)</f>
        <v>0</v>
      </c>
      <c r="AQ181" s="12" t="s">
        <v>845</v>
      </c>
      <c r="AV181" s="11">
        <f t="shared" si="148"/>
        <v>0</v>
      </c>
      <c r="AW181" s="11">
        <f t="shared" si="149"/>
        <v>0</v>
      </c>
      <c r="AX181" s="11">
        <f t="shared" si="150"/>
        <v>0</v>
      </c>
      <c r="AY181" s="12" t="s">
        <v>129</v>
      </c>
      <c r="AZ181" s="12" t="s">
        <v>52</v>
      </c>
      <c r="BA181" s="40" t="s">
        <v>647</v>
      </c>
      <c r="BC181" s="11">
        <f t="shared" si="151"/>
        <v>0</v>
      </c>
      <c r="BD181" s="11">
        <f t="shared" si="152"/>
        <v>0</v>
      </c>
      <c r="BE181" s="11">
        <v>0</v>
      </c>
      <c r="BF181" s="11">
        <f>189</f>
        <v>189</v>
      </c>
      <c r="BH181" s="11">
        <f t="shared" si="153"/>
        <v>0</v>
      </c>
      <c r="BI181" s="11">
        <f t="shared" si="154"/>
        <v>0</v>
      </c>
      <c r="BJ181" s="11">
        <f t="shared" si="155"/>
        <v>0</v>
      </c>
      <c r="BK181" s="11"/>
      <c r="BL181" s="11">
        <v>721</v>
      </c>
    </row>
    <row r="182" spans="1:64" ht="15" customHeight="1">
      <c r="A182" s="9" t="s">
        <v>196</v>
      </c>
      <c r="B182" s="10" t="s">
        <v>218</v>
      </c>
      <c r="C182" s="366" t="s">
        <v>435</v>
      </c>
      <c r="D182" s="366"/>
      <c r="E182" s="366"/>
      <c r="F182" s="366"/>
      <c r="G182" s="10" t="s">
        <v>216</v>
      </c>
      <c r="H182" s="11">
        <v>7</v>
      </c>
      <c r="I182" s="11">
        <v>0</v>
      </c>
      <c r="J182" s="11">
        <f t="shared" si="134"/>
        <v>0</v>
      </c>
      <c r="K182" s="11">
        <f t="shared" si="135"/>
        <v>0</v>
      </c>
      <c r="L182" s="11">
        <f t="shared" si="136"/>
        <v>0</v>
      </c>
      <c r="M182" s="52" t="s">
        <v>575</v>
      </c>
      <c r="Z182" s="11">
        <f t="shared" si="137"/>
        <v>0</v>
      </c>
      <c r="AB182" s="11">
        <f t="shared" si="138"/>
        <v>0</v>
      </c>
      <c r="AC182" s="11">
        <f t="shared" si="139"/>
        <v>0</v>
      </c>
      <c r="AD182" s="11">
        <f t="shared" si="140"/>
        <v>0</v>
      </c>
      <c r="AE182" s="11">
        <f t="shared" si="141"/>
        <v>0</v>
      </c>
      <c r="AF182" s="11">
        <f t="shared" si="142"/>
        <v>0</v>
      </c>
      <c r="AG182" s="11">
        <f t="shared" si="143"/>
        <v>0</v>
      </c>
      <c r="AH182" s="11">
        <f t="shared" si="144"/>
        <v>0</v>
      </c>
      <c r="AI182" s="40" t="s">
        <v>586</v>
      </c>
      <c r="AJ182" s="11">
        <f t="shared" si="145"/>
        <v>0</v>
      </c>
      <c r="AK182" s="11">
        <f t="shared" si="146"/>
        <v>0</v>
      </c>
      <c r="AL182" s="11">
        <f t="shared" si="147"/>
        <v>0</v>
      </c>
      <c r="AN182" s="11">
        <v>21</v>
      </c>
      <c r="AO182" s="11">
        <f>I182*1</f>
        <v>0</v>
      </c>
      <c r="AP182" s="11">
        <f>I182*(1-1)</f>
        <v>0</v>
      </c>
      <c r="AQ182" s="12" t="s">
        <v>845</v>
      </c>
      <c r="AV182" s="11">
        <f t="shared" si="148"/>
        <v>0</v>
      </c>
      <c r="AW182" s="11">
        <f t="shared" si="149"/>
        <v>0</v>
      </c>
      <c r="AX182" s="11">
        <f t="shared" si="150"/>
        <v>0</v>
      </c>
      <c r="AY182" s="12" t="s">
        <v>129</v>
      </c>
      <c r="AZ182" s="12" t="s">
        <v>52</v>
      </c>
      <c r="BA182" s="40" t="s">
        <v>647</v>
      </c>
      <c r="BC182" s="11">
        <f t="shared" si="151"/>
        <v>0</v>
      </c>
      <c r="BD182" s="11">
        <f t="shared" si="152"/>
        <v>0</v>
      </c>
      <c r="BE182" s="11">
        <v>0</v>
      </c>
      <c r="BF182" s="11">
        <f>190</f>
        <v>190</v>
      </c>
      <c r="BH182" s="11">
        <f t="shared" si="153"/>
        <v>0</v>
      </c>
      <c r="BI182" s="11">
        <f t="shared" si="154"/>
        <v>0</v>
      </c>
      <c r="BJ182" s="11">
        <f t="shared" si="155"/>
        <v>0</v>
      </c>
      <c r="BK182" s="11"/>
      <c r="BL182" s="11">
        <v>721</v>
      </c>
    </row>
    <row r="183" spans="1:64" ht="15" customHeight="1">
      <c r="A183" s="9" t="s">
        <v>94</v>
      </c>
      <c r="B183" s="10" t="s">
        <v>714</v>
      </c>
      <c r="C183" s="366" t="s">
        <v>51</v>
      </c>
      <c r="D183" s="366"/>
      <c r="E183" s="366"/>
      <c r="F183" s="366"/>
      <c r="G183" s="10" t="s">
        <v>700</v>
      </c>
      <c r="H183" s="11">
        <v>86</v>
      </c>
      <c r="I183" s="11">
        <v>0</v>
      </c>
      <c r="J183" s="11">
        <f t="shared" si="134"/>
        <v>0</v>
      </c>
      <c r="K183" s="11">
        <f t="shared" si="135"/>
        <v>0</v>
      </c>
      <c r="L183" s="11">
        <f t="shared" si="136"/>
        <v>0</v>
      </c>
      <c r="M183" s="52" t="s">
        <v>575</v>
      </c>
      <c r="Z183" s="11">
        <f t="shared" si="137"/>
        <v>0</v>
      </c>
      <c r="AB183" s="11">
        <f t="shared" si="138"/>
        <v>0</v>
      </c>
      <c r="AC183" s="11">
        <f t="shared" si="139"/>
        <v>0</v>
      </c>
      <c r="AD183" s="11">
        <f t="shared" si="140"/>
        <v>0</v>
      </c>
      <c r="AE183" s="11">
        <f t="shared" si="141"/>
        <v>0</v>
      </c>
      <c r="AF183" s="11">
        <f t="shared" si="142"/>
        <v>0</v>
      </c>
      <c r="AG183" s="11">
        <f t="shared" si="143"/>
        <v>0</v>
      </c>
      <c r="AH183" s="11">
        <f t="shared" si="144"/>
        <v>0</v>
      </c>
      <c r="AI183" s="40" t="s">
        <v>586</v>
      </c>
      <c r="AJ183" s="11">
        <f t="shared" si="145"/>
        <v>0</v>
      </c>
      <c r="AK183" s="11">
        <f t="shared" si="146"/>
        <v>0</v>
      </c>
      <c r="AL183" s="11">
        <f t="shared" si="147"/>
        <v>0</v>
      </c>
      <c r="AN183" s="11">
        <v>21</v>
      </c>
      <c r="AO183" s="11">
        <f>I183*0.0275092936802974</f>
        <v>0</v>
      </c>
      <c r="AP183" s="11">
        <f>I183*(1-0.0275092936802974)</f>
        <v>0</v>
      </c>
      <c r="AQ183" s="12" t="s">
        <v>845</v>
      </c>
      <c r="AV183" s="11">
        <f t="shared" si="148"/>
        <v>0</v>
      </c>
      <c r="AW183" s="11">
        <f t="shared" si="149"/>
        <v>0</v>
      </c>
      <c r="AX183" s="11">
        <f t="shared" si="150"/>
        <v>0</v>
      </c>
      <c r="AY183" s="12" t="s">
        <v>129</v>
      </c>
      <c r="AZ183" s="12" t="s">
        <v>52</v>
      </c>
      <c r="BA183" s="40" t="s">
        <v>647</v>
      </c>
      <c r="BC183" s="11">
        <f t="shared" si="151"/>
        <v>0</v>
      </c>
      <c r="BD183" s="11">
        <f t="shared" si="152"/>
        <v>0</v>
      </c>
      <c r="BE183" s="11">
        <v>0</v>
      </c>
      <c r="BF183" s="11">
        <f>191</f>
        <v>191</v>
      </c>
      <c r="BH183" s="11">
        <f t="shared" si="153"/>
        <v>0</v>
      </c>
      <c r="BI183" s="11">
        <f t="shared" si="154"/>
        <v>0</v>
      </c>
      <c r="BJ183" s="11">
        <f t="shared" si="155"/>
        <v>0</v>
      </c>
      <c r="BK183" s="11"/>
      <c r="BL183" s="11">
        <v>721</v>
      </c>
    </row>
    <row r="184" spans="1:64" ht="15" customHeight="1">
      <c r="A184" s="9" t="s">
        <v>120</v>
      </c>
      <c r="B184" s="10" t="s">
        <v>387</v>
      </c>
      <c r="C184" s="366" t="s">
        <v>322</v>
      </c>
      <c r="D184" s="366"/>
      <c r="E184" s="366"/>
      <c r="F184" s="366"/>
      <c r="G184" s="10" t="s">
        <v>216</v>
      </c>
      <c r="H184" s="11">
        <v>1</v>
      </c>
      <c r="I184" s="11">
        <v>0</v>
      </c>
      <c r="J184" s="11">
        <f t="shared" si="134"/>
        <v>0</v>
      </c>
      <c r="K184" s="11">
        <f t="shared" si="135"/>
        <v>0</v>
      </c>
      <c r="L184" s="11">
        <f t="shared" si="136"/>
        <v>0</v>
      </c>
      <c r="M184" s="52" t="s">
        <v>575</v>
      </c>
      <c r="Z184" s="11">
        <f t="shared" si="137"/>
        <v>0</v>
      </c>
      <c r="AB184" s="11">
        <f t="shared" si="138"/>
        <v>0</v>
      </c>
      <c r="AC184" s="11">
        <f t="shared" si="139"/>
        <v>0</v>
      </c>
      <c r="AD184" s="11">
        <f t="shared" si="140"/>
        <v>0</v>
      </c>
      <c r="AE184" s="11">
        <f t="shared" si="141"/>
        <v>0</v>
      </c>
      <c r="AF184" s="11">
        <f t="shared" si="142"/>
        <v>0</v>
      </c>
      <c r="AG184" s="11">
        <f t="shared" si="143"/>
        <v>0</v>
      </c>
      <c r="AH184" s="11">
        <f t="shared" si="144"/>
        <v>0</v>
      </c>
      <c r="AI184" s="40" t="s">
        <v>586</v>
      </c>
      <c r="AJ184" s="11">
        <f t="shared" si="145"/>
        <v>0</v>
      </c>
      <c r="AK184" s="11">
        <f t="shared" si="146"/>
        <v>0</v>
      </c>
      <c r="AL184" s="11">
        <f t="shared" si="147"/>
        <v>0</v>
      </c>
      <c r="AN184" s="11">
        <v>21</v>
      </c>
      <c r="AO184" s="11">
        <f>I184*0.816811594202899</f>
        <v>0</v>
      </c>
      <c r="AP184" s="11">
        <f>I184*(1-0.816811594202899)</f>
        <v>0</v>
      </c>
      <c r="AQ184" s="12" t="s">
        <v>845</v>
      </c>
      <c r="AV184" s="11">
        <f t="shared" si="148"/>
        <v>0</v>
      </c>
      <c r="AW184" s="11">
        <f t="shared" si="149"/>
        <v>0</v>
      </c>
      <c r="AX184" s="11">
        <f t="shared" si="150"/>
        <v>0</v>
      </c>
      <c r="AY184" s="12" t="s">
        <v>129</v>
      </c>
      <c r="AZ184" s="12" t="s">
        <v>52</v>
      </c>
      <c r="BA184" s="40" t="s">
        <v>647</v>
      </c>
      <c r="BC184" s="11">
        <f t="shared" si="151"/>
        <v>0</v>
      </c>
      <c r="BD184" s="11">
        <f t="shared" si="152"/>
        <v>0</v>
      </c>
      <c r="BE184" s="11">
        <v>0</v>
      </c>
      <c r="BF184" s="11">
        <f>192</f>
        <v>192</v>
      </c>
      <c r="BH184" s="11">
        <f t="shared" si="153"/>
        <v>0</v>
      </c>
      <c r="BI184" s="11">
        <f t="shared" si="154"/>
        <v>0</v>
      </c>
      <c r="BJ184" s="11">
        <f t="shared" si="155"/>
        <v>0</v>
      </c>
      <c r="BK184" s="11"/>
      <c r="BL184" s="11">
        <v>721</v>
      </c>
    </row>
    <row r="185" spans="1:64" ht="15" customHeight="1">
      <c r="A185" s="9" t="s">
        <v>790</v>
      </c>
      <c r="B185" s="10" t="s">
        <v>640</v>
      </c>
      <c r="C185" s="366" t="s">
        <v>644</v>
      </c>
      <c r="D185" s="366"/>
      <c r="E185" s="366"/>
      <c r="F185" s="366"/>
      <c r="G185" s="10" t="s">
        <v>216</v>
      </c>
      <c r="H185" s="11">
        <v>2</v>
      </c>
      <c r="I185" s="11">
        <v>0</v>
      </c>
      <c r="J185" s="11">
        <f t="shared" si="134"/>
        <v>0</v>
      </c>
      <c r="K185" s="11">
        <f t="shared" si="135"/>
        <v>0</v>
      </c>
      <c r="L185" s="11">
        <f t="shared" si="136"/>
        <v>0</v>
      </c>
      <c r="M185" s="52" t="s">
        <v>575</v>
      </c>
      <c r="Z185" s="11">
        <f t="shared" si="137"/>
        <v>0</v>
      </c>
      <c r="AB185" s="11">
        <f t="shared" si="138"/>
        <v>0</v>
      </c>
      <c r="AC185" s="11">
        <f t="shared" si="139"/>
        <v>0</v>
      </c>
      <c r="AD185" s="11">
        <f t="shared" si="140"/>
        <v>0</v>
      </c>
      <c r="AE185" s="11">
        <f t="shared" si="141"/>
        <v>0</v>
      </c>
      <c r="AF185" s="11">
        <f t="shared" si="142"/>
        <v>0</v>
      </c>
      <c r="AG185" s="11">
        <f t="shared" si="143"/>
        <v>0</v>
      </c>
      <c r="AH185" s="11">
        <f t="shared" si="144"/>
        <v>0</v>
      </c>
      <c r="AI185" s="40" t="s">
        <v>586</v>
      </c>
      <c r="AJ185" s="11">
        <f t="shared" si="145"/>
        <v>0</v>
      </c>
      <c r="AK185" s="11">
        <f t="shared" si="146"/>
        <v>0</v>
      </c>
      <c r="AL185" s="11">
        <f t="shared" si="147"/>
        <v>0</v>
      </c>
      <c r="AN185" s="11">
        <v>21</v>
      </c>
      <c r="AO185" s="11">
        <f>I185*0.817846153846154</f>
        <v>0</v>
      </c>
      <c r="AP185" s="11">
        <f>I185*(1-0.817846153846154)</f>
        <v>0</v>
      </c>
      <c r="AQ185" s="12" t="s">
        <v>845</v>
      </c>
      <c r="AV185" s="11">
        <f t="shared" si="148"/>
        <v>0</v>
      </c>
      <c r="AW185" s="11">
        <f t="shared" si="149"/>
        <v>0</v>
      </c>
      <c r="AX185" s="11">
        <f t="shared" si="150"/>
        <v>0</v>
      </c>
      <c r="AY185" s="12" t="s">
        <v>129</v>
      </c>
      <c r="AZ185" s="12" t="s">
        <v>52</v>
      </c>
      <c r="BA185" s="40" t="s">
        <v>647</v>
      </c>
      <c r="BC185" s="11">
        <f t="shared" si="151"/>
        <v>0</v>
      </c>
      <c r="BD185" s="11">
        <f t="shared" si="152"/>
        <v>0</v>
      </c>
      <c r="BE185" s="11">
        <v>0</v>
      </c>
      <c r="BF185" s="11">
        <f>193</f>
        <v>193</v>
      </c>
      <c r="BH185" s="11">
        <f t="shared" si="153"/>
        <v>0</v>
      </c>
      <c r="BI185" s="11">
        <f t="shared" si="154"/>
        <v>0</v>
      </c>
      <c r="BJ185" s="11">
        <f t="shared" si="155"/>
        <v>0</v>
      </c>
      <c r="BK185" s="11"/>
      <c r="BL185" s="11">
        <v>721</v>
      </c>
    </row>
    <row r="186" spans="1:64" ht="15" customHeight="1">
      <c r="A186" s="9" t="s">
        <v>618</v>
      </c>
      <c r="B186" s="10" t="s">
        <v>718</v>
      </c>
      <c r="C186" s="366" t="s">
        <v>199</v>
      </c>
      <c r="D186" s="366"/>
      <c r="E186" s="366"/>
      <c r="F186" s="366"/>
      <c r="G186" s="10" t="s">
        <v>700</v>
      </c>
      <c r="H186" s="11">
        <v>2</v>
      </c>
      <c r="I186" s="11">
        <v>0</v>
      </c>
      <c r="J186" s="11">
        <f t="shared" si="134"/>
        <v>0</v>
      </c>
      <c r="K186" s="11">
        <f t="shared" si="135"/>
        <v>0</v>
      </c>
      <c r="L186" s="11">
        <f t="shared" si="136"/>
        <v>0</v>
      </c>
      <c r="M186" s="52" t="s">
        <v>575</v>
      </c>
      <c r="Z186" s="11">
        <f t="shared" si="137"/>
        <v>0</v>
      </c>
      <c r="AB186" s="11">
        <f t="shared" si="138"/>
        <v>0</v>
      </c>
      <c r="AC186" s="11">
        <f t="shared" si="139"/>
        <v>0</v>
      </c>
      <c r="AD186" s="11">
        <f t="shared" si="140"/>
        <v>0</v>
      </c>
      <c r="AE186" s="11">
        <f t="shared" si="141"/>
        <v>0</v>
      </c>
      <c r="AF186" s="11">
        <f t="shared" si="142"/>
        <v>0</v>
      </c>
      <c r="AG186" s="11">
        <f t="shared" si="143"/>
        <v>0</v>
      </c>
      <c r="AH186" s="11">
        <f t="shared" si="144"/>
        <v>0</v>
      </c>
      <c r="AI186" s="40" t="s">
        <v>586</v>
      </c>
      <c r="AJ186" s="11">
        <f t="shared" si="145"/>
        <v>0</v>
      </c>
      <c r="AK186" s="11">
        <f t="shared" si="146"/>
        <v>0</v>
      </c>
      <c r="AL186" s="11">
        <f t="shared" si="147"/>
        <v>0</v>
      </c>
      <c r="AN186" s="11">
        <v>21</v>
      </c>
      <c r="AO186" s="11">
        <f>I186*0.465782983970407</f>
        <v>0</v>
      </c>
      <c r="AP186" s="11">
        <f>I186*(1-0.465782983970407)</f>
        <v>0</v>
      </c>
      <c r="AQ186" s="12" t="s">
        <v>845</v>
      </c>
      <c r="AV186" s="11">
        <f t="shared" si="148"/>
        <v>0</v>
      </c>
      <c r="AW186" s="11">
        <f t="shared" si="149"/>
        <v>0</v>
      </c>
      <c r="AX186" s="11">
        <f t="shared" si="150"/>
        <v>0</v>
      </c>
      <c r="AY186" s="12" t="s">
        <v>129</v>
      </c>
      <c r="AZ186" s="12" t="s">
        <v>52</v>
      </c>
      <c r="BA186" s="40" t="s">
        <v>647</v>
      </c>
      <c r="BC186" s="11">
        <f t="shared" si="151"/>
        <v>0</v>
      </c>
      <c r="BD186" s="11">
        <f t="shared" si="152"/>
        <v>0</v>
      </c>
      <c r="BE186" s="11">
        <v>0</v>
      </c>
      <c r="BF186" s="11">
        <f>194</f>
        <v>194</v>
      </c>
      <c r="BH186" s="11">
        <f t="shared" si="153"/>
        <v>0</v>
      </c>
      <c r="BI186" s="11">
        <f t="shared" si="154"/>
        <v>0</v>
      </c>
      <c r="BJ186" s="11">
        <f t="shared" si="155"/>
        <v>0</v>
      </c>
      <c r="BK186" s="11"/>
      <c r="BL186" s="11">
        <v>721</v>
      </c>
    </row>
    <row r="187" spans="1:64" ht="15" customHeight="1">
      <c r="A187" s="9" t="s">
        <v>417</v>
      </c>
      <c r="B187" s="10" t="s">
        <v>463</v>
      </c>
      <c r="C187" s="366" t="s">
        <v>42</v>
      </c>
      <c r="D187" s="366"/>
      <c r="E187" s="366"/>
      <c r="F187" s="366"/>
      <c r="G187" s="10" t="s">
        <v>549</v>
      </c>
      <c r="H187" s="11">
        <v>3</v>
      </c>
      <c r="I187" s="11">
        <v>0</v>
      </c>
      <c r="J187" s="11">
        <f t="shared" si="134"/>
        <v>0</v>
      </c>
      <c r="K187" s="11">
        <f t="shared" si="135"/>
        <v>0</v>
      </c>
      <c r="L187" s="11">
        <f t="shared" si="136"/>
        <v>0</v>
      </c>
      <c r="M187" s="52" t="s">
        <v>586</v>
      </c>
      <c r="Z187" s="11">
        <f t="shared" si="137"/>
        <v>0</v>
      </c>
      <c r="AB187" s="11">
        <f t="shared" si="138"/>
        <v>0</v>
      </c>
      <c r="AC187" s="11">
        <f t="shared" si="139"/>
        <v>0</v>
      </c>
      <c r="AD187" s="11">
        <f t="shared" si="140"/>
        <v>0</v>
      </c>
      <c r="AE187" s="11">
        <f t="shared" si="141"/>
        <v>0</v>
      </c>
      <c r="AF187" s="11">
        <f t="shared" si="142"/>
        <v>0</v>
      </c>
      <c r="AG187" s="11">
        <f t="shared" si="143"/>
        <v>0</v>
      </c>
      <c r="AH187" s="11">
        <f t="shared" si="144"/>
        <v>0</v>
      </c>
      <c r="AI187" s="40" t="s">
        <v>586</v>
      </c>
      <c r="AJ187" s="11">
        <f t="shared" si="145"/>
        <v>0</v>
      </c>
      <c r="AK187" s="11">
        <f t="shared" si="146"/>
        <v>0</v>
      </c>
      <c r="AL187" s="11">
        <f t="shared" si="147"/>
        <v>0</v>
      </c>
      <c r="AN187" s="11">
        <v>21</v>
      </c>
      <c r="AO187" s="11">
        <f>I187*0.8</f>
        <v>0</v>
      </c>
      <c r="AP187" s="11">
        <f>I187*(1-0.8)</f>
        <v>0</v>
      </c>
      <c r="AQ187" s="12" t="s">
        <v>845</v>
      </c>
      <c r="AV187" s="11">
        <f t="shared" si="148"/>
        <v>0</v>
      </c>
      <c r="AW187" s="11">
        <f t="shared" si="149"/>
        <v>0</v>
      </c>
      <c r="AX187" s="11">
        <f t="shared" si="150"/>
        <v>0</v>
      </c>
      <c r="AY187" s="12" t="s">
        <v>129</v>
      </c>
      <c r="AZ187" s="12" t="s">
        <v>52</v>
      </c>
      <c r="BA187" s="40" t="s">
        <v>647</v>
      </c>
      <c r="BC187" s="11">
        <f t="shared" si="151"/>
        <v>0</v>
      </c>
      <c r="BD187" s="11">
        <f t="shared" si="152"/>
        <v>0</v>
      </c>
      <c r="BE187" s="11">
        <v>0</v>
      </c>
      <c r="BF187" s="11">
        <f>195</f>
        <v>195</v>
      </c>
      <c r="BH187" s="11">
        <f t="shared" si="153"/>
        <v>0</v>
      </c>
      <c r="BI187" s="11">
        <f t="shared" si="154"/>
        <v>0</v>
      </c>
      <c r="BJ187" s="11">
        <f t="shared" si="155"/>
        <v>0</v>
      </c>
      <c r="BK187" s="11"/>
      <c r="BL187" s="11">
        <v>721</v>
      </c>
    </row>
    <row r="188" spans="1:64" ht="15" customHeight="1">
      <c r="A188" s="9" t="s">
        <v>617</v>
      </c>
      <c r="B188" s="10" t="s">
        <v>18</v>
      </c>
      <c r="C188" s="366" t="s">
        <v>87</v>
      </c>
      <c r="D188" s="366"/>
      <c r="E188" s="366"/>
      <c r="F188" s="366"/>
      <c r="G188" s="10" t="s">
        <v>401</v>
      </c>
      <c r="H188" s="11">
        <v>0.11600000000000001</v>
      </c>
      <c r="I188" s="11">
        <v>0</v>
      </c>
      <c r="J188" s="11">
        <f t="shared" si="134"/>
        <v>0</v>
      </c>
      <c r="K188" s="11">
        <f t="shared" si="135"/>
        <v>0</v>
      </c>
      <c r="L188" s="11">
        <f t="shared" si="136"/>
        <v>0</v>
      </c>
      <c r="M188" s="52" t="s">
        <v>575</v>
      </c>
      <c r="Z188" s="11">
        <f t="shared" si="137"/>
        <v>0</v>
      </c>
      <c r="AB188" s="11">
        <f t="shared" si="138"/>
        <v>0</v>
      </c>
      <c r="AC188" s="11">
        <f t="shared" si="139"/>
        <v>0</v>
      </c>
      <c r="AD188" s="11">
        <f t="shared" si="140"/>
        <v>0</v>
      </c>
      <c r="AE188" s="11">
        <f t="shared" si="141"/>
        <v>0</v>
      </c>
      <c r="AF188" s="11">
        <f t="shared" si="142"/>
        <v>0</v>
      </c>
      <c r="AG188" s="11">
        <f t="shared" si="143"/>
        <v>0</v>
      </c>
      <c r="AH188" s="11">
        <f t="shared" si="144"/>
        <v>0</v>
      </c>
      <c r="AI188" s="40" t="s">
        <v>586</v>
      </c>
      <c r="AJ188" s="11">
        <f t="shared" si="145"/>
        <v>0</v>
      </c>
      <c r="AK188" s="11">
        <f t="shared" si="146"/>
        <v>0</v>
      </c>
      <c r="AL188" s="11">
        <f t="shared" si="147"/>
        <v>0</v>
      </c>
      <c r="AN188" s="11">
        <v>21</v>
      </c>
      <c r="AO188" s="11">
        <f>I188*0</f>
        <v>0</v>
      </c>
      <c r="AP188" s="11">
        <f>I188*(1-0)</f>
        <v>0</v>
      </c>
      <c r="AQ188" s="12" t="s">
        <v>454</v>
      </c>
      <c r="AV188" s="11">
        <f t="shared" si="148"/>
        <v>0</v>
      </c>
      <c r="AW188" s="11">
        <f t="shared" si="149"/>
        <v>0</v>
      </c>
      <c r="AX188" s="11">
        <f t="shared" si="150"/>
        <v>0</v>
      </c>
      <c r="AY188" s="12" t="s">
        <v>129</v>
      </c>
      <c r="AZ188" s="12" t="s">
        <v>52</v>
      </c>
      <c r="BA188" s="40" t="s">
        <v>647</v>
      </c>
      <c r="BC188" s="11">
        <f t="shared" si="151"/>
        <v>0</v>
      </c>
      <c r="BD188" s="11">
        <f t="shared" si="152"/>
        <v>0</v>
      </c>
      <c r="BE188" s="11">
        <v>0</v>
      </c>
      <c r="BF188" s="11">
        <f>196</f>
        <v>196</v>
      </c>
      <c r="BH188" s="11">
        <f t="shared" si="153"/>
        <v>0</v>
      </c>
      <c r="BI188" s="11">
        <f t="shared" si="154"/>
        <v>0</v>
      </c>
      <c r="BJ188" s="11">
        <f t="shared" si="155"/>
        <v>0</v>
      </c>
      <c r="BK188" s="11"/>
      <c r="BL188" s="11">
        <v>721</v>
      </c>
    </row>
    <row r="189" spans="1:64" ht="15" customHeight="1">
      <c r="A189" s="48" t="s">
        <v>586</v>
      </c>
      <c r="B189" s="49" t="s">
        <v>761</v>
      </c>
      <c r="C189" s="392" t="s">
        <v>523</v>
      </c>
      <c r="D189" s="392"/>
      <c r="E189" s="392"/>
      <c r="F189" s="392"/>
      <c r="G189" s="50" t="s">
        <v>783</v>
      </c>
      <c r="H189" s="50" t="s">
        <v>783</v>
      </c>
      <c r="I189" s="50" t="s">
        <v>783</v>
      </c>
      <c r="J189" s="36">
        <f>SUM(J190:J229)</f>
        <v>0</v>
      </c>
      <c r="K189" s="36">
        <f>SUM(K190:K229)</f>
        <v>0</v>
      </c>
      <c r="L189" s="36">
        <f>SUM(L190:L229)</f>
        <v>0</v>
      </c>
      <c r="M189" s="51" t="s">
        <v>586</v>
      </c>
      <c r="AI189" s="40" t="s">
        <v>586</v>
      </c>
      <c r="AS189" s="36">
        <f>SUM(AJ190:AJ229)</f>
        <v>0</v>
      </c>
      <c r="AT189" s="36">
        <f>SUM(AK190:AK229)</f>
        <v>0</v>
      </c>
      <c r="AU189" s="36">
        <f>SUM(AL190:AL229)</f>
        <v>0</v>
      </c>
    </row>
    <row r="190" spans="1:64" ht="15" customHeight="1">
      <c r="A190" s="9" t="s">
        <v>283</v>
      </c>
      <c r="B190" s="10" t="s">
        <v>171</v>
      </c>
      <c r="C190" s="366" t="s">
        <v>317</v>
      </c>
      <c r="D190" s="366"/>
      <c r="E190" s="366"/>
      <c r="F190" s="366"/>
      <c r="G190" s="10" t="s">
        <v>700</v>
      </c>
      <c r="H190" s="11">
        <v>65</v>
      </c>
      <c r="I190" s="11">
        <v>0</v>
      </c>
      <c r="J190" s="11">
        <f>H190*AO190</f>
        <v>0</v>
      </c>
      <c r="K190" s="11">
        <f>H190*AP190</f>
        <v>0</v>
      </c>
      <c r="L190" s="11">
        <f>H190*I190</f>
        <v>0</v>
      </c>
      <c r="M190" s="52" t="s">
        <v>575</v>
      </c>
      <c r="Z190" s="11">
        <f>IF(AQ190="5",BJ190,0)</f>
        <v>0</v>
      </c>
      <c r="AB190" s="11">
        <f>IF(AQ190="1",BH190,0)</f>
        <v>0</v>
      </c>
      <c r="AC190" s="11">
        <f>IF(AQ190="1",BI190,0)</f>
        <v>0</v>
      </c>
      <c r="AD190" s="11">
        <f>IF(AQ190="7",BH190,0)</f>
        <v>0</v>
      </c>
      <c r="AE190" s="11">
        <f>IF(AQ190="7",BI190,0)</f>
        <v>0</v>
      </c>
      <c r="AF190" s="11">
        <f>IF(AQ190="2",BH190,0)</f>
        <v>0</v>
      </c>
      <c r="AG190" s="11">
        <f>IF(AQ190="2",BI190,0)</f>
        <v>0</v>
      </c>
      <c r="AH190" s="11">
        <f>IF(AQ190="0",BJ190,0)</f>
        <v>0</v>
      </c>
      <c r="AI190" s="40" t="s">
        <v>586</v>
      </c>
      <c r="AJ190" s="11">
        <f>IF(AN190=0,L190,0)</f>
        <v>0</v>
      </c>
      <c r="AK190" s="11">
        <f>IF(AN190=15,L190,0)</f>
        <v>0</v>
      </c>
      <c r="AL190" s="11">
        <f>IF(AN190=21,L190,0)</f>
        <v>0</v>
      </c>
      <c r="AN190" s="11">
        <v>21</v>
      </c>
      <c r="AO190" s="11">
        <f>I190*0.18894472361809</f>
        <v>0</v>
      </c>
      <c r="AP190" s="11">
        <f>I190*(1-0.18894472361809)</f>
        <v>0</v>
      </c>
      <c r="AQ190" s="12" t="s">
        <v>845</v>
      </c>
      <c r="AV190" s="11">
        <f>AW190+AX190</f>
        <v>0</v>
      </c>
      <c r="AW190" s="11">
        <f>H190*AO190</f>
        <v>0</v>
      </c>
      <c r="AX190" s="11">
        <f>H190*AP190</f>
        <v>0</v>
      </c>
      <c r="AY190" s="12" t="s">
        <v>537</v>
      </c>
      <c r="AZ190" s="12" t="s">
        <v>52</v>
      </c>
      <c r="BA190" s="40" t="s">
        <v>647</v>
      </c>
      <c r="BC190" s="11">
        <f>AW190+AX190</f>
        <v>0</v>
      </c>
      <c r="BD190" s="11">
        <f>I190/(100-BE190)*100</f>
        <v>0</v>
      </c>
      <c r="BE190" s="11">
        <v>0</v>
      </c>
      <c r="BF190" s="11">
        <f>198</f>
        <v>198</v>
      </c>
      <c r="BH190" s="11">
        <f>H190*AO190</f>
        <v>0</v>
      </c>
      <c r="BI190" s="11">
        <f>H190*AP190</f>
        <v>0</v>
      </c>
      <c r="BJ190" s="11">
        <f>H190*I190</f>
        <v>0</v>
      </c>
      <c r="BK190" s="11"/>
      <c r="BL190" s="11">
        <v>722</v>
      </c>
    </row>
    <row r="191" spans="1:64" ht="13.5" customHeight="1">
      <c r="A191" s="53"/>
      <c r="B191" s="54" t="s">
        <v>440</v>
      </c>
      <c r="C191" s="394" t="s">
        <v>101</v>
      </c>
      <c r="D191" s="395"/>
      <c r="E191" s="395"/>
      <c r="F191" s="395"/>
      <c r="G191" s="395"/>
      <c r="H191" s="395"/>
      <c r="I191" s="395"/>
      <c r="J191" s="395"/>
      <c r="K191" s="395"/>
      <c r="L191" s="395"/>
      <c r="M191" s="396"/>
    </row>
    <row r="192" spans="1:64" ht="15" customHeight="1">
      <c r="A192" s="9" t="s">
        <v>396</v>
      </c>
      <c r="B192" s="10" t="s">
        <v>331</v>
      </c>
      <c r="C192" s="366" t="s">
        <v>274</v>
      </c>
      <c r="D192" s="366"/>
      <c r="E192" s="366"/>
      <c r="F192" s="366"/>
      <c r="G192" s="10" t="s">
        <v>700</v>
      </c>
      <c r="H192" s="11">
        <v>125</v>
      </c>
      <c r="I192" s="11">
        <v>0</v>
      </c>
      <c r="J192" s="11">
        <f>H192*AO192</f>
        <v>0</v>
      </c>
      <c r="K192" s="11">
        <f>H192*AP192</f>
        <v>0</v>
      </c>
      <c r="L192" s="11">
        <f>H192*I192</f>
        <v>0</v>
      </c>
      <c r="M192" s="52" t="s">
        <v>575</v>
      </c>
      <c r="Z192" s="11">
        <f>IF(AQ192="5",BJ192,0)</f>
        <v>0</v>
      </c>
      <c r="AB192" s="11">
        <f>IF(AQ192="1",BH192,0)</f>
        <v>0</v>
      </c>
      <c r="AC192" s="11">
        <f>IF(AQ192="1",BI192,0)</f>
        <v>0</v>
      </c>
      <c r="AD192" s="11">
        <f>IF(AQ192="7",BH192,0)</f>
        <v>0</v>
      </c>
      <c r="AE192" s="11">
        <f>IF(AQ192="7",BI192,0)</f>
        <v>0</v>
      </c>
      <c r="AF192" s="11">
        <f>IF(AQ192="2",BH192,0)</f>
        <v>0</v>
      </c>
      <c r="AG192" s="11">
        <f>IF(AQ192="2",BI192,0)</f>
        <v>0</v>
      </c>
      <c r="AH192" s="11">
        <f>IF(AQ192="0",BJ192,0)</f>
        <v>0</v>
      </c>
      <c r="AI192" s="40" t="s">
        <v>586</v>
      </c>
      <c r="AJ192" s="11">
        <f>IF(AN192=0,L192,0)</f>
        <v>0</v>
      </c>
      <c r="AK192" s="11">
        <f>IF(AN192=15,L192,0)</f>
        <v>0</v>
      </c>
      <c r="AL192" s="11">
        <f>IF(AN192=21,L192,0)</f>
        <v>0</v>
      </c>
      <c r="AN192" s="11">
        <v>21</v>
      </c>
      <c r="AO192" s="11">
        <f>I192*0.322082018927445</f>
        <v>0</v>
      </c>
      <c r="AP192" s="11">
        <f>I192*(1-0.322082018927445)</f>
        <v>0</v>
      </c>
      <c r="AQ192" s="12" t="s">
        <v>845</v>
      </c>
      <c r="AV192" s="11">
        <f>AW192+AX192</f>
        <v>0</v>
      </c>
      <c r="AW192" s="11">
        <f>H192*AO192</f>
        <v>0</v>
      </c>
      <c r="AX192" s="11">
        <f>H192*AP192</f>
        <v>0</v>
      </c>
      <c r="AY192" s="12" t="s">
        <v>537</v>
      </c>
      <c r="AZ192" s="12" t="s">
        <v>52</v>
      </c>
      <c r="BA192" s="40" t="s">
        <v>647</v>
      </c>
      <c r="BC192" s="11">
        <f>AW192+AX192</f>
        <v>0</v>
      </c>
      <c r="BD192" s="11">
        <f>I192/(100-BE192)*100</f>
        <v>0</v>
      </c>
      <c r="BE192" s="11">
        <v>0</v>
      </c>
      <c r="BF192" s="11">
        <f>200</f>
        <v>200</v>
      </c>
      <c r="BH192" s="11">
        <f>H192*AO192</f>
        <v>0</v>
      </c>
      <c r="BI192" s="11">
        <f>H192*AP192</f>
        <v>0</v>
      </c>
      <c r="BJ192" s="11">
        <f>H192*I192</f>
        <v>0</v>
      </c>
      <c r="BK192" s="11"/>
      <c r="BL192" s="11">
        <v>722</v>
      </c>
    </row>
    <row r="193" spans="1:64" ht="13.5" customHeight="1">
      <c r="A193" s="53"/>
      <c r="B193" s="54" t="s">
        <v>440</v>
      </c>
      <c r="C193" s="394" t="s">
        <v>247</v>
      </c>
      <c r="D193" s="395"/>
      <c r="E193" s="395"/>
      <c r="F193" s="395"/>
      <c r="G193" s="395"/>
      <c r="H193" s="395"/>
      <c r="I193" s="395"/>
      <c r="J193" s="395"/>
      <c r="K193" s="395"/>
      <c r="L193" s="395"/>
      <c r="M193" s="396"/>
    </row>
    <row r="194" spans="1:64" ht="15" customHeight="1">
      <c r="A194" s="9" t="s">
        <v>248</v>
      </c>
      <c r="B194" s="10" t="s">
        <v>476</v>
      </c>
      <c r="C194" s="366" t="s">
        <v>274</v>
      </c>
      <c r="D194" s="366"/>
      <c r="E194" s="366"/>
      <c r="F194" s="366"/>
      <c r="G194" s="10" t="s">
        <v>700</v>
      </c>
      <c r="H194" s="11">
        <v>45</v>
      </c>
      <c r="I194" s="11">
        <v>0</v>
      </c>
      <c r="J194" s="11">
        <f>H194*AO194</f>
        <v>0</v>
      </c>
      <c r="K194" s="11">
        <f>H194*AP194</f>
        <v>0</v>
      </c>
      <c r="L194" s="11">
        <f>H194*I194</f>
        <v>0</v>
      </c>
      <c r="M194" s="52" t="s">
        <v>575</v>
      </c>
      <c r="Z194" s="11">
        <f>IF(AQ194="5",BJ194,0)</f>
        <v>0</v>
      </c>
      <c r="AB194" s="11">
        <f>IF(AQ194="1",BH194,0)</f>
        <v>0</v>
      </c>
      <c r="AC194" s="11">
        <f>IF(AQ194="1",BI194,0)</f>
        <v>0</v>
      </c>
      <c r="AD194" s="11">
        <f>IF(AQ194="7",BH194,0)</f>
        <v>0</v>
      </c>
      <c r="AE194" s="11">
        <f>IF(AQ194="7",BI194,0)</f>
        <v>0</v>
      </c>
      <c r="AF194" s="11">
        <f>IF(AQ194="2",BH194,0)</f>
        <v>0</v>
      </c>
      <c r="AG194" s="11">
        <f>IF(AQ194="2",BI194,0)</f>
        <v>0</v>
      </c>
      <c r="AH194" s="11">
        <f>IF(AQ194="0",BJ194,0)</f>
        <v>0</v>
      </c>
      <c r="AI194" s="40" t="s">
        <v>586</v>
      </c>
      <c r="AJ194" s="11">
        <f>IF(AN194=0,L194,0)</f>
        <v>0</v>
      </c>
      <c r="AK194" s="11">
        <f>IF(AN194=15,L194,0)</f>
        <v>0</v>
      </c>
      <c r="AL194" s="11">
        <f>IF(AN194=21,L194,0)</f>
        <v>0</v>
      </c>
      <c r="AN194" s="11">
        <v>21</v>
      </c>
      <c r="AO194" s="11">
        <f>I194*0.386425992779783</f>
        <v>0</v>
      </c>
      <c r="AP194" s="11">
        <f>I194*(1-0.386425992779783)</f>
        <v>0</v>
      </c>
      <c r="AQ194" s="12" t="s">
        <v>845</v>
      </c>
      <c r="AV194" s="11">
        <f>AW194+AX194</f>
        <v>0</v>
      </c>
      <c r="AW194" s="11">
        <f>H194*AO194</f>
        <v>0</v>
      </c>
      <c r="AX194" s="11">
        <f>H194*AP194</f>
        <v>0</v>
      </c>
      <c r="AY194" s="12" t="s">
        <v>537</v>
      </c>
      <c r="AZ194" s="12" t="s">
        <v>52</v>
      </c>
      <c r="BA194" s="40" t="s">
        <v>647</v>
      </c>
      <c r="BC194" s="11">
        <f>AW194+AX194</f>
        <v>0</v>
      </c>
      <c r="BD194" s="11">
        <f>I194/(100-BE194)*100</f>
        <v>0</v>
      </c>
      <c r="BE194" s="11">
        <v>0</v>
      </c>
      <c r="BF194" s="11">
        <f>202</f>
        <v>202</v>
      </c>
      <c r="BH194" s="11">
        <f>H194*AO194</f>
        <v>0</v>
      </c>
      <c r="BI194" s="11">
        <f>H194*AP194</f>
        <v>0</v>
      </c>
      <c r="BJ194" s="11">
        <f>H194*I194</f>
        <v>0</v>
      </c>
      <c r="BK194" s="11"/>
      <c r="BL194" s="11">
        <v>722</v>
      </c>
    </row>
    <row r="195" spans="1:64" ht="13.5" customHeight="1">
      <c r="A195" s="53"/>
      <c r="B195" s="54" t="s">
        <v>440</v>
      </c>
      <c r="C195" s="394" t="s">
        <v>297</v>
      </c>
      <c r="D195" s="395"/>
      <c r="E195" s="395"/>
      <c r="F195" s="395"/>
      <c r="G195" s="395"/>
      <c r="H195" s="395"/>
      <c r="I195" s="395"/>
      <c r="J195" s="395"/>
      <c r="K195" s="395"/>
      <c r="L195" s="395"/>
      <c r="M195" s="396"/>
    </row>
    <row r="196" spans="1:64" ht="15" customHeight="1">
      <c r="A196" s="9" t="s">
        <v>230</v>
      </c>
      <c r="B196" s="10" t="s">
        <v>179</v>
      </c>
      <c r="C196" s="366" t="s">
        <v>875</v>
      </c>
      <c r="D196" s="366"/>
      <c r="E196" s="366"/>
      <c r="F196" s="366"/>
      <c r="G196" s="10" t="s">
        <v>700</v>
      </c>
      <c r="H196" s="11">
        <v>65</v>
      </c>
      <c r="I196" s="11">
        <v>0</v>
      </c>
      <c r="J196" s="11">
        <f t="shared" ref="J196:J229" si="156">H196*AO196</f>
        <v>0</v>
      </c>
      <c r="K196" s="11">
        <f t="shared" ref="K196:K229" si="157">H196*AP196</f>
        <v>0</v>
      </c>
      <c r="L196" s="11">
        <f t="shared" ref="L196:L229" si="158">H196*I196</f>
        <v>0</v>
      </c>
      <c r="M196" s="52" t="s">
        <v>575</v>
      </c>
      <c r="Z196" s="11">
        <f t="shared" ref="Z196:Z229" si="159">IF(AQ196="5",BJ196,0)</f>
        <v>0</v>
      </c>
      <c r="AB196" s="11">
        <f t="shared" ref="AB196:AB229" si="160">IF(AQ196="1",BH196,0)</f>
        <v>0</v>
      </c>
      <c r="AC196" s="11">
        <f t="shared" ref="AC196:AC229" si="161">IF(AQ196="1",BI196,0)</f>
        <v>0</v>
      </c>
      <c r="AD196" s="11">
        <f t="shared" ref="AD196:AD229" si="162">IF(AQ196="7",BH196,0)</f>
        <v>0</v>
      </c>
      <c r="AE196" s="11">
        <f t="shared" ref="AE196:AE229" si="163">IF(AQ196="7",BI196,0)</f>
        <v>0</v>
      </c>
      <c r="AF196" s="11">
        <f t="shared" ref="AF196:AF229" si="164">IF(AQ196="2",BH196,0)</f>
        <v>0</v>
      </c>
      <c r="AG196" s="11">
        <f t="shared" ref="AG196:AG229" si="165">IF(AQ196="2",BI196,0)</f>
        <v>0</v>
      </c>
      <c r="AH196" s="11">
        <f t="shared" ref="AH196:AH229" si="166">IF(AQ196="0",BJ196,0)</f>
        <v>0</v>
      </c>
      <c r="AI196" s="40" t="s">
        <v>586</v>
      </c>
      <c r="AJ196" s="11">
        <f t="shared" ref="AJ196:AJ229" si="167">IF(AN196=0,L196,0)</f>
        <v>0</v>
      </c>
      <c r="AK196" s="11">
        <f t="shared" ref="AK196:AK229" si="168">IF(AN196=15,L196,0)</f>
        <v>0</v>
      </c>
      <c r="AL196" s="11">
        <f t="shared" ref="AL196:AL229" si="169">IF(AN196=21,L196,0)</f>
        <v>0</v>
      </c>
      <c r="AN196" s="11">
        <v>21</v>
      </c>
      <c r="AO196" s="11">
        <f>I196*0.0904921700223714</f>
        <v>0</v>
      </c>
      <c r="AP196" s="11">
        <f>I196*(1-0.0904921700223714)</f>
        <v>0</v>
      </c>
      <c r="AQ196" s="12" t="s">
        <v>845</v>
      </c>
      <c r="AV196" s="11">
        <f t="shared" ref="AV196:AV229" si="170">AW196+AX196</f>
        <v>0</v>
      </c>
      <c r="AW196" s="11">
        <f t="shared" ref="AW196:AW229" si="171">H196*AO196</f>
        <v>0</v>
      </c>
      <c r="AX196" s="11">
        <f t="shared" ref="AX196:AX229" si="172">H196*AP196</f>
        <v>0</v>
      </c>
      <c r="AY196" s="12" t="s">
        <v>537</v>
      </c>
      <c r="AZ196" s="12" t="s">
        <v>52</v>
      </c>
      <c r="BA196" s="40" t="s">
        <v>647</v>
      </c>
      <c r="BC196" s="11">
        <f t="shared" ref="BC196:BC229" si="173">AW196+AX196</f>
        <v>0</v>
      </c>
      <c r="BD196" s="11">
        <f t="shared" ref="BD196:BD229" si="174">I196/(100-BE196)*100</f>
        <v>0</v>
      </c>
      <c r="BE196" s="11">
        <v>0</v>
      </c>
      <c r="BF196" s="11">
        <f>204</f>
        <v>204</v>
      </c>
      <c r="BH196" s="11">
        <f t="shared" ref="BH196:BH229" si="175">H196*AO196</f>
        <v>0</v>
      </c>
      <c r="BI196" s="11">
        <f t="shared" ref="BI196:BI229" si="176">H196*AP196</f>
        <v>0</v>
      </c>
      <c r="BJ196" s="11">
        <f t="shared" ref="BJ196:BJ229" si="177">H196*I196</f>
        <v>0</v>
      </c>
      <c r="BK196" s="11"/>
      <c r="BL196" s="11">
        <v>722</v>
      </c>
    </row>
    <row r="197" spans="1:64" ht="15" customHeight="1">
      <c r="A197" s="9" t="s">
        <v>861</v>
      </c>
      <c r="B197" s="10" t="s">
        <v>943</v>
      </c>
      <c r="C197" s="366" t="s">
        <v>779</v>
      </c>
      <c r="D197" s="366"/>
      <c r="E197" s="366"/>
      <c r="F197" s="366"/>
      <c r="G197" s="10" t="s">
        <v>700</v>
      </c>
      <c r="H197" s="11">
        <v>66.95</v>
      </c>
      <c r="I197" s="11">
        <v>0</v>
      </c>
      <c r="J197" s="11">
        <f t="shared" si="156"/>
        <v>0</v>
      </c>
      <c r="K197" s="11">
        <f t="shared" si="157"/>
        <v>0</v>
      </c>
      <c r="L197" s="11">
        <f t="shared" si="158"/>
        <v>0</v>
      </c>
      <c r="M197" s="52" t="s">
        <v>575</v>
      </c>
      <c r="Z197" s="11">
        <f t="shared" si="159"/>
        <v>0</v>
      </c>
      <c r="AB197" s="11">
        <f t="shared" si="160"/>
        <v>0</v>
      </c>
      <c r="AC197" s="11">
        <f t="shared" si="161"/>
        <v>0</v>
      </c>
      <c r="AD197" s="11">
        <f t="shared" si="162"/>
        <v>0</v>
      </c>
      <c r="AE197" s="11">
        <f t="shared" si="163"/>
        <v>0</v>
      </c>
      <c r="AF197" s="11">
        <f t="shared" si="164"/>
        <v>0</v>
      </c>
      <c r="AG197" s="11">
        <f t="shared" si="165"/>
        <v>0</v>
      </c>
      <c r="AH197" s="11">
        <f t="shared" si="166"/>
        <v>0</v>
      </c>
      <c r="AI197" s="40" t="s">
        <v>586</v>
      </c>
      <c r="AJ197" s="11">
        <f t="shared" si="167"/>
        <v>0</v>
      </c>
      <c r="AK197" s="11">
        <f t="shared" si="168"/>
        <v>0</v>
      </c>
      <c r="AL197" s="11">
        <f t="shared" si="169"/>
        <v>0</v>
      </c>
      <c r="AN197" s="11">
        <v>21</v>
      </c>
      <c r="AO197" s="11">
        <f>I197*1</f>
        <v>0</v>
      </c>
      <c r="AP197" s="11">
        <f>I197*(1-1)</f>
        <v>0</v>
      </c>
      <c r="AQ197" s="12" t="s">
        <v>845</v>
      </c>
      <c r="AV197" s="11">
        <f t="shared" si="170"/>
        <v>0</v>
      </c>
      <c r="AW197" s="11">
        <f t="shared" si="171"/>
        <v>0</v>
      </c>
      <c r="AX197" s="11">
        <f t="shared" si="172"/>
        <v>0</v>
      </c>
      <c r="AY197" s="12" t="s">
        <v>537</v>
      </c>
      <c r="AZ197" s="12" t="s">
        <v>52</v>
      </c>
      <c r="BA197" s="40" t="s">
        <v>647</v>
      </c>
      <c r="BC197" s="11">
        <f t="shared" si="173"/>
        <v>0</v>
      </c>
      <c r="BD197" s="11">
        <f t="shared" si="174"/>
        <v>0</v>
      </c>
      <c r="BE197" s="11">
        <v>0</v>
      </c>
      <c r="BF197" s="11">
        <f>205</f>
        <v>205</v>
      </c>
      <c r="BH197" s="11">
        <f t="shared" si="175"/>
        <v>0</v>
      </c>
      <c r="BI197" s="11">
        <f t="shared" si="176"/>
        <v>0</v>
      </c>
      <c r="BJ197" s="11">
        <f t="shared" si="177"/>
        <v>0</v>
      </c>
      <c r="BK197" s="11"/>
      <c r="BL197" s="11">
        <v>722</v>
      </c>
    </row>
    <row r="198" spans="1:64" ht="15" customHeight="1">
      <c r="A198" s="9" t="s">
        <v>323</v>
      </c>
      <c r="B198" s="10" t="s">
        <v>633</v>
      </c>
      <c r="C198" s="366" t="s">
        <v>551</v>
      </c>
      <c r="D198" s="366"/>
      <c r="E198" s="366"/>
      <c r="F198" s="366"/>
      <c r="G198" s="10" t="s">
        <v>700</v>
      </c>
      <c r="H198" s="11">
        <v>125</v>
      </c>
      <c r="I198" s="11">
        <v>0</v>
      </c>
      <c r="J198" s="11">
        <f t="shared" si="156"/>
        <v>0</v>
      </c>
      <c r="K198" s="11">
        <f t="shared" si="157"/>
        <v>0</v>
      </c>
      <c r="L198" s="11">
        <f t="shared" si="158"/>
        <v>0</v>
      </c>
      <c r="M198" s="52" t="s">
        <v>575</v>
      </c>
      <c r="Z198" s="11">
        <f t="shared" si="159"/>
        <v>0</v>
      </c>
      <c r="AB198" s="11">
        <f t="shared" si="160"/>
        <v>0</v>
      </c>
      <c r="AC198" s="11">
        <f t="shared" si="161"/>
        <v>0</v>
      </c>
      <c r="AD198" s="11">
        <f t="shared" si="162"/>
        <v>0</v>
      </c>
      <c r="AE198" s="11">
        <f t="shared" si="163"/>
        <v>0</v>
      </c>
      <c r="AF198" s="11">
        <f t="shared" si="164"/>
        <v>0</v>
      </c>
      <c r="AG198" s="11">
        <f t="shared" si="165"/>
        <v>0</v>
      </c>
      <c r="AH198" s="11">
        <f t="shared" si="166"/>
        <v>0</v>
      </c>
      <c r="AI198" s="40" t="s">
        <v>586</v>
      </c>
      <c r="AJ198" s="11">
        <f t="shared" si="167"/>
        <v>0</v>
      </c>
      <c r="AK198" s="11">
        <f t="shared" si="168"/>
        <v>0</v>
      </c>
      <c r="AL198" s="11">
        <f t="shared" si="169"/>
        <v>0</v>
      </c>
      <c r="AN198" s="11">
        <v>21</v>
      </c>
      <c r="AO198" s="11">
        <f>I198*0.0843587069864442</f>
        <v>0</v>
      </c>
      <c r="AP198" s="11">
        <f>I198*(1-0.0843587069864442)</f>
        <v>0</v>
      </c>
      <c r="AQ198" s="12" t="s">
        <v>845</v>
      </c>
      <c r="AV198" s="11">
        <f t="shared" si="170"/>
        <v>0</v>
      </c>
      <c r="AW198" s="11">
        <f t="shared" si="171"/>
        <v>0</v>
      </c>
      <c r="AX198" s="11">
        <f t="shared" si="172"/>
        <v>0</v>
      </c>
      <c r="AY198" s="12" t="s">
        <v>537</v>
      </c>
      <c r="AZ198" s="12" t="s">
        <v>52</v>
      </c>
      <c r="BA198" s="40" t="s">
        <v>647</v>
      </c>
      <c r="BC198" s="11">
        <f t="shared" si="173"/>
        <v>0</v>
      </c>
      <c r="BD198" s="11">
        <f t="shared" si="174"/>
        <v>0</v>
      </c>
      <c r="BE198" s="11">
        <v>0</v>
      </c>
      <c r="BF198" s="11">
        <f>206</f>
        <v>206</v>
      </c>
      <c r="BH198" s="11">
        <f t="shared" si="175"/>
        <v>0</v>
      </c>
      <c r="BI198" s="11">
        <f t="shared" si="176"/>
        <v>0</v>
      </c>
      <c r="BJ198" s="11">
        <f t="shared" si="177"/>
        <v>0</v>
      </c>
      <c r="BK198" s="11"/>
      <c r="BL198" s="11">
        <v>722</v>
      </c>
    </row>
    <row r="199" spans="1:64" ht="15" customHeight="1">
      <c r="A199" s="9" t="s">
        <v>235</v>
      </c>
      <c r="B199" s="10" t="s">
        <v>200</v>
      </c>
      <c r="C199" s="366" t="s">
        <v>377</v>
      </c>
      <c r="D199" s="366"/>
      <c r="E199" s="366"/>
      <c r="F199" s="366"/>
      <c r="G199" s="10" t="s">
        <v>700</v>
      </c>
      <c r="H199" s="11">
        <v>128.75</v>
      </c>
      <c r="I199" s="11">
        <v>0</v>
      </c>
      <c r="J199" s="11">
        <f t="shared" si="156"/>
        <v>0</v>
      </c>
      <c r="K199" s="11">
        <f t="shared" si="157"/>
        <v>0</v>
      </c>
      <c r="L199" s="11">
        <f t="shared" si="158"/>
        <v>0</v>
      </c>
      <c r="M199" s="52" t="s">
        <v>575</v>
      </c>
      <c r="Z199" s="11">
        <f t="shared" si="159"/>
        <v>0</v>
      </c>
      <c r="AB199" s="11">
        <f t="shared" si="160"/>
        <v>0</v>
      </c>
      <c r="AC199" s="11">
        <f t="shared" si="161"/>
        <v>0</v>
      </c>
      <c r="AD199" s="11">
        <f t="shared" si="162"/>
        <v>0</v>
      </c>
      <c r="AE199" s="11">
        <f t="shared" si="163"/>
        <v>0</v>
      </c>
      <c r="AF199" s="11">
        <f t="shared" si="164"/>
        <v>0</v>
      </c>
      <c r="AG199" s="11">
        <f t="shared" si="165"/>
        <v>0</v>
      </c>
      <c r="AH199" s="11">
        <f t="shared" si="166"/>
        <v>0</v>
      </c>
      <c r="AI199" s="40" t="s">
        <v>586</v>
      </c>
      <c r="AJ199" s="11">
        <f t="shared" si="167"/>
        <v>0</v>
      </c>
      <c r="AK199" s="11">
        <f t="shared" si="168"/>
        <v>0</v>
      </c>
      <c r="AL199" s="11">
        <f t="shared" si="169"/>
        <v>0</v>
      </c>
      <c r="AN199" s="11">
        <v>21</v>
      </c>
      <c r="AO199" s="11">
        <f>I199*1</f>
        <v>0</v>
      </c>
      <c r="AP199" s="11">
        <f>I199*(1-1)</f>
        <v>0</v>
      </c>
      <c r="AQ199" s="12" t="s">
        <v>845</v>
      </c>
      <c r="AV199" s="11">
        <f t="shared" si="170"/>
        <v>0</v>
      </c>
      <c r="AW199" s="11">
        <f t="shared" si="171"/>
        <v>0</v>
      </c>
      <c r="AX199" s="11">
        <f t="shared" si="172"/>
        <v>0</v>
      </c>
      <c r="AY199" s="12" t="s">
        <v>537</v>
      </c>
      <c r="AZ199" s="12" t="s">
        <v>52</v>
      </c>
      <c r="BA199" s="40" t="s">
        <v>647</v>
      </c>
      <c r="BC199" s="11">
        <f t="shared" si="173"/>
        <v>0</v>
      </c>
      <c r="BD199" s="11">
        <f t="shared" si="174"/>
        <v>0</v>
      </c>
      <c r="BE199" s="11">
        <v>0</v>
      </c>
      <c r="BF199" s="11">
        <f>207</f>
        <v>207</v>
      </c>
      <c r="BH199" s="11">
        <f t="shared" si="175"/>
        <v>0</v>
      </c>
      <c r="BI199" s="11">
        <f t="shared" si="176"/>
        <v>0</v>
      </c>
      <c r="BJ199" s="11">
        <f t="shared" si="177"/>
        <v>0</v>
      </c>
      <c r="BK199" s="11"/>
      <c r="BL199" s="11">
        <v>722</v>
      </c>
    </row>
    <row r="200" spans="1:64" ht="15" customHeight="1">
      <c r="A200" s="9" t="s">
        <v>636</v>
      </c>
      <c r="B200" s="10" t="s">
        <v>261</v>
      </c>
      <c r="C200" s="366" t="s">
        <v>122</v>
      </c>
      <c r="D200" s="366"/>
      <c r="E200" s="366"/>
      <c r="F200" s="366"/>
      <c r="G200" s="10" t="s">
        <v>700</v>
      </c>
      <c r="H200" s="11">
        <v>45</v>
      </c>
      <c r="I200" s="11">
        <v>0</v>
      </c>
      <c r="J200" s="11">
        <f t="shared" si="156"/>
        <v>0</v>
      </c>
      <c r="K200" s="11">
        <f t="shared" si="157"/>
        <v>0</v>
      </c>
      <c r="L200" s="11">
        <f t="shared" si="158"/>
        <v>0</v>
      </c>
      <c r="M200" s="52" t="s">
        <v>575</v>
      </c>
      <c r="Z200" s="11">
        <f t="shared" si="159"/>
        <v>0</v>
      </c>
      <c r="AB200" s="11">
        <f t="shared" si="160"/>
        <v>0</v>
      </c>
      <c r="AC200" s="11">
        <f t="shared" si="161"/>
        <v>0</v>
      </c>
      <c r="AD200" s="11">
        <f t="shared" si="162"/>
        <v>0</v>
      </c>
      <c r="AE200" s="11">
        <f t="shared" si="163"/>
        <v>0</v>
      </c>
      <c r="AF200" s="11">
        <f t="shared" si="164"/>
        <v>0</v>
      </c>
      <c r="AG200" s="11">
        <f t="shared" si="165"/>
        <v>0</v>
      </c>
      <c r="AH200" s="11">
        <f t="shared" si="166"/>
        <v>0</v>
      </c>
      <c r="AI200" s="40" t="s">
        <v>586</v>
      </c>
      <c r="AJ200" s="11">
        <f t="shared" si="167"/>
        <v>0</v>
      </c>
      <c r="AK200" s="11">
        <f t="shared" si="168"/>
        <v>0</v>
      </c>
      <c r="AL200" s="11">
        <f t="shared" si="169"/>
        <v>0</v>
      </c>
      <c r="AN200" s="11">
        <v>21</v>
      </c>
      <c r="AO200" s="11">
        <f>I200*0.0652316654320156</f>
        <v>0</v>
      </c>
      <c r="AP200" s="11">
        <f>I200*(1-0.0652316654320156)</f>
        <v>0</v>
      </c>
      <c r="AQ200" s="12" t="s">
        <v>845</v>
      </c>
      <c r="AV200" s="11">
        <f t="shared" si="170"/>
        <v>0</v>
      </c>
      <c r="AW200" s="11">
        <f t="shared" si="171"/>
        <v>0</v>
      </c>
      <c r="AX200" s="11">
        <f t="shared" si="172"/>
        <v>0</v>
      </c>
      <c r="AY200" s="12" t="s">
        <v>537</v>
      </c>
      <c r="AZ200" s="12" t="s">
        <v>52</v>
      </c>
      <c r="BA200" s="40" t="s">
        <v>647</v>
      </c>
      <c r="BC200" s="11">
        <f t="shared" si="173"/>
        <v>0</v>
      </c>
      <c r="BD200" s="11">
        <f t="shared" si="174"/>
        <v>0</v>
      </c>
      <c r="BE200" s="11">
        <v>0</v>
      </c>
      <c r="BF200" s="11">
        <f>208</f>
        <v>208</v>
      </c>
      <c r="BH200" s="11">
        <f t="shared" si="175"/>
        <v>0</v>
      </c>
      <c r="BI200" s="11">
        <f t="shared" si="176"/>
        <v>0</v>
      </c>
      <c r="BJ200" s="11">
        <f t="shared" si="177"/>
        <v>0</v>
      </c>
      <c r="BK200" s="11"/>
      <c r="BL200" s="11">
        <v>722</v>
      </c>
    </row>
    <row r="201" spans="1:64" ht="15" customHeight="1">
      <c r="A201" s="9" t="s">
        <v>111</v>
      </c>
      <c r="B201" s="10" t="s">
        <v>709</v>
      </c>
      <c r="C201" s="366" t="s">
        <v>110</v>
      </c>
      <c r="D201" s="366"/>
      <c r="E201" s="366"/>
      <c r="F201" s="366"/>
      <c r="G201" s="10" t="s">
        <v>700</v>
      </c>
      <c r="H201" s="11">
        <v>46.35</v>
      </c>
      <c r="I201" s="11">
        <v>0</v>
      </c>
      <c r="J201" s="11">
        <f t="shared" si="156"/>
        <v>0</v>
      </c>
      <c r="K201" s="11">
        <f t="shared" si="157"/>
        <v>0</v>
      </c>
      <c r="L201" s="11">
        <f t="shared" si="158"/>
        <v>0</v>
      </c>
      <c r="M201" s="52" t="s">
        <v>575</v>
      </c>
      <c r="Z201" s="11">
        <f t="shared" si="159"/>
        <v>0</v>
      </c>
      <c r="AB201" s="11">
        <f t="shared" si="160"/>
        <v>0</v>
      </c>
      <c r="AC201" s="11">
        <f t="shared" si="161"/>
        <v>0</v>
      </c>
      <c r="AD201" s="11">
        <f t="shared" si="162"/>
        <v>0</v>
      </c>
      <c r="AE201" s="11">
        <f t="shared" si="163"/>
        <v>0</v>
      </c>
      <c r="AF201" s="11">
        <f t="shared" si="164"/>
        <v>0</v>
      </c>
      <c r="AG201" s="11">
        <f t="shared" si="165"/>
        <v>0</v>
      </c>
      <c r="AH201" s="11">
        <f t="shared" si="166"/>
        <v>0</v>
      </c>
      <c r="AI201" s="40" t="s">
        <v>586</v>
      </c>
      <c r="AJ201" s="11">
        <f t="shared" si="167"/>
        <v>0</v>
      </c>
      <c r="AK201" s="11">
        <f t="shared" si="168"/>
        <v>0</v>
      </c>
      <c r="AL201" s="11">
        <f t="shared" si="169"/>
        <v>0</v>
      </c>
      <c r="AN201" s="11">
        <v>21</v>
      </c>
      <c r="AO201" s="11">
        <f>I201*1</f>
        <v>0</v>
      </c>
      <c r="AP201" s="11">
        <f>I201*(1-1)</f>
        <v>0</v>
      </c>
      <c r="AQ201" s="12" t="s">
        <v>845</v>
      </c>
      <c r="AV201" s="11">
        <f t="shared" si="170"/>
        <v>0</v>
      </c>
      <c r="AW201" s="11">
        <f t="shared" si="171"/>
        <v>0</v>
      </c>
      <c r="AX201" s="11">
        <f t="shared" si="172"/>
        <v>0</v>
      </c>
      <c r="AY201" s="12" t="s">
        <v>537</v>
      </c>
      <c r="AZ201" s="12" t="s">
        <v>52</v>
      </c>
      <c r="BA201" s="40" t="s">
        <v>647</v>
      </c>
      <c r="BC201" s="11">
        <f t="shared" si="173"/>
        <v>0</v>
      </c>
      <c r="BD201" s="11">
        <f t="shared" si="174"/>
        <v>0</v>
      </c>
      <c r="BE201" s="11">
        <v>0</v>
      </c>
      <c r="BF201" s="11">
        <f>209</f>
        <v>209</v>
      </c>
      <c r="BH201" s="11">
        <f t="shared" si="175"/>
        <v>0</v>
      </c>
      <c r="BI201" s="11">
        <f t="shared" si="176"/>
        <v>0</v>
      </c>
      <c r="BJ201" s="11">
        <f t="shared" si="177"/>
        <v>0</v>
      </c>
      <c r="BK201" s="11"/>
      <c r="BL201" s="11">
        <v>722</v>
      </c>
    </row>
    <row r="202" spans="1:64" ht="15" customHeight="1">
      <c r="A202" s="9" t="s">
        <v>785</v>
      </c>
      <c r="B202" s="10" t="s">
        <v>27</v>
      </c>
      <c r="C202" s="366" t="s">
        <v>851</v>
      </c>
      <c r="D202" s="366"/>
      <c r="E202" s="366"/>
      <c r="F202" s="366"/>
      <c r="G202" s="10" t="s">
        <v>216</v>
      </c>
      <c r="H202" s="11">
        <v>8</v>
      </c>
      <c r="I202" s="11">
        <v>0</v>
      </c>
      <c r="J202" s="11">
        <f t="shared" si="156"/>
        <v>0</v>
      </c>
      <c r="K202" s="11">
        <f t="shared" si="157"/>
        <v>0</v>
      </c>
      <c r="L202" s="11">
        <f t="shared" si="158"/>
        <v>0</v>
      </c>
      <c r="M202" s="52" t="s">
        <v>575</v>
      </c>
      <c r="Z202" s="11">
        <f t="shared" si="159"/>
        <v>0</v>
      </c>
      <c r="AB202" s="11">
        <f t="shared" si="160"/>
        <v>0</v>
      </c>
      <c r="AC202" s="11">
        <f t="shared" si="161"/>
        <v>0</v>
      </c>
      <c r="AD202" s="11">
        <f t="shared" si="162"/>
        <v>0</v>
      </c>
      <c r="AE202" s="11">
        <f t="shared" si="163"/>
        <v>0</v>
      </c>
      <c r="AF202" s="11">
        <f t="shared" si="164"/>
        <v>0</v>
      </c>
      <c r="AG202" s="11">
        <f t="shared" si="165"/>
        <v>0</v>
      </c>
      <c r="AH202" s="11">
        <f t="shared" si="166"/>
        <v>0</v>
      </c>
      <c r="AI202" s="40" t="s">
        <v>586</v>
      </c>
      <c r="AJ202" s="11">
        <f t="shared" si="167"/>
        <v>0</v>
      </c>
      <c r="AK202" s="11">
        <f t="shared" si="168"/>
        <v>0</v>
      </c>
      <c r="AL202" s="11">
        <f t="shared" si="169"/>
        <v>0</v>
      </c>
      <c r="AN202" s="11">
        <v>21</v>
      </c>
      <c r="AO202" s="11">
        <f>I202*0.388702012921138</f>
        <v>0</v>
      </c>
      <c r="AP202" s="11">
        <f>I202*(1-0.388702012921138)</f>
        <v>0</v>
      </c>
      <c r="AQ202" s="12" t="s">
        <v>845</v>
      </c>
      <c r="AV202" s="11">
        <f t="shared" si="170"/>
        <v>0</v>
      </c>
      <c r="AW202" s="11">
        <f t="shared" si="171"/>
        <v>0</v>
      </c>
      <c r="AX202" s="11">
        <f t="shared" si="172"/>
        <v>0</v>
      </c>
      <c r="AY202" s="12" t="s">
        <v>537</v>
      </c>
      <c r="AZ202" s="12" t="s">
        <v>52</v>
      </c>
      <c r="BA202" s="40" t="s">
        <v>647</v>
      </c>
      <c r="BC202" s="11">
        <f t="shared" si="173"/>
        <v>0</v>
      </c>
      <c r="BD202" s="11">
        <f t="shared" si="174"/>
        <v>0</v>
      </c>
      <c r="BE202" s="11">
        <v>0</v>
      </c>
      <c r="BF202" s="11">
        <f>210</f>
        <v>210</v>
      </c>
      <c r="BH202" s="11">
        <f t="shared" si="175"/>
        <v>0</v>
      </c>
      <c r="BI202" s="11">
        <f t="shared" si="176"/>
        <v>0</v>
      </c>
      <c r="BJ202" s="11">
        <f t="shared" si="177"/>
        <v>0</v>
      </c>
      <c r="BK202" s="11"/>
      <c r="BL202" s="11">
        <v>722</v>
      </c>
    </row>
    <row r="203" spans="1:64" ht="15" customHeight="1">
      <c r="A203" s="9" t="s">
        <v>209</v>
      </c>
      <c r="B203" s="10" t="s">
        <v>82</v>
      </c>
      <c r="C203" s="366" t="s">
        <v>258</v>
      </c>
      <c r="D203" s="366"/>
      <c r="E203" s="366"/>
      <c r="F203" s="366"/>
      <c r="G203" s="10" t="s">
        <v>216</v>
      </c>
      <c r="H203" s="11">
        <v>12</v>
      </c>
      <c r="I203" s="11">
        <v>0</v>
      </c>
      <c r="J203" s="11">
        <f t="shared" si="156"/>
        <v>0</v>
      </c>
      <c r="K203" s="11">
        <f t="shared" si="157"/>
        <v>0</v>
      </c>
      <c r="L203" s="11">
        <f t="shared" si="158"/>
        <v>0</v>
      </c>
      <c r="M203" s="52" t="s">
        <v>575</v>
      </c>
      <c r="Z203" s="11">
        <f t="shared" si="159"/>
        <v>0</v>
      </c>
      <c r="AB203" s="11">
        <f t="shared" si="160"/>
        <v>0</v>
      </c>
      <c r="AC203" s="11">
        <f t="shared" si="161"/>
        <v>0</v>
      </c>
      <c r="AD203" s="11">
        <f t="shared" si="162"/>
        <v>0</v>
      </c>
      <c r="AE203" s="11">
        <f t="shared" si="163"/>
        <v>0</v>
      </c>
      <c r="AF203" s="11">
        <f t="shared" si="164"/>
        <v>0</v>
      </c>
      <c r="AG203" s="11">
        <f t="shared" si="165"/>
        <v>0</v>
      </c>
      <c r="AH203" s="11">
        <f t="shared" si="166"/>
        <v>0</v>
      </c>
      <c r="AI203" s="40" t="s">
        <v>586</v>
      </c>
      <c r="AJ203" s="11">
        <f t="shared" si="167"/>
        <v>0</v>
      </c>
      <c r="AK203" s="11">
        <f t="shared" si="168"/>
        <v>0</v>
      </c>
      <c r="AL203" s="11">
        <f t="shared" si="169"/>
        <v>0</v>
      </c>
      <c r="AN203" s="11">
        <v>21</v>
      </c>
      <c r="AO203" s="11">
        <f>I203*0.367553012453719</f>
        <v>0</v>
      </c>
      <c r="AP203" s="11">
        <f>I203*(1-0.367553012453719)</f>
        <v>0</v>
      </c>
      <c r="AQ203" s="12" t="s">
        <v>845</v>
      </c>
      <c r="AV203" s="11">
        <f t="shared" si="170"/>
        <v>0</v>
      </c>
      <c r="AW203" s="11">
        <f t="shared" si="171"/>
        <v>0</v>
      </c>
      <c r="AX203" s="11">
        <f t="shared" si="172"/>
        <v>0</v>
      </c>
      <c r="AY203" s="12" t="s">
        <v>537</v>
      </c>
      <c r="AZ203" s="12" t="s">
        <v>52</v>
      </c>
      <c r="BA203" s="40" t="s">
        <v>647</v>
      </c>
      <c r="BC203" s="11">
        <f t="shared" si="173"/>
        <v>0</v>
      </c>
      <c r="BD203" s="11">
        <f t="shared" si="174"/>
        <v>0</v>
      </c>
      <c r="BE203" s="11">
        <v>0</v>
      </c>
      <c r="BF203" s="11">
        <f>211</f>
        <v>211</v>
      </c>
      <c r="BH203" s="11">
        <f t="shared" si="175"/>
        <v>0</v>
      </c>
      <c r="BI203" s="11">
        <f t="shared" si="176"/>
        <v>0</v>
      </c>
      <c r="BJ203" s="11">
        <f t="shared" si="177"/>
        <v>0</v>
      </c>
      <c r="BK203" s="11"/>
      <c r="BL203" s="11">
        <v>722</v>
      </c>
    </row>
    <row r="204" spans="1:64" ht="15" customHeight="1">
      <c r="A204" s="9" t="s">
        <v>124</v>
      </c>
      <c r="B204" s="10" t="s">
        <v>816</v>
      </c>
      <c r="C204" s="366" t="s">
        <v>211</v>
      </c>
      <c r="D204" s="366"/>
      <c r="E204" s="366"/>
      <c r="F204" s="366"/>
      <c r="G204" s="10" t="s">
        <v>216</v>
      </c>
      <c r="H204" s="11">
        <v>34</v>
      </c>
      <c r="I204" s="11">
        <v>0</v>
      </c>
      <c r="J204" s="11">
        <f t="shared" si="156"/>
        <v>0</v>
      </c>
      <c r="K204" s="11">
        <f t="shared" si="157"/>
        <v>0</v>
      </c>
      <c r="L204" s="11">
        <f t="shared" si="158"/>
        <v>0</v>
      </c>
      <c r="M204" s="52" t="s">
        <v>575</v>
      </c>
      <c r="Z204" s="11">
        <f t="shared" si="159"/>
        <v>0</v>
      </c>
      <c r="AB204" s="11">
        <f t="shared" si="160"/>
        <v>0</v>
      </c>
      <c r="AC204" s="11">
        <f t="shared" si="161"/>
        <v>0</v>
      </c>
      <c r="AD204" s="11">
        <f t="shared" si="162"/>
        <v>0</v>
      </c>
      <c r="AE204" s="11">
        <f t="shared" si="163"/>
        <v>0</v>
      </c>
      <c r="AF204" s="11">
        <f t="shared" si="164"/>
        <v>0</v>
      </c>
      <c r="AG204" s="11">
        <f t="shared" si="165"/>
        <v>0</v>
      </c>
      <c r="AH204" s="11">
        <f t="shared" si="166"/>
        <v>0</v>
      </c>
      <c r="AI204" s="40" t="s">
        <v>586</v>
      </c>
      <c r="AJ204" s="11">
        <f t="shared" si="167"/>
        <v>0</v>
      </c>
      <c r="AK204" s="11">
        <f t="shared" si="168"/>
        <v>0</v>
      </c>
      <c r="AL204" s="11">
        <f t="shared" si="169"/>
        <v>0</v>
      </c>
      <c r="AN204" s="11">
        <v>21</v>
      </c>
      <c r="AO204" s="11">
        <f>I204*0.0385245901639344</f>
        <v>0</v>
      </c>
      <c r="AP204" s="11">
        <f>I204*(1-0.0385245901639344)</f>
        <v>0</v>
      </c>
      <c r="AQ204" s="12" t="s">
        <v>845</v>
      </c>
      <c r="AV204" s="11">
        <f t="shared" si="170"/>
        <v>0</v>
      </c>
      <c r="AW204" s="11">
        <f t="shared" si="171"/>
        <v>0</v>
      </c>
      <c r="AX204" s="11">
        <f t="shared" si="172"/>
        <v>0</v>
      </c>
      <c r="AY204" s="12" t="s">
        <v>537</v>
      </c>
      <c r="AZ204" s="12" t="s">
        <v>52</v>
      </c>
      <c r="BA204" s="40" t="s">
        <v>647</v>
      </c>
      <c r="BC204" s="11">
        <f t="shared" si="173"/>
        <v>0</v>
      </c>
      <c r="BD204" s="11">
        <f t="shared" si="174"/>
        <v>0</v>
      </c>
      <c r="BE204" s="11">
        <v>0</v>
      </c>
      <c r="BF204" s="11">
        <f>212</f>
        <v>212</v>
      </c>
      <c r="BH204" s="11">
        <f t="shared" si="175"/>
        <v>0</v>
      </c>
      <c r="BI204" s="11">
        <f t="shared" si="176"/>
        <v>0</v>
      </c>
      <c r="BJ204" s="11">
        <f t="shared" si="177"/>
        <v>0</v>
      </c>
      <c r="BK204" s="11"/>
      <c r="BL204" s="11">
        <v>722</v>
      </c>
    </row>
    <row r="205" spans="1:64" ht="15" customHeight="1">
      <c r="A205" s="9" t="s">
        <v>246</v>
      </c>
      <c r="B205" s="10" t="s">
        <v>509</v>
      </c>
      <c r="C205" s="366" t="s">
        <v>306</v>
      </c>
      <c r="D205" s="366"/>
      <c r="E205" s="366"/>
      <c r="F205" s="366"/>
      <c r="G205" s="10" t="s">
        <v>216</v>
      </c>
      <c r="H205" s="11">
        <v>34</v>
      </c>
      <c r="I205" s="11">
        <v>0</v>
      </c>
      <c r="J205" s="11">
        <f t="shared" si="156"/>
        <v>0</v>
      </c>
      <c r="K205" s="11">
        <f t="shared" si="157"/>
        <v>0</v>
      </c>
      <c r="L205" s="11">
        <f t="shared" si="158"/>
        <v>0</v>
      </c>
      <c r="M205" s="52" t="s">
        <v>575</v>
      </c>
      <c r="Z205" s="11">
        <f t="shared" si="159"/>
        <v>0</v>
      </c>
      <c r="AB205" s="11">
        <f t="shared" si="160"/>
        <v>0</v>
      </c>
      <c r="AC205" s="11">
        <f t="shared" si="161"/>
        <v>0</v>
      </c>
      <c r="AD205" s="11">
        <f t="shared" si="162"/>
        <v>0</v>
      </c>
      <c r="AE205" s="11">
        <f t="shared" si="163"/>
        <v>0</v>
      </c>
      <c r="AF205" s="11">
        <f t="shared" si="164"/>
        <v>0</v>
      </c>
      <c r="AG205" s="11">
        <f t="shared" si="165"/>
        <v>0</v>
      </c>
      <c r="AH205" s="11">
        <f t="shared" si="166"/>
        <v>0</v>
      </c>
      <c r="AI205" s="40" t="s">
        <v>586</v>
      </c>
      <c r="AJ205" s="11">
        <f t="shared" si="167"/>
        <v>0</v>
      </c>
      <c r="AK205" s="11">
        <f t="shared" si="168"/>
        <v>0</v>
      </c>
      <c r="AL205" s="11">
        <f t="shared" si="169"/>
        <v>0</v>
      </c>
      <c r="AN205" s="11">
        <v>21</v>
      </c>
      <c r="AO205" s="11">
        <f>I205*1</f>
        <v>0</v>
      </c>
      <c r="AP205" s="11">
        <f>I205*(1-1)</f>
        <v>0</v>
      </c>
      <c r="AQ205" s="12" t="s">
        <v>845</v>
      </c>
      <c r="AV205" s="11">
        <f t="shared" si="170"/>
        <v>0</v>
      </c>
      <c r="AW205" s="11">
        <f t="shared" si="171"/>
        <v>0</v>
      </c>
      <c r="AX205" s="11">
        <f t="shared" si="172"/>
        <v>0</v>
      </c>
      <c r="AY205" s="12" t="s">
        <v>537</v>
      </c>
      <c r="AZ205" s="12" t="s">
        <v>52</v>
      </c>
      <c r="BA205" s="40" t="s">
        <v>647</v>
      </c>
      <c r="BC205" s="11">
        <f t="shared" si="173"/>
        <v>0</v>
      </c>
      <c r="BD205" s="11">
        <f t="shared" si="174"/>
        <v>0</v>
      </c>
      <c r="BE205" s="11">
        <v>0</v>
      </c>
      <c r="BF205" s="11">
        <f>213</f>
        <v>213</v>
      </c>
      <c r="BH205" s="11">
        <f t="shared" si="175"/>
        <v>0</v>
      </c>
      <c r="BI205" s="11">
        <f t="shared" si="176"/>
        <v>0</v>
      </c>
      <c r="BJ205" s="11">
        <f t="shared" si="177"/>
        <v>0</v>
      </c>
      <c r="BK205" s="11"/>
      <c r="BL205" s="11">
        <v>722</v>
      </c>
    </row>
    <row r="206" spans="1:64" ht="15" customHeight="1">
      <c r="A206" s="9" t="s">
        <v>269</v>
      </c>
      <c r="B206" s="10" t="s">
        <v>191</v>
      </c>
      <c r="C206" s="366" t="s">
        <v>768</v>
      </c>
      <c r="D206" s="366"/>
      <c r="E206" s="366"/>
      <c r="F206" s="366"/>
      <c r="G206" s="10" t="s">
        <v>216</v>
      </c>
      <c r="H206" s="11">
        <v>41</v>
      </c>
      <c r="I206" s="11">
        <v>0</v>
      </c>
      <c r="J206" s="11">
        <f t="shared" si="156"/>
        <v>0</v>
      </c>
      <c r="K206" s="11">
        <f t="shared" si="157"/>
        <v>0</v>
      </c>
      <c r="L206" s="11">
        <f t="shared" si="158"/>
        <v>0</v>
      </c>
      <c r="M206" s="52" t="s">
        <v>575</v>
      </c>
      <c r="Z206" s="11">
        <f t="shared" si="159"/>
        <v>0</v>
      </c>
      <c r="AB206" s="11">
        <f t="shared" si="160"/>
        <v>0</v>
      </c>
      <c r="AC206" s="11">
        <f t="shared" si="161"/>
        <v>0</v>
      </c>
      <c r="AD206" s="11">
        <f t="shared" si="162"/>
        <v>0</v>
      </c>
      <c r="AE206" s="11">
        <f t="shared" si="163"/>
        <v>0</v>
      </c>
      <c r="AF206" s="11">
        <f t="shared" si="164"/>
        <v>0</v>
      </c>
      <c r="AG206" s="11">
        <f t="shared" si="165"/>
        <v>0</v>
      </c>
      <c r="AH206" s="11">
        <f t="shared" si="166"/>
        <v>0</v>
      </c>
      <c r="AI206" s="40" t="s">
        <v>586</v>
      </c>
      <c r="AJ206" s="11">
        <f t="shared" si="167"/>
        <v>0</v>
      </c>
      <c r="AK206" s="11">
        <f t="shared" si="168"/>
        <v>0</v>
      </c>
      <c r="AL206" s="11">
        <f t="shared" si="169"/>
        <v>0</v>
      </c>
      <c r="AN206" s="11">
        <v>21</v>
      </c>
      <c r="AO206" s="11">
        <f>I206*0.0379644588045234</f>
        <v>0</v>
      </c>
      <c r="AP206" s="11">
        <f>I206*(1-0.0379644588045234)</f>
        <v>0</v>
      </c>
      <c r="AQ206" s="12" t="s">
        <v>845</v>
      </c>
      <c r="AV206" s="11">
        <f t="shared" si="170"/>
        <v>0</v>
      </c>
      <c r="AW206" s="11">
        <f t="shared" si="171"/>
        <v>0</v>
      </c>
      <c r="AX206" s="11">
        <f t="shared" si="172"/>
        <v>0</v>
      </c>
      <c r="AY206" s="12" t="s">
        <v>537</v>
      </c>
      <c r="AZ206" s="12" t="s">
        <v>52</v>
      </c>
      <c r="BA206" s="40" t="s">
        <v>647</v>
      </c>
      <c r="BC206" s="11">
        <f t="shared" si="173"/>
        <v>0</v>
      </c>
      <c r="BD206" s="11">
        <f t="shared" si="174"/>
        <v>0</v>
      </c>
      <c r="BE206" s="11">
        <v>0</v>
      </c>
      <c r="BF206" s="11">
        <f>214</f>
        <v>214</v>
      </c>
      <c r="BH206" s="11">
        <f t="shared" si="175"/>
        <v>0</v>
      </c>
      <c r="BI206" s="11">
        <f t="shared" si="176"/>
        <v>0</v>
      </c>
      <c r="BJ206" s="11">
        <f t="shared" si="177"/>
        <v>0</v>
      </c>
      <c r="BK206" s="11"/>
      <c r="BL206" s="11">
        <v>722</v>
      </c>
    </row>
    <row r="207" spans="1:64" ht="15" customHeight="1">
      <c r="A207" s="9" t="s">
        <v>180</v>
      </c>
      <c r="B207" s="10" t="s">
        <v>308</v>
      </c>
      <c r="C207" s="366" t="s">
        <v>584</v>
      </c>
      <c r="D207" s="366"/>
      <c r="E207" s="366"/>
      <c r="F207" s="366"/>
      <c r="G207" s="10" t="s">
        <v>216</v>
      </c>
      <c r="H207" s="11">
        <v>41</v>
      </c>
      <c r="I207" s="11">
        <v>0</v>
      </c>
      <c r="J207" s="11">
        <f t="shared" si="156"/>
        <v>0</v>
      </c>
      <c r="K207" s="11">
        <f t="shared" si="157"/>
        <v>0</v>
      </c>
      <c r="L207" s="11">
        <f t="shared" si="158"/>
        <v>0</v>
      </c>
      <c r="M207" s="52" t="s">
        <v>575</v>
      </c>
      <c r="Z207" s="11">
        <f t="shared" si="159"/>
        <v>0</v>
      </c>
      <c r="AB207" s="11">
        <f t="shared" si="160"/>
        <v>0</v>
      </c>
      <c r="AC207" s="11">
        <f t="shared" si="161"/>
        <v>0</v>
      </c>
      <c r="AD207" s="11">
        <f t="shared" si="162"/>
        <v>0</v>
      </c>
      <c r="AE207" s="11">
        <f t="shared" si="163"/>
        <v>0</v>
      </c>
      <c r="AF207" s="11">
        <f t="shared" si="164"/>
        <v>0</v>
      </c>
      <c r="AG207" s="11">
        <f t="shared" si="165"/>
        <v>0</v>
      </c>
      <c r="AH207" s="11">
        <f t="shared" si="166"/>
        <v>0</v>
      </c>
      <c r="AI207" s="40" t="s">
        <v>586</v>
      </c>
      <c r="AJ207" s="11">
        <f t="shared" si="167"/>
        <v>0</v>
      </c>
      <c r="AK207" s="11">
        <f t="shared" si="168"/>
        <v>0</v>
      </c>
      <c r="AL207" s="11">
        <f t="shared" si="169"/>
        <v>0</v>
      </c>
      <c r="AN207" s="11">
        <v>21</v>
      </c>
      <c r="AO207" s="11">
        <f>I207*1</f>
        <v>0</v>
      </c>
      <c r="AP207" s="11">
        <f>I207*(1-1)</f>
        <v>0</v>
      </c>
      <c r="AQ207" s="12" t="s">
        <v>845</v>
      </c>
      <c r="AV207" s="11">
        <f t="shared" si="170"/>
        <v>0</v>
      </c>
      <c r="AW207" s="11">
        <f t="shared" si="171"/>
        <v>0</v>
      </c>
      <c r="AX207" s="11">
        <f t="shared" si="172"/>
        <v>0</v>
      </c>
      <c r="AY207" s="12" t="s">
        <v>537</v>
      </c>
      <c r="AZ207" s="12" t="s">
        <v>52</v>
      </c>
      <c r="BA207" s="40" t="s">
        <v>647</v>
      </c>
      <c r="BC207" s="11">
        <f t="shared" si="173"/>
        <v>0</v>
      </c>
      <c r="BD207" s="11">
        <f t="shared" si="174"/>
        <v>0</v>
      </c>
      <c r="BE207" s="11">
        <v>0</v>
      </c>
      <c r="BF207" s="11">
        <f>215</f>
        <v>215</v>
      </c>
      <c r="BH207" s="11">
        <f t="shared" si="175"/>
        <v>0</v>
      </c>
      <c r="BI207" s="11">
        <f t="shared" si="176"/>
        <v>0</v>
      </c>
      <c r="BJ207" s="11">
        <f t="shared" si="177"/>
        <v>0</v>
      </c>
      <c r="BK207" s="11"/>
      <c r="BL207" s="11">
        <v>722</v>
      </c>
    </row>
    <row r="208" spans="1:64" ht="15" customHeight="1">
      <c r="A208" s="9" t="s">
        <v>351</v>
      </c>
      <c r="B208" s="10" t="s">
        <v>267</v>
      </c>
      <c r="C208" s="366" t="s">
        <v>595</v>
      </c>
      <c r="D208" s="366"/>
      <c r="E208" s="366"/>
      <c r="F208" s="366"/>
      <c r="G208" s="10" t="s">
        <v>216</v>
      </c>
      <c r="H208" s="11">
        <v>26</v>
      </c>
      <c r="I208" s="11">
        <v>0</v>
      </c>
      <c r="J208" s="11">
        <f t="shared" si="156"/>
        <v>0</v>
      </c>
      <c r="K208" s="11">
        <f t="shared" si="157"/>
        <v>0</v>
      </c>
      <c r="L208" s="11">
        <f t="shared" si="158"/>
        <v>0</v>
      </c>
      <c r="M208" s="52" t="s">
        <v>575</v>
      </c>
      <c r="Z208" s="11">
        <f t="shared" si="159"/>
        <v>0</v>
      </c>
      <c r="AB208" s="11">
        <f t="shared" si="160"/>
        <v>0</v>
      </c>
      <c r="AC208" s="11">
        <f t="shared" si="161"/>
        <v>0</v>
      </c>
      <c r="AD208" s="11">
        <f t="shared" si="162"/>
        <v>0</v>
      </c>
      <c r="AE208" s="11">
        <f t="shared" si="163"/>
        <v>0</v>
      </c>
      <c r="AF208" s="11">
        <f t="shared" si="164"/>
        <v>0</v>
      </c>
      <c r="AG208" s="11">
        <f t="shared" si="165"/>
        <v>0</v>
      </c>
      <c r="AH208" s="11">
        <f t="shared" si="166"/>
        <v>0</v>
      </c>
      <c r="AI208" s="40" t="s">
        <v>586</v>
      </c>
      <c r="AJ208" s="11">
        <f t="shared" si="167"/>
        <v>0</v>
      </c>
      <c r="AK208" s="11">
        <f t="shared" si="168"/>
        <v>0</v>
      </c>
      <c r="AL208" s="11">
        <f t="shared" si="169"/>
        <v>0</v>
      </c>
      <c r="AN208" s="11">
        <v>21</v>
      </c>
      <c r="AO208" s="11">
        <f>I208*0.0202586206896552</f>
        <v>0</v>
      </c>
      <c r="AP208" s="11">
        <f>I208*(1-0.0202586206896552)</f>
        <v>0</v>
      </c>
      <c r="AQ208" s="12" t="s">
        <v>845</v>
      </c>
      <c r="AV208" s="11">
        <f t="shared" si="170"/>
        <v>0</v>
      </c>
      <c r="AW208" s="11">
        <f t="shared" si="171"/>
        <v>0</v>
      </c>
      <c r="AX208" s="11">
        <f t="shared" si="172"/>
        <v>0</v>
      </c>
      <c r="AY208" s="12" t="s">
        <v>537</v>
      </c>
      <c r="AZ208" s="12" t="s">
        <v>52</v>
      </c>
      <c r="BA208" s="40" t="s">
        <v>647</v>
      </c>
      <c r="BC208" s="11">
        <f t="shared" si="173"/>
        <v>0</v>
      </c>
      <c r="BD208" s="11">
        <f t="shared" si="174"/>
        <v>0</v>
      </c>
      <c r="BE208" s="11">
        <v>0</v>
      </c>
      <c r="BF208" s="11">
        <f>216</f>
        <v>216</v>
      </c>
      <c r="BH208" s="11">
        <f t="shared" si="175"/>
        <v>0</v>
      </c>
      <c r="BI208" s="11">
        <f t="shared" si="176"/>
        <v>0</v>
      </c>
      <c r="BJ208" s="11">
        <f t="shared" si="177"/>
        <v>0</v>
      </c>
      <c r="BK208" s="11"/>
      <c r="BL208" s="11">
        <v>722</v>
      </c>
    </row>
    <row r="209" spans="1:64" ht="15" customHeight="1">
      <c r="A209" s="9" t="s">
        <v>337</v>
      </c>
      <c r="B209" s="10" t="s">
        <v>30</v>
      </c>
      <c r="C209" s="366" t="s">
        <v>192</v>
      </c>
      <c r="D209" s="366"/>
      <c r="E209" s="366"/>
      <c r="F209" s="366"/>
      <c r="G209" s="10" t="s">
        <v>216</v>
      </c>
      <c r="H209" s="11">
        <v>26</v>
      </c>
      <c r="I209" s="11">
        <v>0</v>
      </c>
      <c r="J209" s="11">
        <f t="shared" si="156"/>
        <v>0</v>
      </c>
      <c r="K209" s="11">
        <f t="shared" si="157"/>
        <v>0</v>
      </c>
      <c r="L209" s="11">
        <f t="shared" si="158"/>
        <v>0</v>
      </c>
      <c r="M209" s="52" t="s">
        <v>575</v>
      </c>
      <c r="Z209" s="11">
        <f t="shared" si="159"/>
        <v>0</v>
      </c>
      <c r="AB209" s="11">
        <f t="shared" si="160"/>
        <v>0</v>
      </c>
      <c r="AC209" s="11">
        <f t="shared" si="161"/>
        <v>0</v>
      </c>
      <c r="AD209" s="11">
        <f t="shared" si="162"/>
        <v>0</v>
      </c>
      <c r="AE209" s="11">
        <f t="shared" si="163"/>
        <v>0</v>
      </c>
      <c r="AF209" s="11">
        <f t="shared" si="164"/>
        <v>0</v>
      </c>
      <c r="AG209" s="11">
        <f t="shared" si="165"/>
        <v>0</v>
      </c>
      <c r="AH209" s="11">
        <f t="shared" si="166"/>
        <v>0</v>
      </c>
      <c r="AI209" s="40" t="s">
        <v>586</v>
      </c>
      <c r="AJ209" s="11">
        <f t="shared" si="167"/>
        <v>0</v>
      </c>
      <c r="AK209" s="11">
        <f t="shared" si="168"/>
        <v>0</v>
      </c>
      <c r="AL209" s="11">
        <f t="shared" si="169"/>
        <v>0</v>
      </c>
      <c r="AN209" s="11">
        <v>21</v>
      </c>
      <c r="AO209" s="11">
        <f>I209*1</f>
        <v>0</v>
      </c>
      <c r="AP209" s="11">
        <f>I209*(1-1)</f>
        <v>0</v>
      </c>
      <c r="AQ209" s="12" t="s">
        <v>845</v>
      </c>
      <c r="AV209" s="11">
        <f t="shared" si="170"/>
        <v>0</v>
      </c>
      <c r="AW209" s="11">
        <f t="shared" si="171"/>
        <v>0</v>
      </c>
      <c r="AX209" s="11">
        <f t="shared" si="172"/>
        <v>0</v>
      </c>
      <c r="AY209" s="12" t="s">
        <v>537</v>
      </c>
      <c r="AZ209" s="12" t="s">
        <v>52</v>
      </c>
      <c r="BA209" s="40" t="s">
        <v>647</v>
      </c>
      <c r="BC209" s="11">
        <f t="shared" si="173"/>
        <v>0</v>
      </c>
      <c r="BD209" s="11">
        <f t="shared" si="174"/>
        <v>0</v>
      </c>
      <c r="BE209" s="11">
        <v>0</v>
      </c>
      <c r="BF209" s="11">
        <f>217</f>
        <v>217</v>
      </c>
      <c r="BH209" s="11">
        <f t="shared" si="175"/>
        <v>0</v>
      </c>
      <c r="BI209" s="11">
        <f t="shared" si="176"/>
        <v>0</v>
      </c>
      <c r="BJ209" s="11">
        <f t="shared" si="177"/>
        <v>0</v>
      </c>
      <c r="BK209" s="11"/>
      <c r="BL209" s="11">
        <v>722</v>
      </c>
    </row>
    <row r="210" spans="1:64" ht="15" customHeight="1">
      <c r="A210" s="9" t="s">
        <v>467</v>
      </c>
      <c r="B210" s="10" t="s">
        <v>132</v>
      </c>
      <c r="C210" s="366" t="s">
        <v>680</v>
      </c>
      <c r="D210" s="366"/>
      <c r="E210" s="366"/>
      <c r="F210" s="366"/>
      <c r="G210" s="10" t="s">
        <v>216</v>
      </c>
      <c r="H210" s="11">
        <v>10</v>
      </c>
      <c r="I210" s="11">
        <v>0</v>
      </c>
      <c r="J210" s="11">
        <f t="shared" si="156"/>
        <v>0</v>
      </c>
      <c r="K210" s="11">
        <f t="shared" si="157"/>
        <v>0</v>
      </c>
      <c r="L210" s="11">
        <f t="shared" si="158"/>
        <v>0</v>
      </c>
      <c r="M210" s="52" t="s">
        <v>575</v>
      </c>
      <c r="Z210" s="11">
        <f t="shared" si="159"/>
        <v>0</v>
      </c>
      <c r="AB210" s="11">
        <f t="shared" si="160"/>
        <v>0</v>
      </c>
      <c r="AC210" s="11">
        <f t="shared" si="161"/>
        <v>0</v>
      </c>
      <c r="AD210" s="11">
        <f t="shared" si="162"/>
        <v>0</v>
      </c>
      <c r="AE210" s="11">
        <f t="shared" si="163"/>
        <v>0</v>
      </c>
      <c r="AF210" s="11">
        <f t="shared" si="164"/>
        <v>0</v>
      </c>
      <c r="AG210" s="11">
        <f t="shared" si="165"/>
        <v>0</v>
      </c>
      <c r="AH210" s="11">
        <f t="shared" si="166"/>
        <v>0</v>
      </c>
      <c r="AI210" s="40" t="s">
        <v>586</v>
      </c>
      <c r="AJ210" s="11">
        <f t="shared" si="167"/>
        <v>0</v>
      </c>
      <c r="AK210" s="11">
        <f t="shared" si="168"/>
        <v>0</v>
      </c>
      <c r="AL210" s="11">
        <f t="shared" si="169"/>
        <v>0</v>
      </c>
      <c r="AN210" s="11">
        <v>21</v>
      </c>
      <c r="AO210" s="11">
        <f>I210*0.581486665211418</f>
        <v>0</v>
      </c>
      <c r="AP210" s="11">
        <f>I210*(1-0.581486665211418)</f>
        <v>0</v>
      </c>
      <c r="AQ210" s="12" t="s">
        <v>845</v>
      </c>
      <c r="AV210" s="11">
        <f t="shared" si="170"/>
        <v>0</v>
      </c>
      <c r="AW210" s="11">
        <f t="shared" si="171"/>
        <v>0</v>
      </c>
      <c r="AX210" s="11">
        <f t="shared" si="172"/>
        <v>0</v>
      </c>
      <c r="AY210" s="12" t="s">
        <v>537</v>
      </c>
      <c r="AZ210" s="12" t="s">
        <v>52</v>
      </c>
      <c r="BA210" s="40" t="s">
        <v>647</v>
      </c>
      <c r="BC210" s="11">
        <f t="shared" si="173"/>
        <v>0</v>
      </c>
      <c r="BD210" s="11">
        <f t="shared" si="174"/>
        <v>0</v>
      </c>
      <c r="BE210" s="11">
        <v>0</v>
      </c>
      <c r="BF210" s="11">
        <f>218</f>
        <v>218</v>
      </c>
      <c r="BH210" s="11">
        <f t="shared" si="175"/>
        <v>0</v>
      </c>
      <c r="BI210" s="11">
        <f t="shared" si="176"/>
        <v>0</v>
      </c>
      <c r="BJ210" s="11">
        <f t="shared" si="177"/>
        <v>0</v>
      </c>
      <c r="BK210" s="11"/>
      <c r="BL210" s="11">
        <v>722</v>
      </c>
    </row>
    <row r="211" spans="1:64" ht="15" customHeight="1">
      <c r="A211" s="9" t="s">
        <v>98</v>
      </c>
      <c r="B211" s="10" t="s">
        <v>762</v>
      </c>
      <c r="C211" s="366" t="s">
        <v>296</v>
      </c>
      <c r="D211" s="366"/>
      <c r="E211" s="366"/>
      <c r="F211" s="366"/>
      <c r="G211" s="10" t="s">
        <v>216</v>
      </c>
      <c r="H211" s="11">
        <v>13</v>
      </c>
      <c r="I211" s="11">
        <v>0</v>
      </c>
      <c r="J211" s="11">
        <f t="shared" si="156"/>
        <v>0</v>
      </c>
      <c r="K211" s="11">
        <f t="shared" si="157"/>
        <v>0</v>
      </c>
      <c r="L211" s="11">
        <f t="shared" si="158"/>
        <v>0</v>
      </c>
      <c r="M211" s="52" t="s">
        <v>575</v>
      </c>
      <c r="Z211" s="11">
        <f t="shared" si="159"/>
        <v>0</v>
      </c>
      <c r="AB211" s="11">
        <f t="shared" si="160"/>
        <v>0</v>
      </c>
      <c r="AC211" s="11">
        <f t="shared" si="161"/>
        <v>0</v>
      </c>
      <c r="AD211" s="11">
        <f t="shared" si="162"/>
        <v>0</v>
      </c>
      <c r="AE211" s="11">
        <f t="shared" si="163"/>
        <v>0</v>
      </c>
      <c r="AF211" s="11">
        <f t="shared" si="164"/>
        <v>0</v>
      </c>
      <c r="AG211" s="11">
        <f t="shared" si="165"/>
        <v>0</v>
      </c>
      <c r="AH211" s="11">
        <f t="shared" si="166"/>
        <v>0</v>
      </c>
      <c r="AI211" s="40" t="s">
        <v>586</v>
      </c>
      <c r="AJ211" s="11">
        <f t="shared" si="167"/>
        <v>0</v>
      </c>
      <c r="AK211" s="11">
        <f t="shared" si="168"/>
        <v>0</v>
      </c>
      <c r="AL211" s="11">
        <f t="shared" si="169"/>
        <v>0</v>
      </c>
      <c r="AN211" s="11">
        <v>21</v>
      </c>
      <c r="AO211" s="11">
        <f>I211*0.755614513122042</f>
        <v>0</v>
      </c>
      <c r="AP211" s="11">
        <f>I211*(1-0.755614513122042)</f>
        <v>0</v>
      </c>
      <c r="AQ211" s="12" t="s">
        <v>845</v>
      </c>
      <c r="AV211" s="11">
        <f t="shared" si="170"/>
        <v>0</v>
      </c>
      <c r="AW211" s="11">
        <f t="shared" si="171"/>
        <v>0</v>
      </c>
      <c r="AX211" s="11">
        <f t="shared" si="172"/>
        <v>0</v>
      </c>
      <c r="AY211" s="12" t="s">
        <v>537</v>
      </c>
      <c r="AZ211" s="12" t="s">
        <v>52</v>
      </c>
      <c r="BA211" s="40" t="s">
        <v>647</v>
      </c>
      <c r="BC211" s="11">
        <f t="shared" si="173"/>
        <v>0</v>
      </c>
      <c r="BD211" s="11">
        <f t="shared" si="174"/>
        <v>0</v>
      </c>
      <c r="BE211" s="11">
        <v>0</v>
      </c>
      <c r="BF211" s="11">
        <f>219</f>
        <v>219</v>
      </c>
      <c r="BH211" s="11">
        <f t="shared" si="175"/>
        <v>0</v>
      </c>
      <c r="BI211" s="11">
        <f t="shared" si="176"/>
        <v>0</v>
      </c>
      <c r="BJ211" s="11">
        <f t="shared" si="177"/>
        <v>0</v>
      </c>
      <c r="BK211" s="11"/>
      <c r="BL211" s="11">
        <v>722</v>
      </c>
    </row>
    <row r="212" spans="1:64" ht="15" customHeight="1">
      <c r="A212" s="9" t="s">
        <v>448</v>
      </c>
      <c r="B212" s="10" t="s">
        <v>884</v>
      </c>
      <c r="C212" s="366" t="s">
        <v>849</v>
      </c>
      <c r="D212" s="366"/>
      <c r="E212" s="366"/>
      <c r="F212" s="366"/>
      <c r="G212" s="10" t="s">
        <v>216</v>
      </c>
      <c r="H212" s="11">
        <v>7</v>
      </c>
      <c r="I212" s="11">
        <v>0</v>
      </c>
      <c r="J212" s="11">
        <f t="shared" si="156"/>
        <v>0</v>
      </c>
      <c r="K212" s="11">
        <f t="shared" si="157"/>
        <v>0</v>
      </c>
      <c r="L212" s="11">
        <f t="shared" si="158"/>
        <v>0</v>
      </c>
      <c r="M212" s="52" t="s">
        <v>575</v>
      </c>
      <c r="Z212" s="11">
        <f t="shared" si="159"/>
        <v>0</v>
      </c>
      <c r="AB212" s="11">
        <f t="shared" si="160"/>
        <v>0</v>
      </c>
      <c r="AC212" s="11">
        <f t="shared" si="161"/>
        <v>0</v>
      </c>
      <c r="AD212" s="11">
        <f t="shared" si="162"/>
        <v>0</v>
      </c>
      <c r="AE212" s="11">
        <f t="shared" si="163"/>
        <v>0</v>
      </c>
      <c r="AF212" s="11">
        <f t="shared" si="164"/>
        <v>0</v>
      </c>
      <c r="AG212" s="11">
        <f t="shared" si="165"/>
        <v>0</v>
      </c>
      <c r="AH212" s="11">
        <f t="shared" si="166"/>
        <v>0</v>
      </c>
      <c r="AI212" s="40" t="s">
        <v>586</v>
      </c>
      <c r="AJ212" s="11">
        <f t="shared" si="167"/>
        <v>0</v>
      </c>
      <c r="AK212" s="11">
        <f t="shared" si="168"/>
        <v>0</v>
      </c>
      <c r="AL212" s="11">
        <f t="shared" si="169"/>
        <v>0</v>
      </c>
      <c r="AN212" s="11">
        <v>21</v>
      </c>
      <c r="AO212" s="11">
        <f>I212*0.0548251748251748</f>
        <v>0</v>
      </c>
      <c r="AP212" s="11">
        <f>I212*(1-0.0548251748251748)</f>
        <v>0</v>
      </c>
      <c r="AQ212" s="12" t="s">
        <v>845</v>
      </c>
      <c r="AV212" s="11">
        <f t="shared" si="170"/>
        <v>0</v>
      </c>
      <c r="AW212" s="11">
        <f t="shared" si="171"/>
        <v>0</v>
      </c>
      <c r="AX212" s="11">
        <f t="shared" si="172"/>
        <v>0</v>
      </c>
      <c r="AY212" s="12" t="s">
        <v>537</v>
      </c>
      <c r="AZ212" s="12" t="s">
        <v>52</v>
      </c>
      <c r="BA212" s="40" t="s">
        <v>647</v>
      </c>
      <c r="BC212" s="11">
        <f t="shared" si="173"/>
        <v>0</v>
      </c>
      <c r="BD212" s="11">
        <f t="shared" si="174"/>
        <v>0</v>
      </c>
      <c r="BE212" s="11">
        <v>0</v>
      </c>
      <c r="BF212" s="11">
        <f>220</f>
        <v>220</v>
      </c>
      <c r="BH212" s="11">
        <f t="shared" si="175"/>
        <v>0</v>
      </c>
      <c r="BI212" s="11">
        <f t="shared" si="176"/>
        <v>0</v>
      </c>
      <c r="BJ212" s="11">
        <f t="shared" si="177"/>
        <v>0</v>
      </c>
      <c r="BK212" s="11"/>
      <c r="BL212" s="11">
        <v>722</v>
      </c>
    </row>
    <row r="213" spans="1:64" ht="15" customHeight="1">
      <c r="A213" s="9" t="s">
        <v>54</v>
      </c>
      <c r="B213" s="10" t="s">
        <v>808</v>
      </c>
      <c r="C213" s="366" t="s">
        <v>329</v>
      </c>
      <c r="D213" s="366"/>
      <c r="E213" s="366"/>
      <c r="F213" s="366"/>
      <c r="G213" s="10" t="s">
        <v>216</v>
      </c>
      <c r="H213" s="11">
        <v>7</v>
      </c>
      <c r="I213" s="11">
        <v>0</v>
      </c>
      <c r="J213" s="11">
        <f t="shared" si="156"/>
        <v>0</v>
      </c>
      <c r="K213" s="11">
        <f t="shared" si="157"/>
        <v>0</v>
      </c>
      <c r="L213" s="11">
        <f t="shared" si="158"/>
        <v>0</v>
      </c>
      <c r="M213" s="52" t="s">
        <v>575</v>
      </c>
      <c r="Z213" s="11">
        <f t="shared" si="159"/>
        <v>0</v>
      </c>
      <c r="AB213" s="11">
        <f t="shared" si="160"/>
        <v>0</v>
      </c>
      <c r="AC213" s="11">
        <f t="shared" si="161"/>
        <v>0</v>
      </c>
      <c r="AD213" s="11">
        <f t="shared" si="162"/>
        <v>0</v>
      </c>
      <c r="AE213" s="11">
        <f t="shared" si="163"/>
        <v>0</v>
      </c>
      <c r="AF213" s="11">
        <f t="shared" si="164"/>
        <v>0</v>
      </c>
      <c r="AG213" s="11">
        <f t="shared" si="165"/>
        <v>0</v>
      </c>
      <c r="AH213" s="11">
        <f t="shared" si="166"/>
        <v>0</v>
      </c>
      <c r="AI213" s="40" t="s">
        <v>586</v>
      </c>
      <c r="AJ213" s="11">
        <f t="shared" si="167"/>
        <v>0</v>
      </c>
      <c r="AK213" s="11">
        <f t="shared" si="168"/>
        <v>0</v>
      </c>
      <c r="AL213" s="11">
        <f t="shared" si="169"/>
        <v>0</v>
      </c>
      <c r="AN213" s="11">
        <v>21</v>
      </c>
      <c r="AO213" s="11">
        <f>I213*1</f>
        <v>0</v>
      </c>
      <c r="AP213" s="11">
        <f>I213*(1-1)</f>
        <v>0</v>
      </c>
      <c r="AQ213" s="12" t="s">
        <v>845</v>
      </c>
      <c r="AV213" s="11">
        <f t="shared" si="170"/>
        <v>0</v>
      </c>
      <c r="AW213" s="11">
        <f t="shared" si="171"/>
        <v>0</v>
      </c>
      <c r="AX213" s="11">
        <f t="shared" si="172"/>
        <v>0</v>
      </c>
      <c r="AY213" s="12" t="s">
        <v>537</v>
      </c>
      <c r="AZ213" s="12" t="s">
        <v>52</v>
      </c>
      <c r="BA213" s="40" t="s">
        <v>647</v>
      </c>
      <c r="BC213" s="11">
        <f t="shared" si="173"/>
        <v>0</v>
      </c>
      <c r="BD213" s="11">
        <f t="shared" si="174"/>
        <v>0</v>
      </c>
      <c r="BE213" s="11">
        <v>0</v>
      </c>
      <c r="BF213" s="11">
        <f>221</f>
        <v>221</v>
      </c>
      <c r="BH213" s="11">
        <f t="shared" si="175"/>
        <v>0</v>
      </c>
      <c r="BI213" s="11">
        <f t="shared" si="176"/>
        <v>0</v>
      </c>
      <c r="BJ213" s="11">
        <f t="shared" si="177"/>
        <v>0</v>
      </c>
      <c r="BK213" s="11"/>
      <c r="BL213" s="11">
        <v>722</v>
      </c>
    </row>
    <row r="214" spans="1:64" ht="15" customHeight="1">
      <c r="A214" s="9" t="s">
        <v>906</v>
      </c>
      <c r="B214" s="10" t="s">
        <v>850</v>
      </c>
      <c r="C214" s="366" t="s">
        <v>688</v>
      </c>
      <c r="D214" s="366"/>
      <c r="E214" s="366"/>
      <c r="F214" s="366"/>
      <c r="G214" s="10" t="s">
        <v>216</v>
      </c>
      <c r="H214" s="11">
        <v>12</v>
      </c>
      <c r="I214" s="11">
        <v>0</v>
      </c>
      <c r="J214" s="11">
        <f t="shared" si="156"/>
        <v>0</v>
      </c>
      <c r="K214" s="11">
        <f t="shared" si="157"/>
        <v>0</v>
      </c>
      <c r="L214" s="11">
        <f t="shared" si="158"/>
        <v>0</v>
      </c>
      <c r="M214" s="52" t="s">
        <v>575</v>
      </c>
      <c r="Z214" s="11">
        <f t="shared" si="159"/>
        <v>0</v>
      </c>
      <c r="AB214" s="11">
        <f t="shared" si="160"/>
        <v>0</v>
      </c>
      <c r="AC214" s="11">
        <f t="shared" si="161"/>
        <v>0</v>
      </c>
      <c r="AD214" s="11">
        <f t="shared" si="162"/>
        <v>0</v>
      </c>
      <c r="AE214" s="11">
        <f t="shared" si="163"/>
        <v>0</v>
      </c>
      <c r="AF214" s="11">
        <f t="shared" si="164"/>
        <v>0</v>
      </c>
      <c r="AG214" s="11">
        <f t="shared" si="165"/>
        <v>0</v>
      </c>
      <c r="AH214" s="11">
        <f t="shared" si="166"/>
        <v>0</v>
      </c>
      <c r="AI214" s="40" t="s">
        <v>586</v>
      </c>
      <c r="AJ214" s="11">
        <f t="shared" si="167"/>
        <v>0</v>
      </c>
      <c r="AK214" s="11">
        <f t="shared" si="168"/>
        <v>0</v>
      </c>
      <c r="AL214" s="11">
        <f t="shared" si="169"/>
        <v>0</v>
      </c>
      <c r="AN214" s="11">
        <v>21</v>
      </c>
      <c r="AO214" s="11">
        <f>I214*0.127984849789102</f>
        <v>0</v>
      </c>
      <c r="AP214" s="11">
        <f>I214*(1-0.127984849789102)</f>
        <v>0</v>
      </c>
      <c r="AQ214" s="12" t="s">
        <v>845</v>
      </c>
      <c r="AV214" s="11">
        <f t="shared" si="170"/>
        <v>0</v>
      </c>
      <c r="AW214" s="11">
        <f t="shared" si="171"/>
        <v>0</v>
      </c>
      <c r="AX214" s="11">
        <f t="shared" si="172"/>
        <v>0</v>
      </c>
      <c r="AY214" s="12" t="s">
        <v>537</v>
      </c>
      <c r="AZ214" s="12" t="s">
        <v>52</v>
      </c>
      <c r="BA214" s="40" t="s">
        <v>647</v>
      </c>
      <c r="BC214" s="11">
        <f t="shared" si="173"/>
        <v>0</v>
      </c>
      <c r="BD214" s="11">
        <f t="shared" si="174"/>
        <v>0</v>
      </c>
      <c r="BE214" s="11">
        <v>0</v>
      </c>
      <c r="BF214" s="11">
        <f>222</f>
        <v>222</v>
      </c>
      <c r="BH214" s="11">
        <f t="shared" si="175"/>
        <v>0</v>
      </c>
      <c r="BI214" s="11">
        <f t="shared" si="176"/>
        <v>0</v>
      </c>
      <c r="BJ214" s="11">
        <f t="shared" si="177"/>
        <v>0</v>
      </c>
      <c r="BK214" s="11"/>
      <c r="BL214" s="11">
        <v>722</v>
      </c>
    </row>
    <row r="215" spans="1:64" ht="15" customHeight="1">
      <c r="A215" s="9" t="s">
        <v>500</v>
      </c>
      <c r="B215" s="10" t="s">
        <v>6</v>
      </c>
      <c r="C215" s="366" t="s">
        <v>602</v>
      </c>
      <c r="D215" s="366"/>
      <c r="E215" s="366"/>
      <c r="F215" s="366"/>
      <c r="G215" s="10" t="s">
        <v>216</v>
      </c>
      <c r="H215" s="11">
        <v>12</v>
      </c>
      <c r="I215" s="11">
        <v>0</v>
      </c>
      <c r="J215" s="11">
        <f t="shared" si="156"/>
        <v>0</v>
      </c>
      <c r="K215" s="11">
        <f t="shared" si="157"/>
        <v>0</v>
      </c>
      <c r="L215" s="11">
        <f t="shared" si="158"/>
        <v>0</v>
      </c>
      <c r="M215" s="52" t="s">
        <v>575</v>
      </c>
      <c r="Z215" s="11">
        <f t="shared" si="159"/>
        <v>0</v>
      </c>
      <c r="AB215" s="11">
        <f t="shared" si="160"/>
        <v>0</v>
      </c>
      <c r="AC215" s="11">
        <f t="shared" si="161"/>
        <v>0</v>
      </c>
      <c r="AD215" s="11">
        <f t="shared" si="162"/>
        <v>0</v>
      </c>
      <c r="AE215" s="11">
        <f t="shared" si="163"/>
        <v>0</v>
      </c>
      <c r="AF215" s="11">
        <f t="shared" si="164"/>
        <v>0</v>
      </c>
      <c r="AG215" s="11">
        <f t="shared" si="165"/>
        <v>0</v>
      </c>
      <c r="AH215" s="11">
        <f t="shared" si="166"/>
        <v>0</v>
      </c>
      <c r="AI215" s="40" t="s">
        <v>586</v>
      </c>
      <c r="AJ215" s="11">
        <f t="shared" si="167"/>
        <v>0</v>
      </c>
      <c r="AK215" s="11">
        <f t="shared" si="168"/>
        <v>0</v>
      </c>
      <c r="AL215" s="11">
        <f t="shared" si="169"/>
        <v>0</v>
      </c>
      <c r="AN215" s="11">
        <v>21</v>
      </c>
      <c r="AO215" s="11">
        <f>I215*1</f>
        <v>0</v>
      </c>
      <c r="AP215" s="11">
        <f>I215*(1-1)</f>
        <v>0</v>
      </c>
      <c r="AQ215" s="12" t="s">
        <v>845</v>
      </c>
      <c r="AV215" s="11">
        <f t="shared" si="170"/>
        <v>0</v>
      </c>
      <c r="AW215" s="11">
        <f t="shared" si="171"/>
        <v>0</v>
      </c>
      <c r="AX215" s="11">
        <f t="shared" si="172"/>
        <v>0</v>
      </c>
      <c r="AY215" s="12" t="s">
        <v>537</v>
      </c>
      <c r="AZ215" s="12" t="s">
        <v>52</v>
      </c>
      <c r="BA215" s="40" t="s">
        <v>647</v>
      </c>
      <c r="BC215" s="11">
        <f t="shared" si="173"/>
        <v>0</v>
      </c>
      <c r="BD215" s="11">
        <f t="shared" si="174"/>
        <v>0</v>
      </c>
      <c r="BE215" s="11">
        <v>0</v>
      </c>
      <c r="BF215" s="11">
        <f>223</f>
        <v>223</v>
      </c>
      <c r="BH215" s="11">
        <f t="shared" si="175"/>
        <v>0</v>
      </c>
      <c r="BI215" s="11">
        <f t="shared" si="176"/>
        <v>0</v>
      </c>
      <c r="BJ215" s="11">
        <f t="shared" si="177"/>
        <v>0</v>
      </c>
      <c r="BK215" s="11"/>
      <c r="BL215" s="11">
        <v>722</v>
      </c>
    </row>
    <row r="216" spans="1:64" ht="15" customHeight="1">
      <c r="A216" s="9" t="s">
        <v>354</v>
      </c>
      <c r="B216" s="10" t="s">
        <v>336</v>
      </c>
      <c r="C216" s="366" t="s">
        <v>764</v>
      </c>
      <c r="D216" s="366"/>
      <c r="E216" s="366"/>
      <c r="F216" s="366"/>
      <c r="G216" s="10" t="s">
        <v>216</v>
      </c>
      <c r="H216" s="11">
        <v>35</v>
      </c>
      <c r="I216" s="11">
        <v>0</v>
      </c>
      <c r="J216" s="11">
        <f t="shared" si="156"/>
        <v>0</v>
      </c>
      <c r="K216" s="11">
        <f t="shared" si="157"/>
        <v>0</v>
      </c>
      <c r="L216" s="11">
        <f t="shared" si="158"/>
        <v>0</v>
      </c>
      <c r="M216" s="52" t="s">
        <v>575</v>
      </c>
      <c r="Z216" s="11">
        <f t="shared" si="159"/>
        <v>0</v>
      </c>
      <c r="AB216" s="11">
        <f t="shared" si="160"/>
        <v>0</v>
      </c>
      <c r="AC216" s="11">
        <f t="shared" si="161"/>
        <v>0</v>
      </c>
      <c r="AD216" s="11">
        <f t="shared" si="162"/>
        <v>0</v>
      </c>
      <c r="AE216" s="11">
        <f t="shared" si="163"/>
        <v>0</v>
      </c>
      <c r="AF216" s="11">
        <f t="shared" si="164"/>
        <v>0</v>
      </c>
      <c r="AG216" s="11">
        <f t="shared" si="165"/>
        <v>0</v>
      </c>
      <c r="AH216" s="11">
        <f t="shared" si="166"/>
        <v>0</v>
      </c>
      <c r="AI216" s="40" t="s">
        <v>586</v>
      </c>
      <c r="AJ216" s="11">
        <f t="shared" si="167"/>
        <v>0</v>
      </c>
      <c r="AK216" s="11">
        <f t="shared" si="168"/>
        <v>0</v>
      </c>
      <c r="AL216" s="11">
        <f t="shared" si="169"/>
        <v>0</v>
      </c>
      <c r="AN216" s="11">
        <v>21</v>
      </c>
      <c r="AO216" s="11">
        <f>I216*0.57807486631016</f>
        <v>0</v>
      </c>
      <c r="AP216" s="11">
        <f>I216*(1-0.57807486631016)</f>
        <v>0</v>
      </c>
      <c r="AQ216" s="12" t="s">
        <v>845</v>
      </c>
      <c r="AV216" s="11">
        <f t="shared" si="170"/>
        <v>0</v>
      </c>
      <c r="AW216" s="11">
        <f t="shared" si="171"/>
        <v>0</v>
      </c>
      <c r="AX216" s="11">
        <f t="shared" si="172"/>
        <v>0</v>
      </c>
      <c r="AY216" s="12" t="s">
        <v>537</v>
      </c>
      <c r="AZ216" s="12" t="s">
        <v>52</v>
      </c>
      <c r="BA216" s="40" t="s">
        <v>647</v>
      </c>
      <c r="BC216" s="11">
        <f t="shared" si="173"/>
        <v>0</v>
      </c>
      <c r="BD216" s="11">
        <f t="shared" si="174"/>
        <v>0</v>
      </c>
      <c r="BE216" s="11">
        <v>0</v>
      </c>
      <c r="BF216" s="11">
        <f>224</f>
        <v>224</v>
      </c>
      <c r="BH216" s="11">
        <f t="shared" si="175"/>
        <v>0</v>
      </c>
      <c r="BI216" s="11">
        <f t="shared" si="176"/>
        <v>0</v>
      </c>
      <c r="BJ216" s="11">
        <f t="shared" si="177"/>
        <v>0</v>
      </c>
      <c r="BK216" s="11"/>
      <c r="BL216" s="11">
        <v>722</v>
      </c>
    </row>
    <row r="217" spans="1:64" ht="15" customHeight="1">
      <c r="A217" s="9" t="s">
        <v>250</v>
      </c>
      <c r="B217" s="10" t="s">
        <v>519</v>
      </c>
      <c r="C217" s="366" t="s">
        <v>616</v>
      </c>
      <c r="D217" s="366"/>
      <c r="E217" s="366"/>
      <c r="F217" s="366"/>
      <c r="G217" s="10" t="s">
        <v>216</v>
      </c>
      <c r="H217" s="11">
        <v>35</v>
      </c>
      <c r="I217" s="11">
        <v>0</v>
      </c>
      <c r="J217" s="11">
        <f t="shared" si="156"/>
        <v>0</v>
      </c>
      <c r="K217" s="11">
        <f t="shared" si="157"/>
        <v>0</v>
      </c>
      <c r="L217" s="11">
        <f t="shared" si="158"/>
        <v>0</v>
      </c>
      <c r="M217" s="52" t="s">
        <v>575</v>
      </c>
      <c r="Z217" s="11">
        <f t="shared" si="159"/>
        <v>0</v>
      </c>
      <c r="AB217" s="11">
        <f t="shared" si="160"/>
        <v>0</v>
      </c>
      <c r="AC217" s="11">
        <f t="shared" si="161"/>
        <v>0</v>
      </c>
      <c r="AD217" s="11">
        <f t="shared" si="162"/>
        <v>0</v>
      </c>
      <c r="AE217" s="11">
        <f t="shared" si="163"/>
        <v>0</v>
      </c>
      <c r="AF217" s="11">
        <f t="shared" si="164"/>
        <v>0</v>
      </c>
      <c r="AG217" s="11">
        <f t="shared" si="165"/>
        <v>0</v>
      </c>
      <c r="AH217" s="11">
        <f t="shared" si="166"/>
        <v>0</v>
      </c>
      <c r="AI217" s="40" t="s">
        <v>586</v>
      </c>
      <c r="AJ217" s="11">
        <f t="shared" si="167"/>
        <v>0</v>
      </c>
      <c r="AK217" s="11">
        <f t="shared" si="168"/>
        <v>0</v>
      </c>
      <c r="AL217" s="11">
        <f t="shared" si="169"/>
        <v>0</v>
      </c>
      <c r="AN217" s="11">
        <v>21</v>
      </c>
      <c r="AO217" s="11">
        <f>I217*1</f>
        <v>0</v>
      </c>
      <c r="AP217" s="11">
        <f>I217*(1-1)</f>
        <v>0</v>
      </c>
      <c r="AQ217" s="12" t="s">
        <v>845</v>
      </c>
      <c r="AV217" s="11">
        <f t="shared" si="170"/>
        <v>0</v>
      </c>
      <c r="AW217" s="11">
        <f t="shared" si="171"/>
        <v>0</v>
      </c>
      <c r="AX217" s="11">
        <f t="shared" si="172"/>
        <v>0</v>
      </c>
      <c r="AY217" s="12" t="s">
        <v>537</v>
      </c>
      <c r="AZ217" s="12" t="s">
        <v>52</v>
      </c>
      <c r="BA217" s="40" t="s">
        <v>647</v>
      </c>
      <c r="BC217" s="11">
        <f t="shared" si="173"/>
        <v>0</v>
      </c>
      <c r="BD217" s="11">
        <f t="shared" si="174"/>
        <v>0</v>
      </c>
      <c r="BE217" s="11">
        <v>0</v>
      </c>
      <c r="BF217" s="11">
        <f>225</f>
        <v>225</v>
      </c>
      <c r="BH217" s="11">
        <f t="shared" si="175"/>
        <v>0</v>
      </c>
      <c r="BI217" s="11">
        <f t="shared" si="176"/>
        <v>0</v>
      </c>
      <c r="BJ217" s="11">
        <f t="shared" si="177"/>
        <v>0</v>
      </c>
      <c r="BK217" s="11"/>
      <c r="BL217" s="11">
        <v>722</v>
      </c>
    </row>
    <row r="218" spans="1:64" ht="15" customHeight="1">
      <c r="A218" s="9" t="s">
        <v>587</v>
      </c>
      <c r="B218" s="10" t="s">
        <v>677</v>
      </c>
      <c r="C218" s="366" t="s">
        <v>174</v>
      </c>
      <c r="D218" s="366"/>
      <c r="E218" s="366"/>
      <c r="F218" s="366"/>
      <c r="G218" s="10" t="s">
        <v>216</v>
      </c>
      <c r="H218" s="11">
        <v>6</v>
      </c>
      <c r="I218" s="11">
        <v>0</v>
      </c>
      <c r="J218" s="11">
        <f t="shared" si="156"/>
        <v>0</v>
      </c>
      <c r="K218" s="11">
        <f t="shared" si="157"/>
        <v>0</v>
      </c>
      <c r="L218" s="11">
        <f t="shared" si="158"/>
        <v>0</v>
      </c>
      <c r="M218" s="52" t="s">
        <v>575</v>
      </c>
      <c r="Z218" s="11">
        <f t="shared" si="159"/>
        <v>0</v>
      </c>
      <c r="AB218" s="11">
        <f t="shared" si="160"/>
        <v>0</v>
      </c>
      <c r="AC218" s="11">
        <f t="shared" si="161"/>
        <v>0</v>
      </c>
      <c r="AD218" s="11">
        <f t="shared" si="162"/>
        <v>0</v>
      </c>
      <c r="AE218" s="11">
        <f t="shared" si="163"/>
        <v>0</v>
      </c>
      <c r="AF218" s="11">
        <f t="shared" si="164"/>
        <v>0</v>
      </c>
      <c r="AG218" s="11">
        <f t="shared" si="165"/>
        <v>0</v>
      </c>
      <c r="AH218" s="11">
        <f t="shared" si="166"/>
        <v>0</v>
      </c>
      <c r="AI218" s="40" t="s">
        <v>586</v>
      </c>
      <c r="AJ218" s="11">
        <f t="shared" si="167"/>
        <v>0</v>
      </c>
      <c r="AK218" s="11">
        <f t="shared" si="168"/>
        <v>0</v>
      </c>
      <c r="AL218" s="11">
        <f t="shared" si="169"/>
        <v>0</v>
      </c>
      <c r="AN218" s="11">
        <v>21</v>
      </c>
      <c r="AO218" s="11">
        <f>I218*0.0202586206896552</f>
        <v>0</v>
      </c>
      <c r="AP218" s="11">
        <f>I218*(1-0.0202586206896552)</f>
        <v>0</v>
      </c>
      <c r="AQ218" s="12" t="s">
        <v>845</v>
      </c>
      <c r="AV218" s="11">
        <f t="shared" si="170"/>
        <v>0</v>
      </c>
      <c r="AW218" s="11">
        <f t="shared" si="171"/>
        <v>0</v>
      </c>
      <c r="AX218" s="11">
        <f t="shared" si="172"/>
        <v>0</v>
      </c>
      <c r="AY218" s="12" t="s">
        <v>537</v>
      </c>
      <c r="AZ218" s="12" t="s">
        <v>52</v>
      </c>
      <c r="BA218" s="40" t="s">
        <v>647</v>
      </c>
      <c r="BC218" s="11">
        <f t="shared" si="173"/>
        <v>0</v>
      </c>
      <c r="BD218" s="11">
        <f t="shared" si="174"/>
        <v>0</v>
      </c>
      <c r="BE218" s="11">
        <v>0</v>
      </c>
      <c r="BF218" s="11">
        <f>226</f>
        <v>226</v>
      </c>
      <c r="BH218" s="11">
        <f t="shared" si="175"/>
        <v>0</v>
      </c>
      <c r="BI218" s="11">
        <f t="shared" si="176"/>
        <v>0</v>
      </c>
      <c r="BJ218" s="11">
        <f t="shared" si="177"/>
        <v>0</v>
      </c>
      <c r="BK218" s="11"/>
      <c r="BL218" s="11">
        <v>722</v>
      </c>
    </row>
    <row r="219" spans="1:64" ht="15" customHeight="1">
      <c r="A219" s="9" t="s">
        <v>786</v>
      </c>
      <c r="B219" s="10" t="s">
        <v>526</v>
      </c>
      <c r="C219" s="366" t="s">
        <v>416</v>
      </c>
      <c r="D219" s="366"/>
      <c r="E219" s="366"/>
      <c r="F219" s="366"/>
      <c r="G219" s="10" t="s">
        <v>216</v>
      </c>
      <c r="H219" s="11">
        <v>6</v>
      </c>
      <c r="I219" s="11">
        <v>0</v>
      </c>
      <c r="J219" s="11">
        <f t="shared" si="156"/>
        <v>0</v>
      </c>
      <c r="K219" s="11">
        <f t="shared" si="157"/>
        <v>0</v>
      </c>
      <c r="L219" s="11">
        <f t="shared" si="158"/>
        <v>0</v>
      </c>
      <c r="M219" s="52" t="s">
        <v>575</v>
      </c>
      <c r="Z219" s="11">
        <f t="shared" si="159"/>
        <v>0</v>
      </c>
      <c r="AB219" s="11">
        <f t="shared" si="160"/>
        <v>0</v>
      </c>
      <c r="AC219" s="11">
        <f t="shared" si="161"/>
        <v>0</v>
      </c>
      <c r="AD219" s="11">
        <f t="shared" si="162"/>
        <v>0</v>
      </c>
      <c r="AE219" s="11">
        <f t="shared" si="163"/>
        <v>0</v>
      </c>
      <c r="AF219" s="11">
        <f t="shared" si="164"/>
        <v>0</v>
      </c>
      <c r="AG219" s="11">
        <f t="shared" si="165"/>
        <v>0</v>
      </c>
      <c r="AH219" s="11">
        <f t="shared" si="166"/>
        <v>0</v>
      </c>
      <c r="AI219" s="40" t="s">
        <v>586</v>
      </c>
      <c r="AJ219" s="11">
        <f t="shared" si="167"/>
        <v>0</v>
      </c>
      <c r="AK219" s="11">
        <f t="shared" si="168"/>
        <v>0</v>
      </c>
      <c r="AL219" s="11">
        <f t="shared" si="169"/>
        <v>0</v>
      </c>
      <c r="AN219" s="11">
        <v>21</v>
      </c>
      <c r="AO219" s="11">
        <f>I219*1</f>
        <v>0</v>
      </c>
      <c r="AP219" s="11">
        <f>I219*(1-1)</f>
        <v>0</v>
      </c>
      <c r="AQ219" s="12" t="s">
        <v>845</v>
      </c>
      <c r="AV219" s="11">
        <f t="shared" si="170"/>
        <v>0</v>
      </c>
      <c r="AW219" s="11">
        <f t="shared" si="171"/>
        <v>0</v>
      </c>
      <c r="AX219" s="11">
        <f t="shared" si="172"/>
        <v>0</v>
      </c>
      <c r="AY219" s="12" t="s">
        <v>537</v>
      </c>
      <c r="AZ219" s="12" t="s">
        <v>52</v>
      </c>
      <c r="BA219" s="40" t="s">
        <v>647</v>
      </c>
      <c r="BC219" s="11">
        <f t="shared" si="173"/>
        <v>0</v>
      </c>
      <c r="BD219" s="11">
        <f t="shared" si="174"/>
        <v>0</v>
      </c>
      <c r="BE219" s="11">
        <v>0</v>
      </c>
      <c r="BF219" s="11">
        <f>227</f>
        <v>227</v>
      </c>
      <c r="BH219" s="11">
        <f t="shared" si="175"/>
        <v>0</v>
      </c>
      <c r="BI219" s="11">
        <f t="shared" si="176"/>
        <v>0</v>
      </c>
      <c r="BJ219" s="11">
        <f t="shared" si="177"/>
        <v>0</v>
      </c>
      <c r="BK219" s="11"/>
      <c r="BL219" s="11">
        <v>722</v>
      </c>
    </row>
    <row r="220" spans="1:64" ht="15" customHeight="1">
      <c r="A220" s="9" t="s">
        <v>204</v>
      </c>
      <c r="B220" s="10" t="s">
        <v>103</v>
      </c>
      <c r="C220" s="366" t="s">
        <v>466</v>
      </c>
      <c r="D220" s="366"/>
      <c r="E220" s="366"/>
      <c r="F220" s="366"/>
      <c r="G220" s="10" t="s">
        <v>216</v>
      </c>
      <c r="H220" s="11">
        <v>12</v>
      </c>
      <c r="I220" s="11">
        <v>0</v>
      </c>
      <c r="J220" s="11">
        <f t="shared" si="156"/>
        <v>0</v>
      </c>
      <c r="K220" s="11">
        <f t="shared" si="157"/>
        <v>0</v>
      </c>
      <c r="L220" s="11">
        <f t="shared" si="158"/>
        <v>0</v>
      </c>
      <c r="M220" s="52" t="s">
        <v>575</v>
      </c>
      <c r="Z220" s="11">
        <f t="shared" si="159"/>
        <v>0</v>
      </c>
      <c r="AB220" s="11">
        <f t="shared" si="160"/>
        <v>0</v>
      </c>
      <c r="AC220" s="11">
        <f t="shared" si="161"/>
        <v>0</v>
      </c>
      <c r="AD220" s="11">
        <f t="shared" si="162"/>
        <v>0</v>
      </c>
      <c r="AE220" s="11">
        <f t="shared" si="163"/>
        <v>0</v>
      </c>
      <c r="AF220" s="11">
        <f t="shared" si="164"/>
        <v>0</v>
      </c>
      <c r="AG220" s="11">
        <f t="shared" si="165"/>
        <v>0</v>
      </c>
      <c r="AH220" s="11">
        <f t="shared" si="166"/>
        <v>0</v>
      </c>
      <c r="AI220" s="40" t="s">
        <v>586</v>
      </c>
      <c r="AJ220" s="11">
        <f t="shared" si="167"/>
        <v>0</v>
      </c>
      <c r="AK220" s="11">
        <f t="shared" si="168"/>
        <v>0</v>
      </c>
      <c r="AL220" s="11">
        <f t="shared" si="169"/>
        <v>0</v>
      </c>
      <c r="AN220" s="11">
        <v>21</v>
      </c>
      <c r="AO220" s="11">
        <f>I220*0.0114634146341463</f>
        <v>0</v>
      </c>
      <c r="AP220" s="11">
        <f>I220*(1-0.0114634146341463)</f>
        <v>0</v>
      </c>
      <c r="AQ220" s="12" t="s">
        <v>845</v>
      </c>
      <c r="AV220" s="11">
        <f t="shared" si="170"/>
        <v>0</v>
      </c>
      <c r="AW220" s="11">
        <f t="shared" si="171"/>
        <v>0</v>
      </c>
      <c r="AX220" s="11">
        <f t="shared" si="172"/>
        <v>0</v>
      </c>
      <c r="AY220" s="12" t="s">
        <v>537</v>
      </c>
      <c r="AZ220" s="12" t="s">
        <v>52</v>
      </c>
      <c r="BA220" s="40" t="s">
        <v>647</v>
      </c>
      <c r="BC220" s="11">
        <f t="shared" si="173"/>
        <v>0</v>
      </c>
      <c r="BD220" s="11">
        <f t="shared" si="174"/>
        <v>0</v>
      </c>
      <c r="BE220" s="11">
        <v>0</v>
      </c>
      <c r="BF220" s="11">
        <f>228</f>
        <v>228</v>
      </c>
      <c r="BH220" s="11">
        <f t="shared" si="175"/>
        <v>0</v>
      </c>
      <c r="BI220" s="11">
        <f t="shared" si="176"/>
        <v>0</v>
      </c>
      <c r="BJ220" s="11">
        <f t="shared" si="177"/>
        <v>0</v>
      </c>
      <c r="BK220" s="11"/>
      <c r="BL220" s="11">
        <v>722</v>
      </c>
    </row>
    <row r="221" spans="1:64" ht="15" customHeight="1">
      <c r="A221" s="9" t="s">
        <v>893</v>
      </c>
      <c r="B221" s="10" t="s">
        <v>679</v>
      </c>
      <c r="C221" s="366" t="s">
        <v>406</v>
      </c>
      <c r="D221" s="366"/>
      <c r="E221" s="366"/>
      <c r="F221" s="366"/>
      <c r="G221" s="10" t="s">
        <v>216</v>
      </c>
      <c r="H221" s="11">
        <v>12</v>
      </c>
      <c r="I221" s="11">
        <v>0</v>
      </c>
      <c r="J221" s="11">
        <f t="shared" si="156"/>
        <v>0</v>
      </c>
      <c r="K221" s="11">
        <f t="shared" si="157"/>
        <v>0</v>
      </c>
      <c r="L221" s="11">
        <f t="shared" si="158"/>
        <v>0</v>
      </c>
      <c r="M221" s="52" t="s">
        <v>575</v>
      </c>
      <c r="Z221" s="11">
        <f t="shared" si="159"/>
        <v>0</v>
      </c>
      <c r="AB221" s="11">
        <f t="shared" si="160"/>
        <v>0</v>
      </c>
      <c r="AC221" s="11">
        <f t="shared" si="161"/>
        <v>0</v>
      </c>
      <c r="AD221" s="11">
        <f t="shared" si="162"/>
        <v>0</v>
      </c>
      <c r="AE221" s="11">
        <f t="shared" si="163"/>
        <v>0</v>
      </c>
      <c r="AF221" s="11">
        <f t="shared" si="164"/>
        <v>0</v>
      </c>
      <c r="AG221" s="11">
        <f t="shared" si="165"/>
        <v>0</v>
      </c>
      <c r="AH221" s="11">
        <f t="shared" si="166"/>
        <v>0</v>
      </c>
      <c r="AI221" s="40" t="s">
        <v>586</v>
      </c>
      <c r="AJ221" s="11">
        <f t="shared" si="167"/>
        <v>0</v>
      </c>
      <c r="AK221" s="11">
        <f t="shared" si="168"/>
        <v>0</v>
      </c>
      <c r="AL221" s="11">
        <f t="shared" si="169"/>
        <v>0</v>
      </c>
      <c r="AN221" s="11">
        <v>21</v>
      </c>
      <c r="AO221" s="11">
        <f>I221*1</f>
        <v>0</v>
      </c>
      <c r="AP221" s="11">
        <f>I221*(1-1)</f>
        <v>0</v>
      </c>
      <c r="AQ221" s="12" t="s">
        <v>845</v>
      </c>
      <c r="AV221" s="11">
        <f t="shared" si="170"/>
        <v>0</v>
      </c>
      <c r="AW221" s="11">
        <f t="shared" si="171"/>
        <v>0</v>
      </c>
      <c r="AX221" s="11">
        <f t="shared" si="172"/>
        <v>0</v>
      </c>
      <c r="AY221" s="12" t="s">
        <v>537</v>
      </c>
      <c r="AZ221" s="12" t="s">
        <v>52</v>
      </c>
      <c r="BA221" s="40" t="s">
        <v>647</v>
      </c>
      <c r="BC221" s="11">
        <f t="shared" si="173"/>
        <v>0</v>
      </c>
      <c r="BD221" s="11">
        <f t="shared" si="174"/>
        <v>0</v>
      </c>
      <c r="BE221" s="11">
        <v>0</v>
      </c>
      <c r="BF221" s="11">
        <f>229</f>
        <v>229</v>
      </c>
      <c r="BH221" s="11">
        <f t="shared" si="175"/>
        <v>0</v>
      </c>
      <c r="BI221" s="11">
        <f t="shared" si="176"/>
        <v>0</v>
      </c>
      <c r="BJ221" s="11">
        <f t="shared" si="177"/>
        <v>0</v>
      </c>
      <c r="BK221" s="11"/>
      <c r="BL221" s="11">
        <v>722</v>
      </c>
    </row>
    <row r="222" spans="1:64" ht="15" customHeight="1">
      <c r="A222" s="9" t="s">
        <v>352</v>
      </c>
      <c r="B222" s="10" t="s">
        <v>316</v>
      </c>
      <c r="C222" s="366" t="s">
        <v>380</v>
      </c>
      <c r="D222" s="366"/>
      <c r="E222" s="366"/>
      <c r="F222" s="366"/>
      <c r="G222" s="10" t="s">
        <v>216</v>
      </c>
      <c r="H222" s="11">
        <v>7</v>
      </c>
      <c r="I222" s="11">
        <v>0</v>
      </c>
      <c r="J222" s="11">
        <f t="shared" si="156"/>
        <v>0</v>
      </c>
      <c r="K222" s="11">
        <f t="shared" si="157"/>
        <v>0</v>
      </c>
      <c r="L222" s="11">
        <f t="shared" si="158"/>
        <v>0</v>
      </c>
      <c r="M222" s="52" t="s">
        <v>575</v>
      </c>
      <c r="Z222" s="11">
        <f t="shared" si="159"/>
        <v>0</v>
      </c>
      <c r="AB222" s="11">
        <f t="shared" si="160"/>
        <v>0</v>
      </c>
      <c r="AC222" s="11">
        <f t="shared" si="161"/>
        <v>0</v>
      </c>
      <c r="AD222" s="11">
        <f t="shared" si="162"/>
        <v>0</v>
      </c>
      <c r="AE222" s="11">
        <f t="shared" si="163"/>
        <v>0</v>
      </c>
      <c r="AF222" s="11">
        <f t="shared" si="164"/>
        <v>0</v>
      </c>
      <c r="AG222" s="11">
        <f t="shared" si="165"/>
        <v>0</v>
      </c>
      <c r="AH222" s="11">
        <f t="shared" si="166"/>
        <v>0</v>
      </c>
      <c r="AI222" s="40" t="s">
        <v>586</v>
      </c>
      <c r="AJ222" s="11">
        <f t="shared" si="167"/>
        <v>0</v>
      </c>
      <c r="AK222" s="11">
        <f t="shared" si="168"/>
        <v>0</v>
      </c>
      <c r="AL222" s="11">
        <f t="shared" si="169"/>
        <v>0</v>
      </c>
      <c r="AN222" s="11">
        <v>21</v>
      </c>
      <c r="AO222" s="11">
        <f>I222*0</f>
        <v>0</v>
      </c>
      <c r="AP222" s="11">
        <f>I222*(1-0)</f>
        <v>0</v>
      </c>
      <c r="AQ222" s="12" t="s">
        <v>845</v>
      </c>
      <c r="AV222" s="11">
        <f t="shared" si="170"/>
        <v>0</v>
      </c>
      <c r="AW222" s="11">
        <f t="shared" si="171"/>
        <v>0</v>
      </c>
      <c r="AX222" s="11">
        <f t="shared" si="172"/>
        <v>0</v>
      </c>
      <c r="AY222" s="12" t="s">
        <v>537</v>
      </c>
      <c r="AZ222" s="12" t="s">
        <v>52</v>
      </c>
      <c r="BA222" s="40" t="s">
        <v>647</v>
      </c>
      <c r="BC222" s="11">
        <f t="shared" si="173"/>
        <v>0</v>
      </c>
      <c r="BD222" s="11">
        <f t="shared" si="174"/>
        <v>0</v>
      </c>
      <c r="BE222" s="11">
        <v>0</v>
      </c>
      <c r="BF222" s="11">
        <f>230</f>
        <v>230</v>
      </c>
      <c r="BH222" s="11">
        <f t="shared" si="175"/>
        <v>0</v>
      </c>
      <c r="BI222" s="11">
        <f t="shared" si="176"/>
        <v>0</v>
      </c>
      <c r="BJ222" s="11">
        <f t="shared" si="177"/>
        <v>0</v>
      </c>
      <c r="BK222" s="11"/>
      <c r="BL222" s="11">
        <v>722</v>
      </c>
    </row>
    <row r="223" spans="1:64" ht="15" customHeight="1">
      <c r="A223" s="9" t="s">
        <v>776</v>
      </c>
      <c r="B223" s="10" t="s">
        <v>838</v>
      </c>
      <c r="C223" s="366" t="s">
        <v>181</v>
      </c>
      <c r="D223" s="366"/>
      <c r="E223" s="366"/>
      <c r="F223" s="366"/>
      <c r="G223" s="10" t="s">
        <v>216</v>
      </c>
      <c r="H223" s="11">
        <v>7</v>
      </c>
      <c r="I223" s="11">
        <v>0</v>
      </c>
      <c r="J223" s="11">
        <f t="shared" si="156"/>
        <v>0</v>
      </c>
      <c r="K223" s="11">
        <f t="shared" si="157"/>
        <v>0</v>
      </c>
      <c r="L223" s="11">
        <f t="shared" si="158"/>
        <v>0</v>
      </c>
      <c r="M223" s="52" t="s">
        <v>575</v>
      </c>
      <c r="Z223" s="11">
        <f t="shared" si="159"/>
        <v>0</v>
      </c>
      <c r="AB223" s="11">
        <f t="shared" si="160"/>
        <v>0</v>
      </c>
      <c r="AC223" s="11">
        <f t="shared" si="161"/>
        <v>0</v>
      </c>
      <c r="AD223" s="11">
        <f t="shared" si="162"/>
        <v>0</v>
      </c>
      <c r="AE223" s="11">
        <f t="shared" si="163"/>
        <v>0</v>
      </c>
      <c r="AF223" s="11">
        <f t="shared" si="164"/>
        <v>0</v>
      </c>
      <c r="AG223" s="11">
        <f t="shared" si="165"/>
        <v>0</v>
      </c>
      <c r="AH223" s="11">
        <f t="shared" si="166"/>
        <v>0</v>
      </c>
      <c r="AI223" s="40" t="s">
        <v>586</v>
      </c>
      <c r="AJ223" s="11">
        <f t="shared" si="167"/>
        <v>0</v>
      </c>
      <c r="AK223" s="11">
        <f t="shared" si="168"/>
        <v>0</v>
      </c>
      <c r="AL223" s="11">
        <f t="shared" si="169"/>
        <v>0</v>
      </c>
      <c r="AN223" s="11">
        <v>21</v>
      </c>
      <c r="AO223" s="11">
        <f>I223*1</f>
        <v>0</v>
      </c>
      <c r="AP223" s="11">
        <f>I223*(1-1)</f>
        <v>0</v>
      </c>
      <c r="AQ223" s="12" t="s">
        <v>845</v>
      </c>
      <c r="AV223" s="11">
        <f t="shared" si="170"/>
        <v>0</v>
      </c>
      <c r="AW223" s="11">
        <f t="shared" si="171"/>
        <v>0</v>
      </c>
      <c r="AX223" s="11">
        <f t="shared" si="172"/>
        <v>0</v>
      </c>
      <c r="AY223" s="12" t="s">
        <v>537</v>
      </c>
      <c r="AZ223" s="12" t="s">
        <v>52</v>
      </c>
      <c r="BA223" s="40" t="s">
        <v>647</v>
      </c>
      <c r="BC223" s="11">
        <f t="shared" si="173"/>
        <v>0</v>
      </c>
      <c r="BD223" s="11">
        <f t="shared" si="174"/>
        <v>0</v>
      </c>
      <c r="BE223" s="11">
        <v>0</v>
      </c>
      <c r="BF223" s="11">
        <f>231</f>
        <v>231</v>
      </c>
      <c r="BH223" s="11">
        <f t="shared" si="175"/>
        <v>0</v>
      </c>
      <c r="BI223" s="11">
        <f t="shared" si="176"/>
        <v>0</v>
      </c>
      <c r="BJ223" s="11">
        <f t="shared" si="177"/>
        <v>0</v>
      </c>
      <c r="BK223" s="11"/>
      <c r="BL223" s="11">
        <v>722</v>
      </c>
    </row>
    <row r="224" spans="1:64" ht="15" customHeight="1">
      <c r="A224" s="9" t="s">
        <v>621</v>
      </c>
      <c r="B224" s="10" t="s">
        <v>817</v>
      </c>
      <c r="C224" s="366" t="s">
        <v>437</v>
      </c>
      <c r="D224" s="366"/>
      <c r="E224" s="366"/>
      <c r="F224" s="366"/>
      <c r="G224" s="10" t="s">
        <v>216</v>
      </c>
      <c r="H224" s="11">
        <v>13</v>
      </c>
      <c r="I224" s="11">
        <v>0</v>
      </c>
      <c r="J224" s="11">
        <f t="shared" si="156"/>
        <v>0</v>
      </c>
      <c r="K224" s="11">
        <f t="shared" si="157"/>
        <v>0</v>
      </c>
      <c r="L224" s="11">
        <f t="shared" si="158"/>
        <v>0</v>
      </c>
      <c r="M224" s="52" t="s">
        <v>575</v>
      </c>
      <c r="Z224" s="11">
        <f t="shared" si="159"/>
        <v>0</v>
      </c>
      <c r="AB224" s="11">
        <f t="shared" si="160"/>
        <v>0</v>
      </c>
      <c r="AC224" s="11">
        <f t="shared" si="161"/>
        <v>0</v>
      </c>
      <c r="AD224" s="11">
        <f t="shared" si="162"/>
        <v>0</v>
      </c>
      <c r="AE224" s="11">
        <f t="shared" si="163"/>
        <v>0</v>
      </c>
      <c r="AF224" s="11">
        <f t="shared" si="164"/>
        <v>0</v>
      </c>
      <c r="AG224" s="11">
        <f t="shared" si="165"/>
        <v>0</v>
      </c>
      <c r="AH224" s="11">
        <f t="shared" si="166"/>
        <v>0</v>
      </c>
      <c r="AI224" s="40" t="s">
        <v>586</v>
      </c>
      <c r="AJ224" s="11">
        <f t="shared" si="167"/>
        <v>0</v>
      </c>
      <c r="AK224" s="11">
        <f t="shared" si="168"/>
        <v>0</v>
      </c>
      <c r="AL224" s="11">
        <f t="shared" si="169"/>
        <v>0</v>
      </c>
      <c r="AN224" s="11">
        <v>21</v>
      </c>
      <c r="AO224" s="11">
        <f>I224*0</f>
        <v>0</v>
      </c>
      <c r="AP224" s="11">
        <f>I224*(1-0)</f>
        <v>0</v>
      </c>
      <c r="AQ224" s="12" t="s">
        <v>845</v>
      </c>
      <c r="AV224" s="11">
        <f t="shared" si="170"/>
        <v>0</v>
      </c>
      <c r="AW224" s="11">
        <f t="shared" si="171"/>
        <v>0</v>
      </c>
      <c r="AX224" s="11">
        <f t="shared" si="172"/>
        <v>0</v>
      </c>
      <c r="AY224" s="12" t="s">
        <v>537</v>
      </c>
      <c r="AZ224" s="12" t="s">
        <v>52</v>
      </c>
      <c r="BA224" s="40" t="s">
        <v>647</v>
      </c>
      <c r="BC224" s="11">
        <f t="shared" si="173"/>
        <v>0</v>
      </c>
      <c r="BD224" s="11">
        <f t="shared" si="174"/>
        <v>0</v>
      </c>
      <c r="BE224" s="11">
        <v>0</v>
      </c>
      <c r="BF224" s="11">
        <f>232</f>
        <v>232</v>
      </c>
      <c r="BH224" s="11">
        <f t="shared" si="175"/>
        <v>0</v>
      </c>
      <c r="BI224" s="11">
        <f t="shared" si="176"/>
        <v>0</v>
      </c>
      <c r="BJ224" s="11">
        <f t="shared" si="177"/>
        <v>0</v>
      </c>
      <c r="BK224" s="11"/>
      <c r="BL224" s="11">
        <v>722</v>
      </c>
    </row>
    <row r="225" spans="1:64" ht="15" customHeight="1">
      <c r="A225" s="9" t="s">
        <v>792</v>
      </c>
      <c r="B225" s="10" t="s">
        <v>112</v>
      </c>
      <c r="C225" s="366" t="s">
        <v>788</v>
      </c>
      <c r="D225" s="366"/>
      <c r="E225" s="366"/>
      <c r="F225" s="366"/>
      <c r="G225" s="10" t="s">
        <v>216</v>
      </c>
      <c r="H225" s="11">
        <v>13</v>
      </c>
      <c r="I225" s="11">
        <v>0</v>
      </c>
      <c r="J225" s="11">
        <f t="shared" si="156"/>
        <v>0</v>
      </c>
      <c r="K225" s="11">
        <f t="shared" si="157"/>
        <v>0</v>
      </c>
      <c r="L225" s="11">
        <f t="shared" si="158"/>
        <v>0</v>
      </c>
      <c r="M225" s="52" t="s">
        <v>575</v>
      </c>
      <c r="Z225" s="11">
        <f t="shared" si="159"/>
        <v>0</v>
      </c>
      <c r="AB225" s="11">
        <f t="shared" si="160"/>
        <v>0</v>
      </c>
      <c r="AC225" s="11">
        <f t="shared" si="161"/>
        <v>0</v>
      </c>
      <c r="AD225" s="11">
        <f t="shared" si="162"/>
        <v>0</v>
      </c>
      <c r="AE225" s="11">
        <f t="shared" si="163"/>
        <v>0</v>
      </c>
      <c r="AF225" s="11">
        <f t="shared" si="164"/>
        <v>0</v>
      </c>
      <c r="AG225" s="11">
        <f t="shared" si="165"/>
        <v>0</v>
      </c>
      <c r="AH225" s="11">
        <f t="shared" si="166"/>
        <v>0</v>
      </c>
      <c r="AI225" s="40" t="s">
        <v>586</v>
      </c>
      <c r="AJ225" s="11">
        <f t="shared" si="167"/>
        <v>0</v>
      </c>
      <c r="AK225" s="11">
        <f t="shared" si="168"/>
        <v>0</v>
      </c>
      <c r="AL225" s="11">
        <f t="shared" si="169"/>
        <v>0</v>
      </c>
      <c r="AN225" s="11">
        <v>21</v>
      </c>
      <c r="AO225" s="11">
        <f>I225*1</f>
        <v>0</v>
      </c>
      <c r="AP225" s="11">
        <f>I225*(1-1)</f>
        <v>0</v>
      </c>
      <c r="AQ225" s="12" t="s">
        <v>845</v>
      </c>
      <c r="AV225" s="11">
        <f t="shared" si="170"/>
        <v>0</v>
      </c>
      <c r="AW225" s="11">
        <f t="shared" si="171"/>
        <v>0</v>
      </c>
      <c r="AX225" s="11">
        <f t="shared" si="172"/>
        <v>0</v>
      </c>
      <c r="AY225" s="12" t="s">
        <v>537</v>
      </c>
      <c r="AZ225" s="12" t="s">
        <v>52</v>
      </c>
      <c r="BA225" s="40" t="s">
        <v>647</v>
      </c>
      <c r="BC225" s="11">
        <f t="shared" si="173"/>
        <v>0</v>
      </c>
      <c r="BD225" s="11">
        <f t="shared" si="174"/>
        <v>0</v>
      </c>
      <c r="BE225" s="11">
        <v>0</v>
      </c>
      <c r="BF225" s="11">
        <f>233</f>
        <v>233</v>
      </c>
      <c r="BH225" s="11">
        <f t="shared" si="175"/>
        <v>0</v>
      </c>
      <c r="BI225" s="11">
        <f t="shared" si="176"/>
        <v>0</v>
      </c>
      <c r="BJ225" s="11">
        <f t="shared" si="177"/>
        <v>0</v>
      </c>
      <c r="BK225" s="11"/>
      <c r="BL225" s="11">
        <v>722</v>
      </c>
    </row>
    <row r="226" spans="1:64" ht="15" customHeight="1">
      <c r="A226" s="9" t="s">
        <v>153</v>
      </c>
      <c r="B226" s="10" t="s">
        <v>9</v>
      </c>
      <c r="C226" s="366" t="s">
        <v>774</v>
      </c>
      <c r="D226" s="366"/>
      <c r="E226" s="366"/>
      <c r="F226" s="366"/>
      <c r="G226" s="10" t="s">
        <v>700</v>
      </c>
      <c r="H226" s="11">
        <v>190</v>
      </c>
      <c r="I226" s="11">
        <v>0</v>
      </c>
      <c r="J226" s="11">
        <f t="shared" si="156"/>
        <v>0</v>
      </c>
      <c r="K226" s="11">
        <f t="shared" si="157"/>
        <v>0</v>
      </c>
      <c r="L226" s="11">
        <f t="shared" si="158"/>
        <v>0</v>
      </c>
      <c r="M226" s="52" t="s">
        <v>575</v>
      </c>
      <c r="Z226" s="11">
        <f t="shared" si="159"/>
        <v>0</v>
      </c>
      <c r="AB226" s="11">
        <f t="shared" si="160"/>
        <v>0</v>
      </c>
      <c r="AC226" s="11">
        <f t="shared" si="161"/>
        <v>0</v>
      </c>
      <c r="AD226" s="11">
        <f t="shared" si="162"/>
        <v>0</v>
      </c>
      <c r="AE226" s="11">
        <f t="shared" si="163"/>
        <v>0</v>
      </c>
      <c r="AF226" s="11">
        <f t="shared" si="164"/>
        <v>0</v>
      </c>
      <c r="AG226" s="11">
        <f t="shared" si="165"/>
        <v>0</v>
      </c>
      <c r="AH226" s="11">
        <f t="shared" si="166"/>
        <v>0</v>
      </c>
      <c r="AI226" s="40" t="s">
        <v>586</v>
      </c>
      <c r="AJ226" s="11">
        <f t="shared" si="167"/>
        <v>0</v>
      </c>
      <c r="AK226" s="11">
        <f t="shared" si="168"/>
        <v>0</v>
      </c>
      <c r="AL226" s="11">
        <f t="shared" si="169"/>
        <v>0</v>
      </c>
      <c r="AN226" s="11">
        <v>21</v>
      </c>
      <c r="AO226" s="11">
        <f>I226*0.0142857142857143</f>
        <v>0</v>
      </c>
      <c r="AP226" s="11">
        <f>I226*(1-0.0142857142857143)</f>
        <v>0</v>
      </c>
      <c r="AQ226" s="12" t="s">
        <v>845</v>
      </c>
      <c r="AV226" s="11">
        <f t="shared" si="170"/>
        <v>0</v>
      </c>
      <c r="AW226" s="11">
        <f t="shared" si="171"/>
        <v>0</v>
      </c>
      <c r="AX226" s="11">
        <f t="shared" si="172"/>
        <v>0</v>
      </c>
      <c r="AY226" s="12" t="s">
        <v>537</v>
      </c>
      <c r="AZ226" s="12" t="s">
        <v>52</v>
      </c>
      <c r="BA226" s="40" t="s">
        <v>647</v>
      </c>
      <c r="BC226" s="11">
        <f t="shared" si="173"/>
        <v>0</v>
      </c>
      <c r="BD226" s="11">
        <f t="shared" si="174"/>
        <v>0</v>
      </c>
      <c r="BE226" s="11">
        <v>0</v>
      </c>
      <c r="BF226" s="11">
        <f>234</f>
        <v>234</v>
      </c>
      <c r="BH226" s="11">
        <f t="shared" si="175"/>
        <v>0</v>
      </c>
      <c r="BI226" s="11">
        <f t="shared" si="176"/>
        <v>0</v>
      </c>
      <c r="BJ226" s="11">
        <f t="shared" si="177"/>
        <v>0</v>
      </c>
      <c r="BK226" s="11"/>
      <c r="BL226" s="11">
        <v>722</v>
      </c>
    </row>
    <row r="227" spans="1:64" ht="15" customHeight="1">
      <c r="A227" s="9" t="s">
        <v>412</v>
      </c>
      <c r="B227" s="10" t="s">
        <v>291</v>
      </c>
      <c r="C227" s="366" t="s">
        <v>201</v>
      </c>
      <c r="D227" s="366"/>
      <c r="E227" s="366"/>
      <c r="F227" s="366"/>
      <c r="G227" s="10" t="s">
        <v>700</v>
      </c>
      <c r="H227" s="11">
        <v>45</v>
      </c>
      <c r="I227" s="11">
        <v>0</v>
      </c>
      <c r="J227" s="11">
        <f t="shared" si="156"/>
        <v>0</v>
      </c>
      <c r="K227" s="11">
        <f t="shared" si="157"/>
        <v>0</v>
      </c>
      <c r="L227" s="11">
        <f t="shared" si="158"/>
        <v>0</v>
      </c>
      <c r="M227" s="52" t="s">
        <v>575</v>
      </c>
      <c r="Z227" s="11">
        <f t="shared" si="159"/>
        <v>0</v>
      </c>
      <c r="AB227" s="11">
        <f t="shared" si="160"/>
        <v>0</v>
      </c>
      <c r="AC227" s="11">
        <f t="shared" si="161"/>
        <v>0</v>
      </c>
      <c r="AD227" s="11">
        <f t="shared" si="162"/>
        <v>0</v>
      </c>
      <c r="AE227" s="11">
        <f t="shared" si="163"/>
        <v>0</v>
      </c>
      <c r="AF227" s="11">
        <f t="shared" si="164"/>
        <v>0</v>
      </c>
      <c r="AG227" s="11">
        <f t="shared" si="165"/>
        <v>0</v>
      </c>
      <c r="AH227" s="11">
        <f t="shared" si="166"/>
        <v>0</v>
      </c>
      <c r="AI227" s="40" t="s">
        <v>586</v>
      </c>
      <c r="AJ227" s="11">
        <f t="shared" si="167"/>
        <v>0</v>
      </c>
      <c r="AK227" s="11">
        <f t="shared" si="168"/>
        <v>0</v>
      </c>
      <c r="AL227" s="11">
        <f t="shared" si="169"/>
        <v>0</v>
      </c>
      <c r="AN227" s="11">
        <v>21</v>
      </c>
      <c r="AO227" s="11">
        <f>I227*0.0188751191611058</f>
        <v>0</v>
      </c>
      <c r="AP227" s="11">
        <f>I227*(1-0.0188751191611058)</f>
        <v>0</v>
      </c>
      <c r="AQ227" s="12" t="s">
        <v>845</v>
      </c>
      <c r="AV227" s="11">
        <f t="shared" si="170"/>
        <v>0</v>
      </c>
      <c r="AW227" s="11">
        <f t="shared" si="171"/>
        <v>0</v>
      </c>
      <c r="AX227" s="11">
        <f t="shared" si="172"/>
        <v>0</v>
      </c>
      <c r="AY227" s="12" t="s">
        <v>537</v>
      </c>
      <c r="AZ227" s="12" t="s">
        <v>52</v>
      </c>
      <c r="BA227" s="40" t="s">
        <v>647</v>
      </c>
      <c r="BC227" s="11">
        <f t="shared" si="173"/>
        <v>0</v>
      </c>
      <c r="BD227" s="11">
        <f t="shared" si="174"/>
        <v>0</v>
      </c>
      <c r="BE227" s="11">
        <v>0</v>
      </c>
      <c r="BF227" s="11">
        <f>235</f>
        <v>235</v>
      </c>
      <c r="BH227" s="11">
        <f t="shared" si="175"/>
        <v>0</v>
      </c>
      <c r="BI227" s="11">
        <f t="shared" si="176"/>
        <v>0</v>
      </c>
      <c r="BJ227" s="11">
        <f t="shared" si="177"/>
        <v>0</v>
      </c>
      <c r="BK227" s="11"/>
      <c r="BL227" s="11">
        <v>722</v>
      </c>
    </row>
    <row r="228" spans="1:64" ht="15" customHeight="1">
      <c r="A228" s="9" t="s">
        <v>473</v>
      </c>
      <c r="B228" s="10" t="s">
        <v>136</v>
      </c>
      <c r="C228" s="366" t="s">
        <v>613</v>
      </c>
      <c r="D228" s="366"/>
      <c r="E228" s="366"/>
      <c r="F228" s="366"/>
      <c r="G228" s="10" t="s">
        <v>700</v>
      </c>
      <c r="H228" s="11">
        <v>170</v>
      </c>
      <c r="I228" s="11">
        <v>0</v>
      </c>
      <c r="J228" s="11">
        <f t="shared" si="156"/>
        <v>0</v>
      </c>
      <c r="K228" s="11">
        <f t="shared" si="157"/>
        <v>0</v>
      </c>
      <c r="L228" s="11">
        <f t="shared" si="158"/>
        <v>0</v>
      </c>
      <c r="M228" s="52" t="s">
        <v>575</v>
      </c>
      <c r="Z228" s="11">
        <f t="shared" si="159"/>
        <v>0</v>
      </c>
      <c r="AB228" s="11">
        <f t="shared" si="160"/>
        <v>0</v>
      </c>
      <c r="AC228" s="11">
        <f t="shared" si="161"/>
        <v>0</v>
      </c>
      <c r="AD228" s="11">
        <f t="shared" si="162"/>
        <v>0</v>
      </c>
      <c r="AE228" s="11">
        <f t="shared" si="163"/>
        <v>0</v>
      </c>
      <c r="AF228" s="11">
        <f t="shared" si="164"/>
        <v>0</v>
      </c>
      <c r="AG228" s="11">
        <f t="shared" si="165"/>
        <v>0</v>
      </c>
      <c r="AH228" s="11">
        <f t="shared" si="166"/>
        <v>0</v>
      </c>
      <c r="AI228" s="40" t="s">
        <v>586</v>
      </c>
      <c r="AJ228" s="11">
        <f t="shared" si="167"/>
        <v>0</v>
      </c>
      <c r="AK228" s="11">
        <f t="shared" si="168"/>
        <v>0</v>
      </c>
      <c r="AL228" s="11">
        <f t="shared" si="169"/>
        <v>0</v>
      </c>
      <c r="AN228" s="11">
        <v>21</v>
      </c>
      <c r="AO228" s="11">
        <f>I228*0.0523809523809524</f>
        <v>0</v>
      </c>
      <c r="AP228" s="11">
        <f>I228*(1-0.0523809523809524)</f>
        <v>0</v>
      </c>
      <c r="AQ228" s="12" t="s">
        <v>845</v>
      </c>
      <c r="AV228" s="11">
        <f t="shared" si="170"/>
        <v>0</v>
      </c>
      <c r="AW228" s="11">
        <f t="shared" si="171"/>
        <v>0</v>
      </c>
      <c r="AX228" s="11">
        <f t="shared" si="172"/>
        <v>0</v>
      </c>
      <c r="AY228" s="12" t="s">
        <v>537</v>
      </c>
      <c r="AZ228" s="12" t="s">
        <v>52</v>
      </c>
      <c r="BA228" s="40" t="s">
        <v>647</v>
      </c>
      <c r="BC228" s="11">
        <f t="shared" si="173"/>
        <v>0</v>
      </c>
      <c r="BD228" s="11">
        <f t="shared" si="174"/>
        <v>0</v>
      </c>
      <c r="BE228" s="11">
        <v>0</v>
      </c>
      <c r="BF228" s="11">
        <f>236</f>
        <v>236</v>
      </c>
      <c r="BH228" s="11">
        <f t="shared" si="175"/>
        <v>0</v>
      </c>
      <c r="BI228" s="11">
        <f t="shared" si="176"/>
        <v>0</v>
      </c>
      <c r="BJ228" s="11">
        <f t="shared" si="177"/>
        <v>0</v>
      </c>
      <c r="BK228" s="11"/>
      <c r="BL228" s="11">
        <v>722</v>
      </c>
    </row>
    <row r="229" spans="1:64" ht="15" customHeight="1">
      <c r="A229" s="9" t="s">
        <v>759</v>
      </c>
      <c r="B229" s="10" t="s">
        <v>569</v>
      </c>
      <c r="C229" s="366" t="s">
        <v>461</v>
      </c>
      <c r="D229" s="366"/>
      <c r="E229" s="366"/>
      <c r="F229" s="366"/>
      <c r="G229" s="10" t="s">
        <v>401</v>
      </c>
      <c r="H229" s="11">
        <v>0.222</v>
      </c>
      <c r="I229" s="11">
        <v>0</v>
      </c>
      <c r="J229" s="11">
        <f t="shared" si="156"/>
        <v>0</v>
      </c>
      <c r="K229" s="11">
        <f t="shared" si="157"/>
        <v>0</v>
      </c>
      <c r="L229" s="11">
        <f t="shared" si="158"/>
        <v>0</v>
      </c>
      <c r="M229" s="52" t="s">
        <v>575</v>
      </c>
      <c r="Z229" s="11">
        <f t="shared" si="159"/>
        <v>0</v>
      </c>
      <c r="AB229" s="11">
        <f t="shared" si="160"/>
        <v>0</v>
      </c>
      <c r="AC229" s="11">
        <f t="shared" si="161"/>
        <v>0</v>
      </c>
      <c r="AD229" s="11">
        <f t="shared" si="162"/>
        <v>0</v>
      </c>
      <c r="AE229" s="11">
        <f t="shared" si="163"/>
        <v>0</v>
      </c>
      <c r="AF229" s="11">
        <f t="shared" si="164"/>
        <v>0</v>
      </c>
      <c r="AG229" s="11">
        <f t="shared" si="165"/>
        <v>0</v>
      </c>
      <c r="AH229" s="11">
        <f t="shared" si="166"/>
        <v>0</v>
      </c>
      <c r="AI229" s="40" t="s">
        <v>586</v>
      </c>
      <c r="AJ229" s="11">
        <f t="shared" si="167"/>
        <v>0</v>
      </c>
      <c r="AK229" s="11">
        <f t="shared" si="168"/>
        <v>0</v>
      </c>
      <c r="AL229" s="11">
        <f t="shared" si="169"/>
        <v>0</v>
      </c>
      <c r="AN229" s="11">
        <v>21</v>
      </c>
      <c r="AO229" s="11">
        <f>I229*0</f>
        <v>0</v>
      </c>
      <c r="AP229" s="11">
        <f>I229*(1-0)</f>
        <v>0</v>
      </c>
      <c r="AQ229" s="12" t="s">
        <v>454</v>
      </c>
      <c r="AV229" s="11">
        <f t="shared" si="170"/>
        <v>0</v>
      </c>
      <c r="AW229" s="11">
        <f t="shared" si="171"/>
        <v>0</v>
      </c>
      <c r="AX229" s="11">
        <f t="shared" si="172"/>
        <v>0</v>
      </c>
      <c r="AY229" s="12" t="s">
        <v>537</v>
      </c>
      <c r="AZ229" s="12" t="s">
        <v>52</v>
      </c>
      <c r="BA229" s="40" t="s">
        <v>647</v>
      </c>
      <c r="BC229" s="11">
        <f t="shared" si="173"/>
        <v>0</v>
      </c>
      <c r="BD229" s="11">
        <f t="shared" si="174"/>
        <v>0</v>
      </c>
      <c r="BE229" s="11">
        <v>0</v>
      </c>
      <c r="BF229" s="11">
        <f>237</f>
        <v>237</v>
      </c>
      <c r="BH229" s="11">
        <f t="shared" si="175"/>
        <v>0</v>
      </c>
      <c r="BI229" s="11">
        <f t="shared" si="176"/>
        <v>0</v>
      </c>
      <c r="BJ229" s="11">
        <f t="shared" si="177"/>
        <v>0</v>
      </c>
      <c r="BK229" s="11"/>
      <c r="BL229" s="11">
        <v>722</v>
      </c>
    </row>
    <row r="230" spans="1:64" ht="15" customHeight="1">
      <c r="A230" s="48" t="s">
        <v>586</v>
      </c>
      <c r="B230" s="49" t="s">
        <v>812</v>
      </c>
      <c r="C230" s="392" t="s">
        <v>507</v>
      </c>
      <c r="D230" s="392"/>
      <c r="E230" s="392"/>
      <c r="F230" s="392"/>
      <c r="G230" s="50" t="s">
        <v>783</v>
      </c>
      <c r="H230" s="50" t="s">
        <v>783</v>
      </c>
      <c r="I230" s="50" t="s">
        <v>783</v>
      </c>
      <c r="J230" s="36">
        <f>SUM(J231:J235)</f>
        <v>0</v>
      </c>
      <c r="K230" s="36">
        <f>SUM(K231:K235)</f>
        <v>0</v>
      </c>
      <c r="L230" s="36">
        <f>SUM(L231:L235)</f>
        <v>0</v>
      </c>
      <c r="M230" s="51" t="s">
        <v>586</v>
      </c>
      <c r="AI230" s="40" t="s">
        <v>586</v>
      </c>
      <c r="AS230" s="36">
        <f>SUM(AJ231:AJ235)</f>
        <v>0</v>
      </c>
      <c r="AT230" s="36">
        <f>SUM(AK231:AK235)</f>
        <v>0</v>
      </c>
      <c r="AU230" s="36">
        <f>SUM(AL231:AL235)</f>
        <v>0</v>
      </c>
    </row>
    <row r="231" spans="1:64" ht="15" customHeight="1">
      <c r="A231" s="9" t="s">
        <v>860</v>
      </c>
      <c r="B231" s="10" t="s">
        <v>121</v>
      </c>
      <c r="C231" s="366" t="s">
        <v>745</v>
      </c>
      <c r="D231" s="366"/>
      <c r="E231" s="366"/>
      <c r="F231" s="366"/>
      <c r="G231" s="10" t="s">
        <v>216</v>
      </c>
      <c r="H231" s="11">
        <v>1</v>
      </c>
      <c r="I231" s="11">
        <v>0</v>
      </c>
      <c r="J231" s="11">
        <f>H231*AO231</f>
        <v>0</v>
      </c>
      <c r="K231" s="11">
        <f>H231*AP231</f>
        <v>0</v>
      </c>
      <c r="L231" s="11">
        <f>H231*I231</f>
        <v>0</v>
      </c>
      <c r="M231" s="52" t="s">
        <v>575</v>
      </c>
      <c r="Z231" s="11">
        <f>IF(AQ231="5",BJ231,0)</f>
        <v>0</v>
      </c>
      <c r="AB231" s="11">
        <f>IF(AQ231="1",BH231,0)</f>
        <v>0</v>
      </c>
      <c r="AC231" s="11">
        <f>IF(AQ231="1",BI231,0)</f>
        <v>0</v>
      </c>
      <c r="AD231" s="11">
        <f>IF(AQ231="7",BH231,0)</f>
        <v>0</v>
      </c>
      <c r="AE231" s="11">
        <f>IF(AQ231="7",BI231,0)</f>
        <v>0</v>
      </c>
      <c r="AF231" s="11">
        <f>IF(AQ231="2",BH231,0)</f>
        <v>0</v>
      </c>
      <c r="AG231" s="11">
        <f>IF(AQ231="2",BI231,0)</f>
        <v>0</v>
      </c>
      <c r="AH231" s="11">
        <f>IF(AQ231="0",BJ231,0)</f>
        <v>0</v>
      </c>
      <c r="AI231" s="40" t="s">
        <v>586</v>
      </c>
      <c r="AJ231" s="11">
        <f>IF(AN231=0,L231,0)</f>
        <v>0</v>
      </c>
      <c r="AK231" s="11">
        <f>IF(AN231=15,L231,0)</f>
        <v>0</v>
      </c>
      <c r="AL231" s="11">
        <f>IF(AN231=21,L231,0)</f>
        <v>0</v>
      </c>
      <c r="AN231" s="11">
        <v>21</v>
      </c>
      <c r="AO231" s="11">
        <f>I231*0.87125</f>
        <v>0</v>
      </c>
      <c r="AP231" s="11">
        <f>I231*(1-0.87125)</f>
        <v>0</v>
      </c>
      <c r="AQ231" s="12" t="s">
        <v>845</v>
      </c>
      <c r="AV231" s="11">
        <f>AW231+AX231</f>
        <v>0</v>
      </c>
      <c r="AW231" s="11">
        <f>H231*AO231</f>
        <v>0</v>
      </c>
      <c r="AX231" s="11">
        <f>H231*AP231</f>
        <v>0</v>
      </c>
      <c r="AY231" s="12" t="s">
        <v>391</v>
      </c>
      <c r="AZ231" s="12" t="s">
        <v>52</v>
      </c>
      <c r="BA231" s="40" t="s">
        <v>647</v>
      </c>
      <c r="BC231" s="11">
        <f>AW231+AX231</f>
        <v>0</v>
      </c>
      <c r="BD231" s="11">
        <f>I231/(100-BE231)*100</f>
        <v>0</v>
      </c>
      <c r="BE231" s="11">
        <v>0</v>
      </c>
      <c r="BF231" s="11">
        <f>239</f>
        <v>239</v>
      </c>
      <c r="BH231" s="11">
        <f>H231*AO231</f>
        <v>0</v>
      </c>
      <c r="BI231" s="11">
        <f>H231*AP231</f>
        <v>0</v>
      </c>
      <c r="BJ231" s="11">
        <f>H231*I231</f>
        <v>0</v>
      </c>
      <c r="BK231" s="11"/>
      <c r="BL231" s="11">
        <v>725</v>
      </c>
    </row>
    <row r="232" spans="1:64" ht="15" customHeight="1">
      <c r="A232" s="9" t="s">
        <v>2</v>
      </c>
      <c r="B232" s="10" t="s">
        <v>166</v>
      </c>
      <c r="C232" s="366" t="s">
        <v>728</v>
      </c>
      <c r="D232" s="366"/>
      <c r="E232" s="366"/>
      <c r="F232" s="366"/>
      <c r="G232" s="10" t="s">
        <v>216</v>
      </c>
      <c r="H232" s="11">
        <v>1</v>
      </c>
      <c r="I232" s="11">
        <v>0</v>
      </c>
      <c r="J232" s="11">
        <f>H232*AO232</f>
        <v>0</v>
      </c>
      <c r="K232" s="11">
        <f>H232*AP232</f>
        <v>0</v>
      </c>
      <c r="L232" s="11">
        <f>H232*I232</f>
        <v>0</v>
      </c>
      <c r="M232" s="52" t="s">
        <v>575</v>
      </c>
      <c r="Z232" s="11">
        <f>IF(AQ232="5",BJ232,0)</f>
        <v>0</v>
      </c>
      <c r="AB232" s="11">
        <f>IF(AQ232="1",BH232,0)</f>
        <v>0</v>
      </c>
      <c r="AC232" s="11">
        <f>IF(AQ232="1",BI232,0)</f>
        <v>0</v>
      </c>
      <c r="AD232" s="11">
        <f>IF(AQ232="7",BH232,0)</f>
        <v>0</v>
      </c>
      <c r="AE232" s="11">
        <f>IF(AQ232="7",BI232,0)</f>
        <v>0</v>
      </c>
      <c r="AF232" s="11">
        <f>IF(AQ232="2",BH232,0)</f>
        <v>0</v>
      </c>
      <c r="AG232" s="11">
        <f>IF(AQ232="2",BI232,0)</f>
        <v>0</v>
      </c>
      <c r="AH232" s="11">
        <f>IF(AQ232="0",BJ232,0)</f>
        <v>0</v>
      </c>
      <c r="AI232" s="40" t="s">
        <v>586</v>
      </c>
      <c r="AJ232" s="11">
        <f>IF(AN232=0,L232,0)</f>
        <v>0</v>
      </c>
      <c r="AK232" s="11">
        <f>IF(AN232=15,L232,0)</f>
        <v>0</v>
      </c>
      <c r="AL232" s="11">
        <f>IF(AN232=21,L232,0)</f>
        <v>0</v>
      </c>
      <c r="AN232" s="11">
        <v>21</v>
      </c>
      <c r="AO232" s="11">
        <f>I232*0.744919047619048</f>
        <v>0</v>
      </c>
      <c r="AP232" s="11">
        <f>I232*(1-0.744919047619048)</f>
        <v>0</v>
      </c>
      <c r="AQ232" s="12" t="s">
        <v>845</v>
      </c>
      <c r="AV232" s="11">
        <f>AW232+AX232</f>
        <v>0</v>
      </c>
      <c r="AW232" s="11">
        <f>H232*AO232</f>
        <v>0</v>
      </c>
      <c r="AX232" s="11">
        <f>H232*AP232</f>
        <v>0</v>
      </c>
      <c r="AY232" s="12" t="s">
        <v>391</v>
      </c>
      <c r="AZ232" s="12" t="s">
        <v>52</v>
      </c>
      <c r="BA232" s="40" t="s">
        <v>647</v>
      </c>
      <c r="BC232" s="11">
        <f>AW232+AX232</f>
        <v>0</v>
      </c>
      <c r="BD232" s="11">
        <f>I232/(100-BE232)*100</f>
        <v>0</v>
      </c>
      <c r="BE232" s="11">
        <v>0</v>
      </c>
      <c r="BF232" s="11">
        <f>240</f>
        <v>240</v>
      </c>
      <c r="BH232" s="11">
        <f>H232*AO232</f>
        <v>0</v>
      </c>
      <c r="BI232" s="11">
        <f>H232*AP232</f>
        <v>0</v>
      </c>
      <c r="BJ232" s="11">
        <f>H232*I232</f>
        <v>0</v>
      </c>
      <c r="BK232" s="11"/>
      <c r="BL232" s="11">
        <v>725</v>
      </c>
    </row>
    <row r="233" spans="1:64" ht="15" customHeight="1">
      <c r="A233" s="9" t="s">
        <v>24</v>
      </c>
      <c r="B233" s="10" t="s">
        <v>664</v>
      </c>
      <c r="C233" s="366" t="s">
        <v>469</v>
      </c>
      <c r="D233" s="366"/>
      <c r="E233" s="366"/>
      <c r="F233" s="366"/>
      <c r="G233" s="10" t="s">
        <v>648</v>
      </c>
      <c r="H233" s="11">
        <v>1</v>
      </c>
      <c r="I233" s="11">
        <v>0</v>
      </c>
      <c r="J233" s="11">
        <f>H233*AO233</f>
        <v>0</v>
      </c>
      <c r="K233" s="11">
        <f>H233*AP233</f>
        <v>0</v>
      </c>
      <c r="L233" s="11">
        <f>H233*I233</f>
        <v>0</v>
      </c>
      <c r="M233" s="52" t="s">
        <v>586</v>
      </c>
      <c r="Z233" s="11">
        <f>IF(AQ233="5",BJ233,0)</f>
        <v>0</v>
      </c>
      <c r="AB233" s="11">
        <f>IF(AQ233="1",BH233,0)</f>
        <v>0</v>
      </c>
      <c r="AC233" s="11">
        <f>IF(AQ233="1",BI233,0)</f>
        <v>0</v>
      </c>
      <c r="AD233" s="11">
        <f>IF(AQ233="7",BH233,0)</f>
        <v>0</v>
      </c>
      <c r="AE233" s="11">
        <f>IF(AQ233="7",BI233,0)</f>
        <v>0</v>
      </c>
      <c r="AF233" s="11">
        <f>IF(AQ233="2",BH233,0)</f>
        <v>0</v>
      </c>
      <c r="AG233" s="11">
        <f>IF(AQ233="2",BI233,0)</f>
        <v>0</v>
      </c>
      <c r="AH233" s="11">
        <f>IF(AQ233="0",BJ233,0)</f>
        <v>0</v>
      </c>
      <c r="AI233" s="40" t="s">
        <v>586</v>
      </c>
      <c r="AJ233" s="11">
        <f>IF(AN233=0,L233,0)</f>
        <v>0</v>
      </c>
      <c r="AK233" s="11">
        <f>IF(AN233=15,L233,0)</f>
        <v>0</v>
      </c>
      <c r="AL233" s="11">
        <f>IF(AN233=21,L233,0)</f>
        <v>0</v>
      </c>
      <c r="AN233" s="11">
        <v>21</v>
      </c>
      <c r="AO233" s="11">
        <f>I233*0.782608695652174</f>
        <v>0</v>
      </c>
      <c r="AP233" s="11">
        <f>I233*(1-0.782608695652174)</f>
        <v>0</v>
      </c>
      <c r="AQ233" s="12" t="s">
        <v>845</v>
      </c>
      <c r="AV233" s="11">
        <f>AW233+AX233</f>
        <v>0</v>
      </c>
      <c r="AW233" s="11">
        <f>H233*AO233</f>
        <v>0</v>
      </c>
      <c r="AX233" s="11">
        <f>H233*AP233</f>
        <v>0</v>
      </c>
      <c r="AY233" s="12" t="s">
        <v>391</v>
      </c>
      <c r="AZ233" s="12" t="s">
        <v>52</v>
      </c>
      <c r="BA233" s="40" t="s">
        <v>647</v>
      </c>
      <c r="BC233" s="11">
        <f>AW233+AX233</f>
        <v>0</v>
      </c>
      <c r="BD233" s="11">
        <f>I233/(100-BE233)*100</f>
        <v>0</v>
      </c>
      <c r="BE233" s="11">
        <v>0</v>
      </c>
      <c r="BF233" s="11">
        <f>241</f>
        <v>241</v>
      </c>
      <c r="BH233" s="11">
        <f>H233*AO233</f>
        <v>0</v>
      </c>
      <c r="BI233" s="11">
        <f>H233*AP233</f>
        <v>0</v>
      </c>
      <c r="BJ233" s="11">
        <f>H233*I233</f>
        <v>0</v>
      </c>
      <c r="BK233" s="11"/>
      <c r="BL233" s="11">
        <v>725</v>
      </c>
    </row>
    <row r="234" spans="1:64" ht="13.5" customHeight="1">
      <c r="A234" s="53"/>
      <c r="B234" s="54" t="s">
        <v>440</v>
      </c>
      <c r="C234" s="394" t="s">
        <v>464</v>
      </c>
      <c r="D234" s="395"/>
      <c r="E234" s="395"/>
      <c r="F234" s="395"/>
      <c r="G234" s="395"/>
      <c r="H234" s="395"/>
      <c r="I234" s="395"/>
      <c r="J234" s="395"/>
      <c r="K234" s="395"/>
      <c r="L234" s="395"/>
      <c r="M234" s="396"/>
    </row>
    <row r="235" spans="1:64" ht="15" customHeight="1">
      <c r="A235" s="9" t="s">
        <v>47</v>
      </c>
      <c r="B235" s="10" t="s">
        <v>708</v>
      </c>
      <c r="C235" s="366" t="s">
        <v>922</v>
      </c>
      <c r="D235" s="366"/>
      <c r="E235" s="366"/>
      <c r="F235" s="366"/>
      <c r="G235" s="10" t="s">
        <v>401</v>
      </c>
      <c r="H235" s="11">
        <v>1.9E-2</v>
      </c>
      <c r="I235" s="11">
        <v>0</v>
      </c>
      <c r="J235" s="11">
        <f>H235*AO235</f>
        <v>0</v>
      </c>
      <c r="K235" s="11">
        <f>H235*AP235</f>
        <v>0</v>
      </c>
      <c r="L235" s="11">
        <f>H235*I235</f>
        <v>0</v>
      </c>
      <c r="M235" s="52" t="s">
        <v>575</v>
      </c>
      <c r="Z235" s="11">
        <f>IF(AQ235="5",BJ235,0)</f>
        <v>0</v>
      </c>
      <c r="AB235" s="11">
        <f>IF(AQ235="1",BH235,0)</f>
        <v>0</v>
      </c>
      <c r="AC235" s="11">
        <f>IF(AQ235="1",BI235,0)</f>
        <v>0</v>
      </c>
      <c r="AD235" s="11">
        <f>IF(AQ235="7",BH235,0)</f>
        <v>0</v>
      </c>
      <c r="AE235" s="11">
        <f>IF(AQ235="7",BI235,0)</f>
        <v>0</v>
      </c>
      <c r="AF235" s="11">
        <f>IF(AQ235="2",BH235,0)</f>
        <v>0</v>
      </c>
      <c r="AG235" s="11">
        <f>IF(AQ235="2",BI235,0)</f>
        <v>0</v>
      </c>
      <c r="AH235" s="11">
        <f>IF(AQ235="0",BJ235,0)</f>
        <v>0</v>
      </c>
      <c r="AI235" s="40" t="s">
        <v>586</v>
      </c>
      <c r="AJ235" s="11">
        <f>IF(AN235=0,L235,0)</f>
        <v>0</v>
      </c>
      <c r="AK235" s="11">
        <f>IF(AN235=15,L235,0)</f>
        <v>0</v>
      </c>
      <c r="AL235" s="11">
        <f>IF(AN235=21,L235,0)</f>
        <v>0</v>
      </c>
      <c r="AN235" s="11">
        <v>21</v>
      </c>
      <c r="AO235" s="11">
        <f>I235*0</f>
        <v>0</v>
      </c>
      <c r="AP235" s="11">
        <f>I235*(1-0)</f>
        <v>0</v>
      </c>
      <c r="AQ235" s="12" t="s">
        <v>454</v>
      </c>
      <c r="AV235" s="11">
        <f>AW235+AX235</f>
        <v>0</v>
      </c>
      <c r="AW235" s="11">
        <f>H235*AO235</f>
        <v>0</v>
      </c>
      <c r="AX235" s="11">
        <f>H235*AP235</f>
        <v>0</v>
      </c>
      <c r="AY235" s="12" t="s">
        <v>391</v>
      </c>
      <c r="AZ235" s="12" t="s">
        <v>52</v>
      </c>
      <c r="BA235" s="40" t="s">
        <v>647</v>
      </c>
      <c r="BC235" s="11">
        <f>AW235+AX235</f>
        <v>0</v>
      </c>
      <c r="BD235" s="11">
        <f>I235/(100-BE235)*100</f>
        <v>0</v>
      </c>
      <c r="BE235" s="11">
        <v>0</v>
      </c>
      <c r="BF235" s="11">
        <f>243</f>
        <v>243</v>
      </c>
      <c r="BH235" s="11">
        <f>H235*AO235</f>
        <v>0</v>
      </c>
      <c r="BI235" s="11">
        <f>H235*AP235</f>
        <v>0</v>
      </c>
      <c r="BJ235" s="11">
        <f>H235*I235</f>
        <v>0</v>
      </c>
      <c r="BK235" s="11"/>
      <c r="BL235" s="11">
        <v>725</v>
      </c>
    </row>
    <row r="236" spans="1:64" ht="15" customHeight="1">
      <c r="A236" s="48" t="s">
        <v>586</v>
      </c>
      <c r="B236" s="49" t="s">
        <v>483</v>
      </c>
      <c r="C236" s="392" t="s">
        <v>886</v>
      </c>
      <c r="D236" s="392"/>
      <c r="E236" s="392"/>
      <c r="F236" s="392"/>
      <c r="G236" s="50" t="s">
        <v>783</v>
      </c>
      <c r="H236" s="50" t="s">
        <v>783</v>
      </c>
      <c r="I236" s="50" t="s">
        <v>783</v>
      </c>
      <c r="J236" s="36">
        <f>SUM(J237:J240)</f>
        <v>0</v>
      </c>
      <c r="K236" s="36">
        <f>SUM(K237:K240)</f>
        <v>0</v>
      </c>
      <c r="L236" s="36">
        <f>SUM(L237:L240)</f>
        <v>0</v>
      </c>
      <c r="M236" s="51" t="s">
        <v>586</v>
      </c>
      <c r="AI236" s="40" t="s">
        <v>586</v>
      </c>
      <c r="AS236" s="36">
        <f>SUM(AJ237:AJ240)</f>
        <v>0</v>
      </c>
      <c r="AT236" s="36">
        <f>SUM(AK237:AK240)</f>
        <v>0</v>
      </c>
      <c r="AU236" s="36">
        <f>SUM(AL237:AL240)</f>
        <v>0</v>
      </c>
    </row>
    <row r="237" spans="1:64" ht="15" customHeight="1">
      <c r="A237" s="9" t="s">
        <v>629</v>
      </c>
      <c r="B237" s="10" t="s">
        <v>32</v>
      </c>
      <c r="C237" s="366" t="s">
        <v>596</v>
      </c>
      <c r="D237" s="366"/>
      <c r="E237" s="366"/>
      <c r="F237" s="366"/>
      <c r="G237" s="10" t="s">
        <v>216</v>
      </c>
      <c r="H237" s="11">
        <v>1</v>
      </c>
      <c r="I237" s="11">
        <v>0</v>
      </c>
      <c r="J237" s="11">
        <f>H237*AO237</f>
        <v>0</v>
      </c>
      <c r="K237" s="11">
        <f>H237*AP237</f>
        <v>0</v>
      </c>
      <c r="L237" s="11">
        <f>H237*I237</f>
        <v>0</v>
      </c>
      <c r="M237" s="52" t="s">
        <v>575</v>
      </c>
      <c r="Z237" s="11">
        <f>IF(AQ237="5",BJ237,0)</f>
        <v>0</v>
      </c>
      <c r="AB237" s="11">
        <f>IF(AQ237="1",BH237,0)</f>
        <v>0</v>
      </c>
      <c r="AC237" s="11">
        <f>IF(AQ237="1",BI237,0)</f>
        <v>0</v>
      </c>
      <c r="AD237" s="11">
        <f>IF(AQ237="7",BH237,0)</f>
        <v>0</v>
      </c>
      <c r="AE237" s="11">
        <f>IF(AQ237="7",BI237,0)</f>
        <v>0</v>
      </c>
      <c r="AF237" s="11">
        <f>IF(AQ237="2",BH237,0)</f>
        <v>0</v>
      </c>
      <c r="AG237" s="11">
        <f>IF(AQ237="2",BI237,0)</f>
        <v>0</v>
      </c>
      <c r="AH237" s="11">
        <f>IF(AQ237="0",BJ237,0)</f>
        <v>0</v>
      </c>
      <c r="AI237" s="40" t="s">
        <v>586</v>
      </c>
      <c r="AJ237" s="11">
        <f>IF(AN237=0,L237,0)</f>
        <v>0</v>
      </c>
      <c r="AK237" s="11">
        <f>IF(AN237=15,L237,0)</f>
        <v>0</v>
      </c>
      <c r="AL237" s="11">
        <f>IF(AN237=21,L237,0)</f>
        <v>0</v>
      </c>
      <c r="AN237" s="11">
        <v>21</v>
      </c>
      <c r="AO237" s="11">
        <f>I237*0</f>
        <v>0</v>
      </c>
      <c r="AP237" s="11">
        <f>I237*(1-0)</f>
        <v>0</v>
      </c>
      <c r="AQ237" s="12" t="s">
        <v>845</v>
      </c>
      <c r="AV237" s="11">
        <f>AW237+AX237</f>
        <v>0</v>
      </c>
      <c r="AW237" s="11">
        <f>H237*AO237</f>
        <v>0</v>
      </c>
      <c r="AX237" s="11">
        <f>H237*AP237</f>
        <v>0</v>
      </c>
      <c r="AY237" s="12" t="s">
        <v>683</v>
      </c>
      <c r="AZ237" s="12" t="s">
        <v>52</v>
      </c>
      <c r="BA237" s="40" t="s">
        <v>647</v>
      </c>
      <c r="BC237" s="11">
        <f>AW237+AX237</f>
        <v>0</v>
      </c>
      <c r="BD237" s="11">
        <f>I237/(100-BE237)*100</f>
        <v>0</v>
      </c>
      <c r="BE237" s="11">
        <v>0</v>
      </c>
      <c r="BF237" s="11">
        <f>245</f>
        <v>245</v>
      </c>
      <c r="BH237" s="11">
        <f>H237*AO237</f>
        <v>0</v>
      </c>
      <c r="BI237" s="11">
        <f>H237*AP237</f>
        <v>0</v>
      </c>
      <c r="BJ237" s="11">
        <f>H237*I237</f>
        <v>0</v>
      </c>
      <c r="BK237" s="11"/>
      <c r="BL237" s="11">
        <v>728</v>
      </c>
    </row>
    <row r="238" spans="1:64" ht="15" customHeight="1">
      <c r="A238" s="9" t="s">
        <v>931</v>
      </c>
      <c r="B238" s="10" t="s">
        <v>557</v>
      </c>
      <c r="C238" s="366" t="s">
        <v>520</v>
      </c>
      <c r="D238" s="366"/>
      <c r="E238" s="366"/>
      <c r="F238" s="366"/>
      <c r="G238" s="10" t="s">
        <v>216</v>
      </c>
      <c r="H238" s="11">
        <v>1</v>
      </c>
      <c r="I238" s="11">
        <v>0</v>
      </c>
      <c r="J238" s="11">
        <f>H238*AO238</f>
        <v>0</v>
      </c>
      <c r="K238" s="11">
        <f>H238*AP238</f>
        <v>0</v>
      </c>
      <c r="L238" s="11">
        <f>H238*I238</f>
        <v>0</v>
      </c>
      <c r="M238" s="52" t="s">
        <v>575</v>
      </c>
      <c r="Z238" s="11">
        <f>IF(AQ238="5",BJ238,0)</f>
        <v>0</v>
      </c>
      <c r="AB238" s="11">
        <f>IF(AQ238="1",BH238,0)</f>
        <v>0</v>
      </c>
      <c r="AC238" s="11">
        <f>IF(AQ238="1",BI238,0)</f>
        <v>0</v>
      </c>
      <c r="AD238" s="11">
        <f>IF(AQ238="7",BH238,0)</f>
        <v>0</v>
      </c>
      <c r="AE238" s="11">
        <f>IF(AQ238="7",BI238,0)</f>
        <v>0</v>
      </c>
      <c r="AF238" s="11">
        <f>IF(AQ238="2",BH238,0)</f>
        <v>0</v>
      </c>
      <c r="AG238" s="11">
        <f>IF(AQ238="2",BI238,0)</f>
        <v>0</v>
      </c>
      <c r="AH238" s="11">
        <f>IF(AQ238="0",BJ238,0)</f>
        <v>0</v>
      </c>
      <c r="AI238" s="40" t="s">
        <v>586</v>
      </c>
      <c r="AJ238" s="11">
        <f>IF(AN238=0,L238,0)</f>
        <v>0</v>
      </c>
      <c r="AK238" s="11">
        <f>IF(AN238=15,L238,0)</f>
        <v>0</v>
      </c>
      <c r="AL238" s="11">
        <f>IF(AN238=21,L238,0)</f>
        <v>0</v>
      </c>
      <c r="AN238" s="11">
        <v>21</v>
      </c>
      <c r="AO238" s="11">
        <f>I238*1</f>
        <v>0</v>
      </c>
      <c r="AP238" s="11">
        <f>I238*(1-1)</f>
        <v>0</v>
      </c>
      <c r="AQ238" s="12" t="s">
        <v>845</v>
      </c>
      <c r="AV238" s="11">
        <f>AW238+AX238</f>
        <v>0</v>
      </c>
      <c r="AW238" s="11">
        <f>H238*AO238</f>
        <v>0</v>
      </c>
      <c r="AX238" s="11">
        <f>H238*AP238</f>
        <v>0</v>
      </c>
      <c r="AY238" s="12" t="s">
        <v>683</v>
      </c>
      <c r="AZ238" s="12" t="s">
        <v>52</v>
      </c>
      <c r="BA238" s="40" t="s">
        <v>647</v>
      </c>
      <c r="BC238" s="11">
        <f>AW238+AX238</f>
        <v>0</v>
      </c>
      <c r="BD238" s="11">
        <f>I238/(100-BE238)*100</f>
        <v>0</v>
      </c>
      <c r="BE238" s="11">
        <v>0</v>
      </c>
      <c r="BF238" s="11">
        <f>246</f>
        <v>246</v>
      </c>
      <c r="BH238" s="11">
        <f>H238*AO238</f>
        <v>0</v>
      </c>
      <c r="BI238" s="11">
        <f>H238*AP238</f>
        <v>0</v>
      </c>
      <c r="BJ238" s="11">
        <f>H238*I238</f>
        <v>0</v>
      </c>
      <c r="BK238" s="11"/>
      <c r="BL238" s="11">
        <v>728</v>
      </c>
    </row>
    <row r="239" spans="1:64" ht="15" customHeight="1">
      <c r="A239" s="9" t="s">
        <v>242</v>
      </c>
      <c r="B239" s="10" t="s">
        <v>360</v>
      </c>
      <c r="C239" s="366" t="s">
        <v>340</v>
      </c>
      <c r="D239" s="366"/>
      <c r="E239" s="366"/>
      <c r="F239" s="366"/>
      <c r="G239" s="10" t="s">
        <v>216</v>
      </c>
      <c r="H239" s="11">
        <v>1</v>
      </c>
      <c r="I239" s="11">
        <v>0</v>
      </c>
      <c r="J239" s="11">
        <f>H239*AO239</f>
        <v>0</v>
      </c>
      <c r="K239" s="11">
        <f>H239*AP239</f>
        <v>0</v>
      </c>
      <c r="L239" s="11">
        <f>H239*I239</f>
        <v>0</v>
      </c>
      <c r="M239" s="52" t="s">
        <v>575</v>
      </c>
      <c r="Z239" s="11">
        <f>IF(AQ239="5",BJ239,0)</f>
        <v>0</v>
      </c>
      <c r="AB239" s="11">
        <f>IF(AQ239="1",BH239,0)</f>
        <v>0</v>
      </c>
      <c r="AC239" s="11">
        <f>IF(AQ239="1",BI239,0)</f>
        <v>0</v>
      </c>
      <c r="AD239" s="11">
        <f>IF(AQ239="7",BH239,0)</f>
        <v>0</v>
      </c>
      <c r="AE239" s="11">
        <f>IF(AQ239="7",BI239,0)</f>
        <v>0</v>
      </c>
      <c r="AF239" s="11">
        <f>IF(AQ239="2",BH239,0)</f>
        <v>0</v>
      </c>
      <c r="AG239" s="11">
        <f>IF(AQ239="2",BI239,0)</f>
        <v>0</v>
      </c>
      <c r="AH239" s="11">
        <f>IF(AQ239="0",BJ239,0)</f>
        <v>0</v>
      </c>
      <c r="AI239" s="40" t="s">
        <v>586</v>
      </c>
      <c r="AJ239" s="11">
        <f>IF(AN239=0,L239,0)</f>
        <v>0</v>
      </c>
      <c r="AK239" s="11">
        <f>IF(AN239=15,L239,0)</f>
        <v>0</v>
      </c>
      <c r="AL239" s="11">
        <f>IF(AN239=21,L239,0)</f>
        <v>0</v>
      </c>
      <c r="AN239" s="11">
        <v>21</v>
      </c>
      <c r="AO239" s="11">
        <f>I239*0</f>
        <v>0</v>
      </c>
      <c r="AP239" s="11">
        <f>I239*(1-0)</f>
        <v>0</v>
      </c>
      <c r="AQ239" s="12" t="s">
        <v>845</v>
      </c>
      <c r="AV239" s="11">
        <f>AW239+AX239</f>
        <v>0</v>
      </c>
      <c r="AW239" s="11">
        <f>H239*AO239</f>
        <v>0</v>
      </c>
      <c r="AX239" s="11">
        <f>H239*AP239</f>
        <v>0</v>
      </c>
      <c r="AY239" s="12" t="s">
        <v>683</v>
      </c>
      <c r="AZ239" s="12" t="s">
        <v>52</v>
      </c>
      <c r="BA239" s="40" t="s">
        <v>647</v>
      </c>
      <c r="BC239" s="11">
        <f>AW239+AX239</f>
        <v>0</v>
      </c>
      <c r="BD239" s="11">
        <f>I239/(100-BE239)*100</f>
        <v>0</v>
      </c>
      <c r="BE239" s="11">
        <v>0</v>
      </c>
      <c r="BF239" s="11">
        <f>247</f>
        <v>247</v>
      </c>
      <c r="BH239" s="11">
        <f>H239*AO239</f>
        <v>0</v>
      </c>
      <c r="BI239" s="11">
        <f>H239*AP239</f>
        <v>0</v>
      </c>
      <c r="BJ239" s="11">
        <f>H239*I239</f>
        <v>0</v>
      </c>
      <c r="BK239" s="11"/>
      <c r="BL239" s="11">
        <v>728</v>
      </c>
    </row>
    <row r="240" spans="1:64" ht="15" customHeight="1">
      <c r="A240" s="9" t="s">
        <v>53</v>
      </c>
      <c r="B240" s="10" t="s">
        <v>350</v>
      </c>
      <c r="C240" s="366" t="s">
        <v>531</v>
      </c>
      <c r="D240" s="366"/>
      <c r="E240" s="366"/>
      <c r="F240" s="366"/>
      <c r="G240" s="10" t="s">
        <v>216</v>
      </c>
      <c r="H240" s="11">
        <v>1</v>
      </c>
      <c r="I240" s="11">
        <v>0</v>
      </c>
      <c r="J240" s="11">
        <f>H240*AO240</f>
        <v>0</v>
      </c>
      <c r="K240" s="11">
        <f>H240*AP240</f>
        <v>0</v>
      </c>
      <c r="L240" s="11">
        <f>H240*I240</f>
        <v>0</v>
      </c>
      <c r="M240" s="52" t="s">
        <v>575</v>
      </c>
      <c r="Z240" s="11">
        <f>IF(AQ240="5",BJ240,0)</f>
        <v>0</v>
      </c>
      <c r="AB240" s="11">
        <f>IF(AQ240="1",BH240,0)</f>
        <v>0</v>
      </c>
      <c r="AC240" s="11">
        <f>IF(AQ240="1",BI240,0)</f>
        <v>0</v>
      </c>
      <c r="AD240" s="11">
        <f>IF(AQ240="7",BH240,0)</f>
        <v>0</v>
      </c>
      <c r="AE240" s="11">
        <f>IF(AQ240="7",BI240,0)</f>
        <v>0</v>
      </c>
      <c r="AF240" s="11">
        <f>IF(AQ240="2",BH240,0)</f>
        <v>0</v>
      </c>
      <c r="AG240" s="11">
        <f>IF(AQ240="2",BI240,0)</f>
        <v>0</v>
      </c>
      <c r="AH240" s="11">
        <f>IF(AQ240="0",BJ240,0)</f>
        <v>0</v>
      </c>
      <c r="AI240" s="40" t="s">
        <v>586</v>
      </c>
      <c r="AJ240" s="11">
        <f>IF(AN240=0,L240,0)</f>
        <v>0</v>
      </c>
      <c r="AK240" s="11">
        <f>IF(AN240=15,L240,0)</f>
        <v>0</v>
      </c>
      <c r="AL240" s="11">
        <f>IF(AN240=21,L240,0)</f>
        <v>0</v>
      </c>
      <c r="AN240" s="11">
        <v>21</v>
      </c>
      <c r="AO240" s="11">
        <f>I240*1</f>
        <v>0</v>
      </c>
      <c r="AP240" s="11">
        <f>I240*(1-1)</f>
        <v>0</v>
      </c>
      <c r="AQ240" s="12" t="s">
        <v>845</v>
      </c>
      <c r="AV240" s="11">
        <f>AW240+AX240</f>
        <v>0</v>
      </c>
      <c r="AW240" s="11">
        <f>H240*AO240</f>
        <v>0</v>
      </c>
      <c r="AX240" s="11">
        <f>H240*AP240</f>
        <v>0</v>
      </c>
      <c r="AY240" s="12" t="s">
        <v>683</v>
      </c>
      <c r="AZ240" s="12" t="s">
        <v>52</v>
      </c>
      <c r="BA240" s="40" t="s">
        <v>647</v>
      </c>
      <c r="BC240" s="11">
        <f>AW240+AX240</f>
        <v>0</v>
      </c>
      <c r="BD240" s="11">
        <f>I240/(100-BE240)*100</f>
        <v>0</v>
      </c>
      <c r="BE240" s="11">
        <v>0</v>
      </c>
      <c r="BF240" s="11">
        <f>248</f>
        <v>248</v>
      </c>
      <c r="BH240" s="11">
        <f>H240*AO240</f>
        <v>0</v>
      </c>
      <c r="BI240" s="11">
        <f>H240*AP240</f>
        <v>0</v>
      </c>
      <c r="BJ240" s="11">
        <f>H240*I240</f>
        <v>0</v>
      </c>
      <c r="BK240" s="11"/>
      <c r="BL240" s="11">
        <v>728</v>
      </c>
    </row>
    <row r="241" spans="1:64" ht="15" customHeight="1">
      <c r="A241" s="48" t="s">
        <v>586</v>
      </c>
      <c r="B241" s="49" t="s">
        <v>871</v>
      </c>
      <c r="C241" s="392" t="s">
        <v>713</v>
      </c>
      <c r="D241" s="392"/>
      <c r="E241" s="392"/>
      <c r="F241" s="392"/>
      <c r="G241" s="50" t="s">
        <v>783</v>
      </c>
      <c r="H241" s="50" t="s">
        <v>783</v>
      </c>
      <c r="I241" s="50" t="s">
        <v>783</v>
      </c>
      <c r="J241" s="36">
        <f>SUM(J242:J248)</f>
        <v>0</v>
      </c>
      <c r="K241" s="36">
        <f>SUM(K242:K248)</f>
        <v>0</v>
      </c>
      <c r="L241" s="36">
        <f>SUM(L242:L248)</f>
        <v>0</v>
      </c>
      <c r="M241" s="51" t="s">
        <v>586</v>
      </c>
      <c r="AI241" s="40" t="s">
        <v>586</v>
      </c>
      <c r="AS241" s="36">
        <f>SUM(AJ242:AJ248)</f>
        <v>0</v>
      </c>
      <c r="AT241" s="36">
        <f>SUM(AK242:AK248)</f>
        <v>0</v>
      </c>
      <c r="AU241" s="36">
        <f>SUM(AL242:AL248)</f>
        <v>0</v>
      </c>
    </row>
    <row r="242" spans="1:64" ht="15" customHeight="1">
      <c r="A242" s="9" t="s">
        <v>131</v>
      </c>
      <c r="B242" s="10" t="s">
        <v>744</v>
      </c>
      <c r="C242" s="366" t="s">
        <v>795</v>
      </c>
      <c r="D242" s="366"/>
      <c r="E242" s="366"/>
      <c r="F242" s="366"/>
      <c r="G242" s="10" t="s">
        <v>700</v>
      </c>
      <c r="H242" s="11">
        <v>18</v>
      </c>
      <c r="I242" s="11">
        <v>0</v>
      </c>
      <c r="J242" s="11">
        <f t="shared" ref="J242:J248" si="178">H242*AO242</f>
        <v>0</v>
      </c>
      <c r="K242" s="11">
        <f t="shared" ref="K242:K248" si="179">H242*AP242</f>
        <v>0</v>
      </c>
      <c r="L242" s="11">
        <f t="shared" ref="L242:L248" si="180">H242*I242</f>
        <v>0</v>
      </c>
      <c r="M242" s="52" t="s">
        <v>575</v>
      </c>
      <c r="Z242" s="11">
        <f t="shared" ref="Z242:Z248" si="181">IF(AQ242="5",BJ242,0)</f>
        <v>0</v>
      </c>
      <c r="AB242" s="11">
        <f t="shared" ref="AB242:AB248" si="182">IF(AQ242="1",BH242,0)</f>
        <v>0</v>
      </c>
      <c r="AC242" s="11">
        <f t="shared" ref="AC242:AC248" si="183">IF(AQ242="1",BI242,0)</f>
        <v>0</v>
      </c>
      <c r="AD242" s="11">
        <f t="shared" ref="AD242:AD248" si="184">IF(AQ242="7",BH242,0)</f>
        <v>0</v>
      </c>
      <c r="AE242" s="11">
        <f t="shared" ref="AE242:AE248" si="185">IF(AQ242="7",BI242,0)</f>
        <v>0</v>
      </c>
      <c r="AF242" s="11">
        <f t="shared" ref="AF242:AF248" si="186">IF(AQ242="2",BH242,0)</f>
        <v>0</v>
      </c>
      <c r="AG242" s="11">
        <f t="shared" ref="AG242:AG248" si="187">IF(AQ242="2",BI242,0)</f>
        <v>0</v>
      </c>
      <c r="AH242" s="11">
        <f t="shared" ref="AH242:AH248" si="188">IF(AQ242="0",BJ242,0)</f>
        <v>0</v>
      </c>
      <c r="AI242" s="40" t="s">
        <v>586</v>
      </c>
      <c r="AJ242" s="11">
        <f t="shared" ref="AJ242:AJ248" si="189">IF(AN242=0,L242,0)</f>
        <v>0</v>
      </c>
      <c r="AK242" s="11">
        <f t="shared" ref="AK242:AK248" si="190">IF(AN242=15,L242,0)</f>
        <v>0</v>
      </c>
      <c r="AL242" s="11">
        <f t="shared" ref="AL242:AL248" si="191">IF(AN242=21,L242,0)</f>
        <v>0</v>
      </c>
      <c r="AN242" s="11">
        <v>21</v>
      </c>
      <c r="AO242" s="11">
        <f>I242*0.451167785234899</f>
        <v>0</v>
      </c>
      <c r="AP242" s="11">
        <f>I242*(1-0.451167785234899)</f>
        <v>0</v>
      </c>
      <c r="AQ242" s="12" t="s">
        <v>845</v>
      </c>
      <c r="AV242" s="11">
        <f t="shared" ref="AV242:AV248" si="192">AW242+AX242</f>
        <v>0</v>
      </c>
      <c r="AW242" s="11">
        <f t="shared" ref="AW242:AW248" si="193">H242*AO242</f>
        <v>0</v>
      </c>
      <c r="AX242" s="11">
        <f t="shared" ref="AX242:AX248" si="194">H242*AP242</f>
        <v>0</v>
      </c>
      <c r="AY242" s="12" t="s">
        <v>80</v>
      </c>
      <c r="AZ242" s="12" t="s">
        <v>766</v>
      </c>
      <c r="BA242" s="40" t="s">
        <v>647</v>
      </c>
      <c r="BC242" s="11">
        <f t="shared" ref="BC242:BC248" si="195">AW242+AX242</f>
        <v>0</v>
      </c>
      <c r="BD242" s="11">
        <f t="shared" ref="BD242:BD248" si="196">I242/(100-BE242)*100</f>
        <v>0</v>
      </c>
      <c r="BE242" s="11">
        <v>0</v>
      </c>
      <c r="BF242" s="11">
        <f>250</f>
        <v>250</v>
      </c>
      <c r="BH242" s="11">
        <f t="shared" ref="BH242:BH248" si="197">H242*AO242</f>
        <v>0</v>
      </c>
      <c r="BI242" s="11">
        <f t="shared" ref="BI242:BI248" si="198">H242*AP242</f>
        <v>0</v>
      </c>
      <c r="BJ242" s="11">
        <f t="shared" ref="BJ242:BJ248" si="199">H242*I242</f>
        <v>0</v>
      </c>
      <c r="BK242" s="11"/>
      <c r="BL242" s="11">
        <v>733</v>
      </c>
    </row>
    <row r="243" spans="1:64" ht="15" customHeight="1">
      <c r="A243" s="9" t="s">
        <v>773</v>
      </c>
      <c r="B243" s="10" t="s">
        <v>403</v>
      </c>
      <c r="C243" s="366" t="s">
        <v>819</v>
      </c>
      <c r="D243" s="366"/>
      <c r="E243" s="366"/>
      <c r="F243" s="366"/>
      <c r="G243" s="10" t="s">
        <v>216</v>
      </c>
      <c r="H243" s="11">
        <v>2</v>
      </c>
      <c r="I243" s="11">
        <v>0</v>
      </c>
      <c r="J243" s="11">
        <f t="shared" si="178"/>
        <v>0</v>
      </c>
      <c r="K243" s="11">
        <f t="shared" si="179"/>
        <v>0</v>
      </c>
      <c r="L243" s="11">
        <f t="shared" si="180"/>
        <v>0</v>
      </c>
      <c r="M243" s="52" t="s">
        <v>575</v>
      </c>
      <c r="Z243" s="11">
        <f t="shared" si="181"/>
        <v>0</v>
      </c>
      <c r="AB243" s="11">
        <f t="shared" si="182"/>
        <v>0</v>
      </c>
      <c r="AC243" s="11">
        <f t="shared" si="183"/>
        <v>0</v>
      </c>
      <c r="AD243" s="11">
        <f t="shared" si="184"/>
        <v>0</v>
      </c>
      <c r="AE243" s="11">
        <f t="shared" si="185"/>
        <v>0</v>
      </c>
      <c r="AF243" s="11">
        <f t="shared" si="186"/>
        <v>0</v>
      </c>
      <c r="AG243" s="11">
        <f t="shared" si="187"/>
        <v>0</v>
      </c>
      <c r="AH243" s="11">
        <f t="shared" si="188"/>
        <v>0</v>
      </c>
      <c r="AI243" s="40" t="s">
        <v>586</v>
      </c>
      <c r="AJ243" s="11">
        <f t="shared" si="189"/>
        <v>0</v>
      </c>
      <c r="AK243" s="11">
        <f t="shared" si="190"/>
        <v>0</v>
      </c>
      <c r="AL243" s="11">
        <f t="shared" si="191"/>
        <v>0</v>
      </c>
      <c r="AN243" s="11">
        <v>21</v>
      </c>
      <c r="AO243" s="11">
        <f>I243*0</f>
        <v>0</v>
      </c>
      <c r="AP243" s="11">
        <f>I243*(1-0)</f>
        <v>0</v>
      </c>
      <c r="AQ243" s="12" t="s">
        <v>845</v>
      </c>
      <c r="AV243" s="11">
        <f t="shared" si="192"/>
        <v>0</v>
      </c>
      <c r="AW243" s="11">
        <f t="shared" si="193"/>
        <v>0</v>
      </c>
      <c r="AX243" s="11">
        <f t="shared" si="194"/>
        <v>0</v>
      </c>
      <c r="AY243" s="12" t="s">
        <v>80</v>
      </c>
      <c r="AZ243" s="12" t="s">
        <v>766</v>
      </c>
      <c r="BA243" s="40" t="s">
        <v>647</v>
      </c>
      <c r="BC243" s="11">
        <f t="shared" si="195"/>
        <v>0</v>
      </c>
      <c r="BD243" s="11">
        <f t="shared" si="196"/>
        <v>0</v>
      </c>
      <c r="BE243" s="11">
        <v>0</v>
      </c>
      <c r="BF243" s="11">
        <f>251</f>
        <v>251</v>
      </c>
      <c r="BH243" s="11">
        <f t="shared" si="197"/>
        <v>0</v>
      </c>
      <c r="BI243" s="11">
        <f t="shared" si="198"/>
        <v>0</v>
      </c>
      <c r="BJ243" s="11">
        <f t="shared" si="199"/>
        <v>0</v>
      </c>
      <c r="BK243" s="11"/>
      <c r="BL243" s="11">
        <v>733</v>
      </c>
    </row>
    <row r="244" spans="1:64" ht="15" customHeight="1">
      <c r="A244" s="9" t="s">
        <v>521</v>
      </c>
      <c r="B244" s="10" t="s">
        <v>389</v>
      </c>
      <c r="C244" s="366" t="s">
        <v>471</v>
      </c>
      <c r="D244" s="366"/>
      <c r="E244" s="366"/>
      <c r="F244" s="366"/>
      <c r="G244" s="10" t="s">
        <v>700</v>
      </c>
      <c r="H244" s="11">
        <v>18</v>
      </c>
      <c r="I244" s="11">
        <v>0</v>
      </c>
      <c r="J244" s="11">
        <f t="shared" si="178"/>
        <v>0</v>
      </c>
      <c r="K244" s="11">
        <f t="shared" si="179"/>
        <v>0</v>
      </c>
      <c r="L244" s="11">
        <f t="shared" si="180"/>
        <v>0</v>
      </c>
      <c r="M244" s="52" t="s">
        <v>575</v>
      </c>
      <c r="Z244" s="11">
        <f t="shared" si="181"/>
        <v>0</v>
      </c>
      <c r="AB244" s="11">
        <f t="shared" si="182"/>
        <v>0</v>
      </c>
      <c r="AC244" s="11">
        <f t="shared" si="183"/>
        <v>0</v>
      </c>
      <c r="AD244" s="11">
        <f t="shared" si="184"/>
        <v>0</v>
      </c>
      <c r="AE244" s="11">
        <f t="shared" si="185"/>
        <v>0</v>
      </c>
      <c r="AF244" s="11">
        <f t="shared" si="186"/>
        <v>0</v>
      </c>
      <c r="AG244" s="11">
        <f t="shared" si="187"/>
        <v>0</v>
      </c>
      <c r="AH244" s="11">
        <f t="shared" si="188"/>
        <v>0</v>
      </c>
      <c r="AI244" s="40" t="s">
        <v>586</v>
      </c>
      <c r="AJ244" s="11">
        <f t="shared" si="189"/>
        <v>0</v>
      </c>
      <c r="AK244" s="11">
        <f t="shared" si="190"/>
        <v>0</v>
      </c>
      <c r="AL244" s="11">
        <f t="shared" si="191"/>
        <v>0</v>
      </c>
      <c r="AN244" s="11">
        <v>21</v>
      </c>
      <c r="AO244" s="11">
        <f>I244*0.0227973568281938</f>
        <v>0</v>
      </c>
      <c r="AP244" s="11">
        <f>I244*(1-0.0227973568281938)</f>
        <v>0</v>
      </c>
      <c r="AQ244" s="12" t="s">
        <v>845</v>
      </c>
      <c r="AV244" s="11">
        <f t="shared" si="192"/>
        <v>0</v>
      </c>
      <c r="AW244" s="11">
        <f t="shared" si="193"/>
        <v>0</v>
      </c>
      <c r="AX244" s="11">
        <f t="shared" si="194"/>
        <v>0</v>
      </c>
      <c r="AY244" s="12" t="s">
        <v>80</v>
      </c>
      <c r="AZ244" s="12" t="s">
        <v>766</v>
      </c>
      <c r="BA244" s="40" t="s">
        <v>647</v>
      </c>
      <c r="BC244" s="11">
        <f t="shared" si="195"/>
        <v>0</v>
      </c>
      <c r="BD244" s="11">
        <f t="shared" si="196"/>
        <v>0</v>
      </c>
      <c r="BE244" s="11">
        <v>0</v>
      </c>
      <c r="BF244" s="11">
        <f>252</f>
        <v>252</v>
      </c>
      <c r="BH244" s="11">
        <f t="shared" si="197"/>
        <v>0</v>
      </c>
      <c r="BI244" s="11">
        <f t="shared" si="198"/>
        <v>0</v>
      </c>
      <c r="BJ244" s="11">
        <f t="shared" si="199"/>
        <v>0</v>
      </c>
      <c r="BK244" s="11"/>
      <c r="BL244" s="11">
        <v>733</v>
      </c>
    </row>
    <row r="245" spans="1:64" ht="15" customHeight="1">
      <c r="A245" s="9" t="s">
        <v>240</v>
      </c>
      <c r="B245" s="10" t="s">
        <v>22</v>
      </c>
      <c r="C245" s="366" t="s">
        <v>394</v>
      </c>
      <c r="D245" s="366"/>
      <c r="E245" s="366"/>
      <c r="F245" s="366"/>
      <c r="G245" s="10" t="s">
        <v>700</v>
      </c>
      <c r="H245" s="11">
        <v>18</v>
      </c>
      <c r="I245" s="11">
        <v>0</v>
      </c>
      <c r="J245" s="11">
        <f t="shared" si="178"/>
        <v>0</v>
      </c>
      <c r="K245" s="11">
        <f t="shared" si="179"/>
        <v>0</v>
      </c>
      <c r="L245" s="11">
        <f t="shared" si="180"/>
        <v>0</v>
      </c>
      <c r="M245" s="52" t="s">
        <v>575</v>
      </c>
      <c r="Z245" s="11">
        <f t="shared" si="181"/>
        <v>0</v>
      </c>
      <c r="AB245" s="11">
        <f t="shared" si="182"/>
        <v>0</v>
      </c>
      <c r="AC245" s="11">
        <f t="shared" si="183"/>
        <v>0</v>
      </c>
      <c r="AD245" s="11">
        <f t="shared" si="184"/>
        <v>0</v>
      </c>
      <c r="AE245" s="11">
        <f t="shared" si="185"/>
        <v>0</v>
      </c>
      <c r="AF245" s="11">
        <f t="shared" si="186"/>
        <v>0</v>
      </c>
      <c r="AG245" s="11">
        <f t="shared" si="187"/>
        <v>0</v>
      </c>
      <c r="AH245" s="11">
        <f t="shared" si="188"/>
        <v>0</v>
      </c>
      <c r="AI245" s="40" t="s">
        <v>586</v>
      </c>
      <c r="AJ245" s="11">
        <f t="shared" si="189"/>
        <v>0</v>
      </c>
      <c r="AK245" s="11">
        <f t="shared" si="190"/>
        <v>0</v>
      </c>
      <c r="AL245" s="11">
        <f t="shared" si="191"/>
        <v>0</v>
      </c>
      <c r="AN245" s="11">
        <v>21</v>
      </c>
      <c r="AO245" s="11">
        <f>I245*0</f>
        <v>0</v>
      </c>
      <c r="AP245" s="11">
        <f>I245*(1-0)</f>
        <v>0</v>
      </c>
      <c r="AQ245" s="12" t="s">
        <v>845</v>
      </c>
      <c r="AV245" s="11">
        <f t="shared" si="192"/>
        <v>0</v>
      </c>
      <c r="AW245" s="11">
        <f t="shared" si="193"/>
        <v>0</v>
      </c>
      <c r="AX245" s="11">
        <f t="shared" si="194"/>
        <v>0</v>
      </c>
      <c r="AY245" s="12" t="s">
        <v>80</v>
      </c>
      <c r="AZ245" s="12" t="s">
        <v>766</v>
      </c>
      <c r="BA245" s="40" t="s">
        <v>647</v>
      </c>
      <c r="BC245" s="11">
        <f t="shared" si="195"/>
        <v>0</v>
      </c>
      <c r="BD245" s="11">
        <f t="shared" si="196"/>
        <v>0</v>
      </c>
      <c r="BE245" s="11">
        <v>0</v>
      </c>
      <c r="BF245" s="11">
        <f>253</f>
        <v>253</v>
      </c>
      <c r="BH245" s="11">
        <f t="shared" si="197"/>
        <v>0</v>
      </c>
      <c r="BI245" s="11">
        <f t="shared" si="198"/>
        <v>0</v>
      </c>
      <c r="BJ245" s="11">
        <f t="shared" si="199"/>
        <v>0</v>
      </c>
      <c r="BK245" s="11"/>
      <c r="BL245" s="11">
        <v>733</v>
      </c>
    </row>
    <row r="246" spans="1:64" ht="15" customHeight="1">
      <c r="A246" s="9" t="s">
        <v>690</v>
      </c>
      <c r="B246" s="10" t="s">
        <v>312</v>
      </c>
      <c r="C246" s="366" t="s">
        <v>88</v>
      </c>
      <c r="D246" s="366"/>
      <c r="E246" s="366"/>
      <c r="F246" s="366"/>
      <c r="G246" s="10" t="s">
        <v>700</v>
      </c>
      <c r="H246" s="11">
        <v>18</v>
      </c>
      <c r="I246" s="11">
        <v>0</v>
      </c>
      <c r="J246" s="11">
        <f t="shared" si="178"/>
        <v>0</v>
      </c>
      <c r="K246" s="11">
        <f t="shared" si="179"/>
        <v>0</v>
      </c>
      <c r="L246" s="11">
        <f t="shared" si="180"/>
        <v>0</v>
      </c>
      <c r="M246" s="52" t="s">
        <v>575</v>
      </c>
      <c r="Z246" s="11">
        <f t="shared" si="181"/>
        <v>0</v>
      </c>
      <c r="AB246" s="11">
        <f t="shared" si="182"/>
        <v>0</v>
      </c>
      <c r="AC246" s="11">
        <f t="shared" si="183"/>
        <v>0</v>
      </c>
      <c r="AD246" s="11">
        <f t="shared" si="184"/>
        <v>0</v>
      </c>
      <c r="AE246" s="11">
        <f t="shared" si="185"/>
        <v>0</v>
      </c>
      <c r="AF246" s="11">
        <f t="shared" si="186"/>
        <v>0</v>
      </c>
      <c r="AG246" s="11">
        <f t="shared" si="187"/>
        <v>0</v>
      </c>
      <c r="AH246" s="11">
        <f t="shared" si="188"/>
        <v>0</v>
      </c>
      <c r="AI246" s="40" t="s">
        <v>586</v>
      </c>
      <c r="AJ246" s="11">
        <f t="shared" si="189"/>
        <v>0</v>
      </c>
      <c r="AK246" s="11">
        <f t="shared" si="190"/>
        <v>0</v>
      </c>
      <c r="AL246" s="11">
        <f t="shared" si="191"/>
        <v>0</v>
      </c>
      <c r="AN246" s="11">
        <v>21</v>
      </c>
      <c r="AO246" s="11">
        <f>I246*1</f>
        <v>0</v>
      </c>
      <c r="AP246" s="11">
        <f>I246*(1-1)</f>
        <v>0</v>
      </c>
      <c r="AQ246" s="12" t="s">
        <v>845</v>
      </c>
      <c r="AV246" s="11">
        <f t="shared" si="192"/>
        <v>0</v>
      </c>
      <c r="AW246" s="11">
        <f t="shared" si="193"/>
        <v>0</v>
      </c>
      <c r="AX246" s="11">
        <f t="shared" si="194"/>
        <v>0</v>
      </c>
      <c r="AY246" s="12" t="s">
        <v>80</v>
      </c>
      <c r="AZ246" s="12" t="s">
        <v>766</v>
      </c>
      <c r="BA246" s="40" t="s">
        <v>647</v>
      </c>
      <c r="BC246" s="11">
        <f t="shared" si="195"/>
        <v>0</v>
      </c>
      <c r="BD246" s="11">
        <f t="shared" si="196"/>
        <v>0</v>
      </c>
      <c r="BE246" s="11">
        <v>0</v>
      </c>
      <c r="BF246" s="11">
        <f>254</f>
        <v>254</v>
      </c>
      <c r="BH246" s="11">
        <f t="shared" si="197"/>
        <v>0</v>
      </c>
      <c r="BI246" s="11">
        <f t="shared" si="198"/>
        <v>0</v>
      </c>
      <c r="BJ246" s="11">
        <f t="shared" si="199"/>
        <v>0</v>
      </c>
      <c r="BK246" s="11"/>
      <c r="BL246" s="11">
        <v>733</v>
      </c>
    </row>
    <row r="247" spans="1:64" ht="15" customHeight="1">
      <c r="A247" s="9" t="s">
        <v>880</v>
      </c>
      <c r="B247" s="10" t="s">
        <v>403</v>
      </c>
      <c r="C247" s="366" t="s">
        <v>819</v>
      </c>
      <c r="D247" s="366"/>
      <c r="E247" s="366"/>
      <c r="F247" s="366"/>
      <c r="G247" s="10" t="s">
        <v>216</v>
      </c>
      <c r="H247" s="11">
        <v>2</v>
      </c>
      <c r="I247" s="11">
        <v>0</v>
      </c>
      <c r="J247" s="11">
        <f t="shared" si="178"/>
        <v>0</v>
      </c>
      <c r="K247" s="11">
        <f t="shared" si="179"/>
        <v>0</v>
      </c>
      <c r="L247" s="11">
        <f t="shared" si="180"/>
        <v>0</v>
      </c>
      <c r="M247" s="52" t="s">
        <v>575</v>
      </c>
      <c r="Z247" s="11">
        <f t="shared" si="181"/>
        <v>0</v>
      </c>
      <c r="AB247" s="11">
        <f t="shared" si="182"/>
        <v>0</v>
      </c>
      <c r="AC247" s="11">
        <f t="shared" si="183"/>
        <v>0</v>
      </c>
      <c r="AD247" s="11">
        <f t="shared" si="184"/>
        <v>0</v>
      </c>
      <c r="AE247" s="11">
        <f t="shared" si="185"/>
        <v>0</v>
      </c>
      <c r="AF247" s="11">
        <f t="shared" si="186"/>
        <v>0</v>
      </c>
      <c r="AG247" s="11">
        <f t="shared" si="187"/>
        <v>0</v>
      </c>
      <c r="AH247" s="11">
        <f t="shared" si="188"/>
        <v>0</v>
      </c>
      <c r="AI247" s="40" t="s">
        <v>586</v>
      </c>
      <c r="AJ247" s="11">
        <f t="shared" si="189"/>
        <v>0</v>
      </c>
      <c r="AK247" s="11">
        <f t="shared" si="190"/>
        <v>0</v>
      </c>
      <c r="AL247" s="11">
        <f t="shared" si="191"/>
        <v>0</v>
      </c>
      <c r="AN247" s="11">
        <v>21</v>
      </c>
      <c r="AO247" s="11">
        <f>I247*0</f>
        <v>0</v>
      </c>
      <c r="AP247" s="11">
        <f>I247*(1-0)</f>
        <v>0</v>
      </c>
      <c r="AQ247" s="12" t="s">
        <v>845</v>
      </c>
      <c r="AV247" s="11">
        <f t="shared" si="192"/>
        <v>0</v>
      </c>
      <c r="AW247" s="11">
        <f t="shared" si="193"/>
        <v>0</v>
      </c>
      <c r="AX247" s="11">
        <f t="shared" si="194"/>
        <v>0</v>
      </c>
      <c r="AY247" s="12" t="s">
        <v>80</v>
      </c>
      <c r="AZ247" s="12" t="s">
        <v>766</v>
      </c>
      <c r="BA247" s="40" t="s">
        <v>647</v>
      </c>
      <c r="BC247" s="11">
        <f t="shared" si="195"/>
        <v>0</v>
      </c>
      <c r="BD247" s="11">
        <f t="shared" si="196"/>
        <v>0</v>
      </c>
      <c r="BE247" s="11">
        <v>0</v>
      </c>
      <c r="BF247" s="11">
        <f>255</f>
        <v>255</v>
      </c>
      <c r="BH247" s="11">
        <f t="shared" si="197"/>
        <v>0</v>
      </c>
      <c r="BI247" s="11">
        <f t="shared" si="198"/>
        <v>0</v>
      </c>
      <c r="BJ247" s="11">
        <f t="shared" si="199"/>
        <v>0</v>
      </c>
      <c r="BK247" s="11"/>
      <c r="BL247" s="11">
        <v>733</v>
      </c>
    </row>
    <row r="248" spans="1:64" ht="15" customHeight="1">
      <c r="A248" s="9" t="s">
        <v>212</v>
      </c>
      <c r="B248" s="10" t="s">
        <v>763</v>
      </c>
      <c r="C248" s="366" t="s">
        <v>734</v>
      </c>
      <c r="D248" s="366"/>
      <c r="E248" s="366"/>
      <c r="F248" s="366"/>
      <c r="G248" s="10" t="s">
        <v>401</v>
      </c>
      <c r="H248" s="11">
        <v>0.124</v>
      </c>
      <c r="I248" s="11">
        <v>0</v>
      </c>
      <c r="J248" s="11">
        <f t="shared" si="178"/>
        <v>0</v>
      </c>
      <c r="K248" s="11">
        <f t="shared" si="179"/>
        <v>0</v>
      </c>
      <c r="L248" s="11">
        <f t="shared" si="180"/>
        <v>0</v>
      </c>
      <c r="M248" s="52" t="s">
        <v>575</v>
      </c>
      <c r="Z248" s="11">
        <f t="shared" si="181"/>
        <v>0</v>
      </c>
      <c r="AB248" s="11">
        <f t="shared" si="182"/>
        <v>0</v>
      </c>
      <c r="AC248" s="11">
        <f t="shared" si="183"/>
        <v>0</v>
      </c>
      <c r="AD248" s="11">
        <f t="shared" si="184"/>
        <v>0</v>
      </c>
      <c r="AE248" s="11">
        <f t="shared" si="185"/>
        <v>0</v>
      </c>
      <c r="AF248" s="11">
        <f t="shared" si="186"/>
        <v>0</v>
      </c>
      <c r="AG248" s="11">
        <f t="shared" si="187"/>
        <v>0</v>
      </c>
      <c r="AH248" s="11">
        <f t="shared" si="188"/>
        <v>0</v>
      </c>
      <c r="AI248" s="40" t="s">
        <v>586</v>
      </c>
      <c r="AJ248" s="11">
        <f t="shared" si="189"/>
        <v>0</v>
      </c>
      <c r="AK248" s="11">
        <f t="shared" si="190"/>
        <v>0</v>
      </c>
      <c r="AL248" s="11">
        <f t="shared" si="191"/>
        <v>0</v>
      </c>
      <c r="AN248" s="11">
        <v>21</v>
      </c>
      <c r="AO248" s="11">
        <f>I248*0</f>
        <v>0</v>
      </c>
      <c r="AP248" s="11">
        <f>I248*(1-0)</f>
        <v>0</v>
      </c>
      <c r="AQ248" s="12" t="s">
        <v>454</v>
      </c>
      <c r="AV248" s="11">
        <f t="shared" si="192"/>
        <v>0</v>
      </c>
      <c r="AW248" s="11">
        <f t="shared" si="193"/>
        <v>0</v>
      </c>
      <c r="AX248" s="11">
        <f t="shared" si="194"/>
        <v>0</v>
      </c>
      <c r="AY248" s="12" t="s">
        <v>80</v>
      </c>
      <c r="AZ248" s="12" t="s">
        <v>766</v>
      </c>
      <c r="BA248" s="40" t="s">
        <v>647</v>
      </c>
      <c r="BC248" s="11">
        <f t="shared" si="195"/>
        <v>0</v>
      </c>
      <c r="BD248" s="11">
        <f t="shared" si="196"/>
        <v>0</v>
      </c>
      <c r="BE248" s="11">
        <v>0</v>
      </c>
      <c r="BF248" s="11">
        <f>256</f>
        <v>256</v>
      </c>
      <c r="BH248" s="11">
        <f t="shared" si="197"/>
        <v>0</v>
      </c>
      <c r="BI248" s="11">
        <f t="shared" si="198"/>
        <v>0</v>
      </c>
      <c r="BJ248" s="11">
        <f t="shared" si="199"/>
        <v>0</v>
      </c>
      <c r="BK248" s="11"/>
      <c r="BL248" s="11">
        <v>733</v>
      </c>
    </row>
    <row r="249" spans="1:64" ht="15" customHeight="1">
      <c r="A249" s="48" t="s">
        <v>586</v>
      </c>
      <c r="B249" s="49" t="s">
        <v>874</v>
      </c>
      <c r="C249" s="392" t="s">
        <v>632</v>
      </c>
      <c r="D249" s="392"/>
      <c r="E249" s="392"/>
      <c r="F249" s="392"/>
      <c r="G249" s="50" t="s">
        <v>783</v>
      </c>
      <c r="H249" s="50" t="s">
        <v>783</v>
      </c>
      <c r="I249" s="50" t="s">
        <v>783</v>
      </c>
      <c r="J249" s="36">
        <f>SUM(J250:J257)</f>
        <v>0</v>
      </c>
      <c r="K249" s="36">
        <f>SUM(K250:K257)</f>
        <v>0</v>
      </c>
      <c r="L249" s="36">
        <f>SUM(L250:L257)</f>
        <v>0</v>
      </c>
      <c r="M249" s="51" t="s">
        <v>586</v>
      </c>
      <c r="AI249" s="40" t="s">
        <v>586</v>
      </c>
      <c r="AS249" s="36">
        <f>SUM(AJ250:AJ257)</f>
        <v>0</v>
      </c>
      <c r="AT249" s="36">
        <f>SUM(AK250:AK257)</f>
        <v>0</v>
      </c>
      <c r="AU249" s="36">
        <f>SUM(AL250:AL257)</f>
        <v>0</v>
      </c>
    </row>
    <row r="250" spans="1:64" ht="15" customHeight="1">
      <c r="A250" s="9" t="s">
        <v>901</v>
      </c>
      <c r="B250" s="10" t="s">
        <v>591</v>
      </c>
      <c r="C250" s="366" t="s">
        <v>652</v>
      </c>
      <c r="D250" s="366"/>
      <c r="E250" s="366"/>
      <c r="F250" s="366"/>
      <c r="G250" s="10" t="s">
        <v>830</v>
      </c>
      <c r="H250" s="11">
        <v>6.14</v>
      </c>
      <c r="I250" s="11">
        <v>0</v>
      </c>
      <c r="J250" s="11">
        <f t="shared" ref="J250:J257" si="200">H250*AO250</f>
        <v>0</v>
      </c>
      <c r="K250" s="11">
        <f t="shared" ref="K250:K257" si="201">H250*AP250</f>
        <v>0</v>
      </c>
      <c r="L250" s="11">
        <f t="shared" ref="L250:L257" si="202">H250*I250</f>
        <v>0</v>
      </c>
      <c r="M250" s="52" t="s">
        <v>575</v>
      </c>
      <c r="Z250" s="11">
        <f t="shared" ref="Z250:Z257" si="203">IF(AQ250="5",BJ250,0)</f>
        <v>0</v>
      </c>
      <c r="AB250" s="11">
        <f t="shared" ref="AB250:AB257" si="204">IF(AQ250="1",BH250,0)</f>
        <v>0</v>
      </c>
      <c r="AC250" s="11">
        <f t="shared" ref="AC250:AC257" si="205">IF(AQ250="1",BI250,0)</f>
        <v>0</v>
      </c>
      <c r="AD250" s="11">
        <f t="shared" ref="AD250:AD257" si="206">IF(AQ250="7",BH250,0)</f>
        <v>0</v>
      </c>
      <c r="AE250" s="11">
        <f t="shared" ref="AE250:AE257" si="207">IF(AQ250="7",BI250,0)</f>
        <v>0</v>
      </c>
      <c r="AF250" s="11">
        <f t="shared" ref="AF250:AF257" si="208">IF(AQ250="2",BH250,0)</f>
        <v>0</v>
      </c>
      <c r="AG250" s="11">
        <f t="shared" ref="AG250:AG257" si="209">IF(AQ250="2",BI250,0)</f>
        <v>0</v>
      </c>
      <c r="AH250" s="11">
        <f t="shared" ref="AH250:AH257" si="210">IF(AQ250="0",BJ250,0)</f>
        <v>0</v>
      </c>
      <c r="AI250" s="40" t="s">
        <v>586</v>
      </c>
      <c r="AJ250" s="11">
        <f t="shared" ref="AJ250:AJ257" si="211">IF(AN250=0,L250,0)</f>
        <v>0</v>
      </c>
      <c r="AK250" s="11">
        <f t="shared" ref="AK250:AK257" si="212">IF(AN250=15,L250,0)</f>
        <v>0</v>
      </c>
      <c r="AL250" s="11">
        <f t="shared" ref="AL250:AL257" si="213">IF(AN250=21,L250,0)</f>
        <v>0</v>
      </c>
      <c r="AN250" s="11">
        <v>21</v>
      </c>
      <c r="AO250" s="11">
        <f>I250*0</f>
        <v>0</v>
      </c>
      <c r="AP250" s="11">
        <f>I250*(1-0)</f>
        <v>0</v>
      </c>
      <c r="AQ250" s="12" t="s">
        <v>845</v>
      </c>
      <c r="AV250" s="11">
        <f t="shared" ref="AV250:AV257" si="214">AW250+AX250</f>
        <v>0</v>
      </c>
      <c r="AW250" s="11">
        <f t="shared" ref="AW250:AW257" si="215">H250*AO250</f>
        <v>0</v>
      </c>
      <c r="AX250" s="11">
        <f t="shared" ref="AX250:AX257" si="216">H250*AP250</f>
        <v>0</v>
      </c>
      <c r="AY250" s="12" t="s">
        <v>482</v>
      </c>
      <c r="AZ250" s="12" t="s">
        <v>766</v>
      </c>
      <c r="BA250" s="40" t="s">
        <v>647</v>
      </c>
      <c r="BC250" s="11">
        <f t="shared" ref="BC250:BC257" si="217">AW250+AX250</f>
        <v>0</v>
      </c>
      <c r="BD250" s="11">
        <f t="shared" ref="BD250:BD257" si="218">I250/(100-BE250)*100</f>
        <v>0</v>
      </c>
      <c r="BE250" s="11">
        <v>0</v>
      </c>
      <c r="BF250" s="11">
        <f>258</f>
        <v>258</v>
      </c>
      <c r="BH250" s="11">
        <f t="shared" ref="BH250:BH257" si="219">H250*AO250</f>
        <v>0</v>
      </c>
      <c r="BI250" s="11">
        <f t="shared" ref="BI250:BI257" si="220">H250*AP250</f>
        <v>0</v>
      </c>
      <c r="BJ250" s="11">
        <f t="shared" ref="BJ250:BJ257" si="221">H250*I250</f>
        <v>0</v>
      </c>
      <c r="BK250" s="11"/>
      <c r="BL250" s="11">
        <v>735</v>
      </c>
    </row>
    <row r="251" spans="1:64" ht="15" customHeight="1">
      <c r="A251" s="9" t="s">
        <v>278</v>
      </c>
      <c r="B251" s="10" t="s">
        <v>607</v>
      </c>
      <c r="C251" s="366" t="s">
        <v>515</v>
      </c>
      <c r="D251" s="366"/>
      <c r="E251" s="366"/>
      <c r="F251" s="366"/>
      <c r="G251" s="10" t="s">
        <v>830</v>
      </c>
      <c r="H251" s="11">
        <v>6.14</v>
      </c>
      <c r="I251" s="11">
        <v>0</v>
      </c>
      <c r="J251" s="11">
        <f t="shared" si="200"/>
        <v>0</v>
      </c>
      <c r="K251" s="11">
        <f t="shared" si="201"/>
        <v>0</v>
      </c>
      <c r="L251" s="11">
        <f t="shared" si="202"/>
        <v>0</v>
      </c>
      <c r="M251" s="52" t="s">
        <v>575</v>
      </c>
      <c r="Z251" s="11">
        <f t="shared" si="203"/>
        <v>0</v>
      </c>
      <c r="AB251" s="11">
        <f t="shared" si="204"/>
        <v>0</v>
      </c>
      <c r="AC251" s="11">
        <f t="shared" si="205"/>
        <v>0</v>
      </c>
      <c r="AD251" s="11">
        <f t="shared" si="206"/>
        <v>0</v>
      </c>
      <c r="AE251" s="11">
        <f t="shared" si="207"/>
        <v>0</v>
      </c>
      <c r="AF251" s="11">
        <f t="shared" si="208"/>
        <v>0</v>
      </c>
      <c r="AG251" s="11">
        <f t="shared" si="209"/>
        <v>0</v>
      </c>
      <c r="AH251" s="11">
        <f t="shared" si="210"/>
        <v>0</v>
      </c>
      <c r="AI251" s="40" t="s">
        <v>586</v>
      </c>
      <c r="AJ251" s="11">
        <f t="shared" si="211"/>
        <v>0</v>
      </c>
      <c r="AK251" s="11">
        <f t="shared" si="212"/>
        <v>0</v>
      </c>
      <c r="AL251" s="11">
        <f t="shared" si="213"/>
        <v>0</v>
      </c>
      <c r="AN251" s="11">
        <v>21</v>
      </c>
      <c r="AO251" s="11">
        <f>I251*0.390342157138834</f>
        <v>0</v>
      </c>
      <c r="AP251" s="11">
        <f>I251*(1-0.390342157138834)</f>
        <v>0</v>
      </c>
      <c r="AQ251" s="12" t="s">
        <v>845</v>
      </c>
      <c r="AV251" s="11">
        <f t="shared" si="214"/>
        <v>0</v>
      </c>
      <c r="AW251" s="11">
        <f t="shared" si="215"/>
        <v>0</v>
      </c>
      <c r="AX251" s="11">
        <f t="shared" si="216"/>
        <v>0</v>
      </c>
      <c r="AY251" s="12" t="s">
        <v>482</v>
      </c>
      <c r="AZ251" s="12" t="s">
        <v>766</v>
      </c>
      <c r="BA251" s="40" t="s">
        <v>647</v>
      </c>
      <c r="BC251" s="11">
        <f t="shared" si="217"/>
        <v>0</v>
      </c>
      <c r="BD251" s="11">
        <f t="shared" si="218"/>
        <v>0</v>
      </c>
      <c r="BE251" s="11">
        <v>0</v>
      </c>
      <c r="BF251" s="11">
        <f>259</f>
        <v>259</v>
      </c>
      <c r="BH251" s="11">
        <f t="shared" si="219"/>
        <v>0</v>
      </c>
      <c r="BI251" s="11">
        <f t="shared" si="220"/>
        <v>0</v>
      </c>
      <c r="BJ251" s="11">
        <f t="shared" si="221"/>
        <v>0</v>
      </c>
      <c r="BK251" s="11"/>
      <c r="BL251" s="11">
        <v>735</v>
      </c>
    </row>
    <row r="252" spans="1:64" ht="15" customHeight="1">
      <c r="A252" s="9" t="s">
        <v>684</v>
      </c>
      <c r="B252" s="10" t="s">
        <v>321</v>
      </c>
      <c r="C252" s="366" t="s">
        <v>428</v>
      </c>
      <c r="D252" s="366"/>
      <c r="E252" s="366"/>
      <c r="F252" s="366"/>
      <c r="G252" s="10" t="s">
        <v>830</v>
      </c>
      <c r="H252" s="11">
        <v>46.87</v>
      </c>
      <c r="I252" s="11">
        <v>0</v>
      </c>
      <c r="J252" s="11">
        <f t="shared" si="200"/>
        <v>0</v>
      </c>
      <c r="K252" s="11">
        <f t="shared" si="201"/>
        <v>0</v>
      </c>
      <c r="L252" s="11">
        <f t="shared" si="202"/>
        <v>0</v>
      </c>
      <c r="M252" s="52" t="s">
        <v>575</v>
      </c>
      <c r="Z252" s="11">
        <f t="shared" si="203"/>
        <v>0</v>
      </c>
      <c r="AB252" s="11">
        <f t="shared" si="204"/>
        <v>0</v>
      </c>
      <c r="AC252" s="11">
        <f t="shared" si="205"/>
        <v>0</v>
      </c>
      <c r="AD252" s="11">
        <f t="shared" si="206"/>
        <v>0</v>
      </c>
      <c r="AE252" s="11">
        <f t="shared" si="207"/>
        <v>0</v>
      </c>
      <c r="AF252" s="11">
        <f t="shared" si="208"/>
        <v>0</v>
      </c>
      <c r="AG252" s="11">
        <f t="shared" si="209"/>
        <v>0</v>
      </c>
      <c r="AH252" s="11">
        <f t="shared" si="210"/>
        <v>0</v>
      </c>
      <c r="AI252" s="40" t="s">
        <v>586</v>
      </c>
      <c r="AJ252" s="11">
        <f t="shared" si="211"/>
        <v>0</v>
      </c>
      <c r="AK252" s="11">
        <f t="shared" si="212"/>
        <v>0</v>
      </c>
      <c r="AL252" s="11">
        <f t="shared" si="213"/>
        <v>0</v>
      </c>
      <c r="AN252" s="11">
        <v>21</v>
      </c>
      <c r="AO252" s="11">
        <f>I252*0</f>
        <v>0</v>
      </c>
      <c r="AP252" s="11">
        <f>I252*(1-0)</f>
        <v>0</v>
      </c>
      <c r="AQ252" s="12" t="s">
        <v>845</v>
      </c>
      <c r="AV252" s="11">
        <f t="shared" si="214"/>
        <v>0</v>
      </c>
      <c r="AW252" s="11">
        <f t="shared" si="215"/>
        <v>0</v>
      </c>
      <c r="AX252" s="11">
        <f t="shared" si="216"/>
        <v>0</v>
      </c>
      <c r="AY252" s="12" t="s">
        <v>482</v>
      </c>
      <c r="AZ252" s="12" t="s">
        <v>766</v>
      </c>
      <c r="BA252" s="40" t="s">
        <v>647</v>
      </c>
      <c r="BC252" s="11">
        <f t="shared" si="217"/>
        <v>0</v>
      </c>
      <c r="BD252" s="11">
        <f t="shared" si="218"/>
        <v>0</v>
      </c>
      <c r="BE252" s="11">
        <v>0</v>
      </c>
      <c r="BF252" s="11">
        <f>260</f>
        <v>260</v>
      </c>
      <c r="BH252" s="11">
        <f t="shared" si="219"/>
        <v>0</v>
      </c>
      <c r="BI252" s="11">
        <f t="shared" si="220"/>
        <v>0</v>
      </c>
      <c r="BJ252" s="11">
        <f t="shared" si="221"/>
        <v>0</v>
      </c>
      <c r="BK252" s="11"/>
      <c r="BL252" s="11">
        <v>735</v>
      </c>
    </row>
    <row r="253" spans="1:64" ht="15" customHeight="1">
      <c r="A253" s="9" t="s">
        <v>451</v>
      </c>
      <c r="B253" s="10" t="s">
        <v>219</v>
      </c>
      <c r="C253" s="366" t="s">
        <v>152</v>
      </c>
      <c r="D253" s="366"/>
      <c r="E253" s="366"/>
      <c r="F253" s="366"/>
      <c r="G253" s="10" t="s">
        <v>216</v>
      </c>
      <c r="H253" s="11">
        <v>1</v>
      </c>
      <c r="I253" s="11">
        <v>0</v>
      </c>
      <c r="J253" s="11">
        <f t="shared" si="200"/>
        <v>0</v>
      </c>
      <c r="K253" s="11">
        <f t="shared" si="201"/>
        <v>0</v>
      </c>
      <c r="L253" s="11">
        <f t="shared" si="202"/>
        <v>0</v>
      </c>
      <c r="M253" s="52" t="s">
        <v>575</v>
      </c>
      <c r="Z253" s="11">
        <f t="shared" si="203"/>
        <v>0</v>
      </c>
      <c r="AB253" s="11">
        <f t="shared" si="204"/>
        <v>0</v>
      </c>
      <c r="AC253" s="11">
        <f t="shared" si="205"/>
        <v>0</v>
      </c>
      <c r="AD253" s="11">
        <f t="shared" si="206"/>
        <v>0</v>
      </c>
      <c r="AE253" s="11">
        <f t="shared" si="207"/>
        <v>0</v>
      </c>
      <c r="AF253" s="11">
        <f t="shared" si="208"/>
        <v>0</v>
      </c>
      <c r="AG253" s="11">
        <f t="shared" si="209"/>
        <v>0</v>
      </c>
      <c r="AH253" s="11">
        <f t="shared" si="210"/>
        <v>0</v>
      </c>
      <c r="AI253" s="40" t="s">
        <v>586</v>
      </c>
      <c r="AJ253" s="11">
        <f t="shared" si="211"/>
        <v>0</v>
      </c>
      <c r="AK253" s="11">
        <f t="shared" si="212"/>
        <v>0</v>
      </c>
      <c r="AL253" s="11">
        <f t="shared" si="213"/>
        <v>0</v>
      </c>
      <c r="AN253" s="11">
        <v>21</v>
      </c>
      <c r="AO253" s="11">
        <f>I253*0.127467532467532</f>
        <v>0</v>
      </c>
      <c r="AP253" s="11">
        <f>I253*(1-0.127467532467532)</f>
        <v>0</v>
      </c>
      <c r="AQ253" s="12" t="s">
        <v>845</v>
      </c>
      <c r="AV253" s="11">
        <f t="shared" si="214"/>
        <v>0</v>
      </c>
      <c r="AW253" s="11">
        <f t="shared" si="215"/>
        <v>0</v>
      </c>
      <c r="AX253" s="11">
        <f t="shared" si="216"/>
        <v>0</v>
      </c>
      <c r="AY253" s="12" t="s">
        <v>482</v>
      </c>
      <c r="AZ253" s="12" t="s">
        <v>766</v>
      </c>
      <c r="BA253" s="40" t="s">
        <v>647</v>
      </c>
      <c r="BC253" s="11">
        <f t="shared" si="217"/>
        <v>0</v>
      </c>
      <c r="BD253" s="11">
        <f t="shared" si="218"/>
        <v>0</v>
      </c>
      <c r="BE253" s="11">
        <v>0</v>
      </c>
      <c r="BF253" s="11">
        <f>261</f>
        <v>261</v>
      </c>
      <c r="BH253" s="11">
        <f t="shared" si="219"/>
        <v>0</v>
      </c>
      <c r="BI253" s="11">
        <f t="shared" si="220"/>
        <v>0</v>
      </c>
      <c r="BJ253" s="11">
        <f t="shared" si="221"/>
        <v>0</v>
      </c>
      <c r="BK253" s="11"/>
      <c r="BL253" s="11">
        <v>735</v>
      </c>
    </row>
    <row r="254" spans="1:64" ht="15" customHeight="1">
      <c r="A254" s="9" t="s">
        <v>14</v>
      </c>
      <c r="B254" s="10" t="s">
        <v>109</v>
      </c>
      <c r="C254" s="366" t="s">
        <v>364</v>
      </c>
      <c r="D254" s="366"/>
      <c r="E254" s="366"/>
      <c r="F254" s="366"/>
      <c r="G254" s="10" t="s">
        <v>648</v>
      </c>
      <c r="H254" s="11">
        <v>1</v>
      </c>
      <c r="I254" s="11">
        <v>0</v>
      </c>
      <c r="J254" s="11">
        <f t="shared" si="200"/>
        <v>0</v>
      </c>
      <c r="K254" s="11">
        <f t="shared" si="201"/>
        <v>0</v>
      </c>
      <c r="L254" s="11">
        <f t="shared" si="202"/>
        <v>0</v>
      </c>
      <c r="M254" s="52" t="s">
        <v>586</v>
      </c>
      <c r="Z254" s="11">
        <f t="shared" si="203"/>
        <v>0</v>
      </c>
      <c r="AB254" s="11">
        <f t="shared" si="204"/>
        <v>0</v>
      </c>
      <c r="AC254" s="11">
        <f t="shared" si="205"/>
        <v>0</v>
      </c>
      <c r="AD254" s="11">
        <f t="shared" si="206"/>
        <v>0</v>
      </c>
      <c r="AE254" s="11">
        <f t="shared" si="207"/>
        <v>0</v>
      </c>
      <c r="AF254" s="11">
        <f t="shared" si="208"/>
        <v>0</v>
      </c>
      <c r="AG254" s="11">
        <f t="shared" si="209"/>
        <v>0</v>
      </c>
      <c r="AH254" s="11">
        <f t="shared" si="210"/>
        <v>0</v>
      </c>
      <c r="AI254" s="40" t="s">
        <v>586</v>
      </c>
      <c r="AJ254" s="11">
        <f t="shared" si="211"/>
        <v>0</v>
      </c>
      <c r="AK254" s="11">
        <f t="shared" si="212"/>
        <v>0</v>
      </c>
      <c r="AL254" s="11">
        <f t="shared" si="213"/>
        <v>0</v>
      </c>
      <c r="AN254" s="11">
        <v>21</v>
      </c>
      <c r="AO254" s="11">
        <f>I254*0</f>
        <v>0</v>
      </c>
      <c r="AP254" s="11">
        <f>I254*(1-0)</f>
        <v>0</v>
      </c>
      <c r="AQ254" s="12" t="s">
        <v>845</v>
      </c>
      <c r="AV254" s="11">
        <f t="shared" si="214"/>
        <v>0</v>
      </c>
      <c r="AW254" s="11">
        <f t="shared" si="215"/>
        <v>0</v>
      </c>
      <c r="AX254" s="11">
        <f t="shared" si="216"/>
        <v>0</v>
      </c>
      <c r="AY254" s="12" t="s">
        <v>482</v>
      </c>
      <c r="AZ254" s="12" t="s">
        <v>766</v>
      </c>
      <c r="BA254" s="40" t="s">
        <v>647</v>
      </c>
      <c r="BC254" s="11">
        <f t="shared" si="217"/>
        <v>0</v>
      </c>
      <c r="BD254" s="11">
        <f t="shared" si="218"/>
        <v>0</v>
      </c>
      <c r="BE254" s="11">
        <v>0</v>
      </c>
      <c r="BF254" s="11">
        <f>262</f>
        <v>262</v>
      </c>
      <c r="BH254" s="11">
        <f t="shared" si="219"/>
        <v>0</v>
      </c>
      <c r="BI254" s="11">
        <f t="shared" si="220"/>
        <v>0</v>
      </c>
      <c r="BJ254" s="11">
        <f t="shared" si="221"/>
        <v>0</v>
      </c>
      <c r="BK254" s="11"/>
      <c r="BL254" s="11">
        <v>735</v>
      </c>
    </row>
    <row r="255" spans="1:64" ht="15" customHeight="1">
      <c r="A255" s="9" t="s">
        <v>635</v>
      </c>
      <c r="B255" s="10" t="s">
        <v>481</v>
      </c>
      <c r="C255" s="366" t="s">
        <v>843</v>
      </c>
      <c r="D255" s="366"/>
      <c r="E255" s="366"/>
      <c r="F255" s="366"/>
      <c r="G255" s="10" t="s">
        <v>590</v>
      </c>
      <c r="H255" s="11">
        <v>1</v>
      </c>
      <c r="I255" s="11">
        <v>0</v>
      </c>
      <c r="J255" s="11">
        <f t="shared" si="200"/>
        <v>0</v>
      </c>
      <c r="K255" s="11">
        <f t="shared" si="201"/>
        <v>0</v>
      </c>
      <c r="L255" s="11">
        <f t="shared" si="202"/>
        <v>0</v>
      </c>
      <c r="M255" s="52" t="s">
        <v>575</v>
      </c>
      <c r="Z255" s="11">
        <f t="shared" si="203"/>
        <v>0</v>
      </c>
      <c r="AB255" s="11">
        <f t="shared" si="204"/>
        <v>0</v>
      </c>
      <c r="AC255" s="11">
        <f t="shared" si="205"/>
        <v>0</v>
      </c>
      <c r="AD255" s="11">
        <f t="shared" si="206"/>
        <v>0</v>
      </c>
      <c r="AE255" s="11">
        <f t="shared" si="207"/>
        <v>0</v>
      </c>
      <c r="AF255" s="11">
        <f t="shared" si="208"/>
        <v>0</v>
      </c>
      <c r="AG255" s="11">
        <f t="shared" si="209"/>
        <v>0</v>
      </c>
      <c r="AH255" s="11">
        <f t="shared" si="210"/>
        <v>0</v>
      </c>
      <c r="AI255" s="40" t="s">
        <v>586</v>
      </c>
      <c r="AJ255" s="11">
        <f t="shared" si="211"/>
        <v>0</v>
      </c>
      <c r="AK255" s="11">
        <f t="shared" si="212"/>
        <v>0</v>
      </c>
      <c r="AL255" s="11">
        <f t="shared" si="213"/>
        <v>0</v>
      </c>
      <c r="AN255" s="11">
        <v>21</v>
      </c>
      <c r="AO255" s="11">
        <f>I255*0.135160256410256</f>
        <v>0</v>
      </c>
      <c r="AP255" s="11">
        <f>I255*(1-0.135160256410256)</f>
        <v>0</v>
      </c>
      <c r="AQ255" s="12" t="s">
        <v>845</v>
      </c>
      <c r="AV255" s="11">
        <f t="shared" si="214"/>
        <v>0</v>
      </c>
      <c r="AW255" s="11">
        <f t="shared" si="215"/>
        <v>0</v>
      </c>
      <c r="AX255" s="11">
        <f t="shared" si="216"/>
        <v>0</v>
      </c>
      <c r="AY255" s="12" t="s">
        <v>482</v>
      </c>
      <c r="AZ255" s="12" t="s">
        <v>766</v>
      </c>
      <c r="BA255" s="40" t="s">
        <v>647</v>
      </c>
      <c r="BC255" s="11">
        <f t="shared" si="217"/>
        <v>0</v>
      </c>
      <c r="BD255" s="11">
        <f t="shared" si="218"/>
        <v>0</v>
      </c>
      <c r="BE255" s="11">
        <v>0</v>
      </c>
      <c r="BF255" s="11">
        <f>263</f>
        <v>263</v>
      </c>
      <c r="BH255" s="11">
        <f t="shared" si="219"/>
        <v>0</v>
      </c>
      <c r="BI255" s="11">
        <f t="shared" si="220"/>
        <v>0</v>
      </c>
      <c r="BJ255" s="11">
        <f t="shared" si="221"/>
        <v>0</v>
      </c>
      <c r="BK255" s="11"/>
      <c r="BL255" s="11">
        <v>735</v>
      </c>
    </row>
    <row r="256" spans="1:64" ht="15" customHeight="1">
      <c r="A256" s="9" t="s">
        <v>903</v>
      </c>
      <c r="B256" s="10" t="s">
        <v>222</v>
      </c>
      <c r="C256" s="366" t="s">
        <v>186</v>
      </c>
      <c r="D256" s="366"/>
      <c r="E256" s="366"/>
      <c r="F256" s="366"/>
      <c r="G256" s="10" t="s">
        <v>830</v>
      </c>
      <c r="H256" s="11">
        <v>46.87</v>
      </c>
      <c r="I256" s="11">
        <v>0</v>
      </c>
      <c r="J256" s="11">
        <f t="shared" si="200"/>
        <v>0</v>
      </c>
      <c r="K256" s="11">
        <f t="shared" si="201"/>
        <v>0</v>
      </c>
      <c r="L256" s="11">
        <f t="shared" si="202"/>
        <v>0</v>
      </c>
      <c r="M256" s="52" t="s">
        <v>575</v>
      </c>
      <c r="Z256" s="11">
        <f t="shared" si="203"/>
        <v>0</v>
      </c>
      <c r="AB256" s="11">
        <f t="shared" si="204"/>
        <v>0</v>
      </c>
      <c r="AC256" s="11">
        <f t="shared" si="205"/>
        <v>0</v>
      </c>
      <c r="AD256" s="11">
        <f t="shared" si="206"/>
        <v>0</v>
      </c>
      <c r="AE256" s="11">
        <f t="shared" si="207"/>
        <v>0</v>
      </c>
      <c r="AF256" s="11">
        <f t="shared" si="208"/>
        <v>0</v>
      </c>
      <c r="AG256" s="11">
        <f t="shared" si="209"/>
        <v>0</v>
      </c>
      <c r="AH256" s="11">
        <f t="shared" si="210"/>
        <v>0</v>
      </c>
      <c r="AI256" s="40" t="s">
        <v>586</v>
      </c>
      <c r="AJ256" s="11">
        <f t="shared" si="211"/>
        <v>0</v>
      </c>
      <c r="AK256" s="11">
        <f t="shared" si="212"/>
        <v>0</v>
      </c>
      <c r="AL256" s="11">
        <f t="shared" si="213"/>
        <v>0</v>
      </c>
      <c r="AN256" s="11">
        <v>21</v>
      </c>
      <c r="AO256" s="11">
        <f>I256*0.0144097753795959</f>
        <v>0</v>
      </c>
      <c r="AP256" s="11">
        <f>I256*(1-0.0144097753795959)</f>
        <v>0</v>
      </c>
      <c r="AQ256" s="12" t="s">
        <v>845</v>
      </c>
      <c r="AV256" s="11">
        <f t="shared" si="214"/>
        <v>0</v>
      </c>
      <c r="AW256" s="11">
        <f t="shared" si="215"/>
        <v>0</v>
      </c>
      <c r="AX256" s="11">
        <f t="shared" si="216"/>
        <v>0</v>
      </c>
      <c r="AY256" s="12" t="s">
        <v>482</v>
      </c>
      <c r="AZ256" s="12" t="s">
        <v>766</v>
      </c>
      <c r="BA256" s="40" t="s">
        <v>647</v>
      </c>
      <c r="BC256" s="11">
        <f t="shared" si="217"/>
        <v>0</v>
      </c>
      <c r="BD256" s="11">
        <f t="shared" si="218"/>
        <v>0</v>
      </c>
      <c r="BE256" s="11">
        <v>0</v>
      </c>
      <c r="BF256" s="11">
        <f>264</f>
        <v>264</v>
      </c>
      <c r="BH256" s="11">
        <f t="shared" si="219"/>
        <v>0</v>
      </c>
      <c r="BI256" s="11">
        <f t="shared" si="220"/>
        <v>0</v>
      </c>
      <c r="BJ256" s="11">
        <f t="shared" si="221"/>
        <v>0</v>
      </c>
      <c r="BK256" s="11"/>
      <c r="BL256" s="11">
        <v>735</v>
      </c>
    </row>
    <row r="257" spans="1:64" ht="15" customHeight="1">
      <c r="A257" s="9" t="s">
        <v>834</v>
      </c>
      <c r="B257" s="10" t="s">
        <v>624</v>
      </c>
      <c r="C257" s="366" t="s">
        <v>620</v>
      </c>
      <c r="D257" s="366"/>
      <c r="E257" s="366"/>
      <c r="F257" s="366"/>
      <c r="G257" s="10" t="s">
        <v>401</v>
      </c>
      <c r="H257" s="11">
        <v>0.27100000000000002</v>
      </c>
      <c r="I257" s="11">
        <v>0</v>
      </c>
      <c r="J257" s="11">
        <f t="shared" si="200"/>
        <v>0</v>
      </c>
      <c r="K257" s="11">
        <f t="shared" si="201"/>
        <v>0</v>
      </c>
      <c r="L257" s="11">
        <f t="shared" si="202"/>
        <v>0</v>
      </c>
      <c r="M257" s="52" t="s">
        <v>575</v>
      </c>
      <c r="Z257" s="11">
        <f t="shared" si="203"/>
        <v>0</v>
      </c>
      <c r="AB257" s="11">
        <f t="shared" si="204"/>
        <v>0</v>
      </c>
      <c r="AC257" s="11">
        <f t="shared" si="205"/>
        <v>0</v>
      </c>
      <c r="AD257" s="11">
        <f t="shared" si="206"/>
        <v>0</v>
      </c>
      <c r="AE257" s="11">
        <f t="shared" si="207"/>
        <v>0</v>
      </c>
      <c r="AF257" s="11">
        <f t="shared" si="208"/>
        <v>0</v>
      </c>
      <c r="AG257" s="11">
        <f t="shared" si="209"/>
        <v>0</v>
      </c>
      <c r="AH257" s="11">
        <f t="shared" si="210"/>
        <v>0</v>
      </c>
      <c r="AI257" s="40" t="s">
        <v>586</v>
      </c>
      <c r="AJ257" s="11">
        <f t="shared" si="211"/>
        <v>0</v>
      </c>
      <c r="AK257" s="11">
        <f t="shared" si="212"/>
        <v>0</v>
      </c>
      <c r="AL257" s="11">
        <f t="shared" si="213"/>
        <v>0</v>
      </c>
      <c r="AN257" s="11">
        <v>21</v>
      </c>
      <c r="AO257" s="11">
        <f>I257*0</f>
        <v>0</v>
      </c>
      <c r="AP257" s="11">
        <f>I257*(1-0)</f>
        <v>0</v>
      </c>
      <c r="AQ257" s="12" t="s">
        <v>454</v>
      </c>
      <c r="AV257" s="11">
        <f t="shared" si="214"/>
        <v>0</v>
      </c>
      <c r="AW257" s="11">
        <f t="shared" si="215"/>
        <v>0</v>
      </c>
      <c r="AX257" s="11">
        <f t="shared" si="216"/>
        <v>0</v>
      </c>
      <c r="AY257" s="12" t="s">
        <v>482</v>
      </c>
      <c r="AZ257" s="12" t="s">
        <v>766</v>
      </c>
      <c r="BA257" s="40" t="s">
        <v>647</v>
      </c>
      <c r="BC257" s="11">
        <f t="shared" si="217"/>
        <v>0</v>
      </c>
      <c r="BD257" s="11">
        <f t="shared" si="218"/>
        <v>0</v>
      </c>
      <c r="BE257" s="11">
        <v>0</v>
      </c>
      <c r="BF257" s="11">
        <f>265</f>
        <v>265</v>
      </c>
      <c r="BH257" s="11">
        <f t="shared" si="219"/>
        <v>0</v>
      </c>
      <c r="BI257" s="11">
        <f t="shared" si="220"/>
        <v>0</v>
      </c>
      <c r="BJ257" s="11">
        <f t="shared" si="221"/>
        <v>0</v>
      </c>
      <c r="BK257" s="11"/>
      <c r="BL257" s="11">
        <v>735</v>
      </c>
    </row>
    <row r="258" spans="1:64" ht="15" customHeight="1">
      <c r="A258" s="48" t="s">
        <v>586</v>
      </c>
      <c r="B258" s="49" t="s">
        <v>361</v>
      </c>
      <c r="C258" s="392" t="s">
        <v>409</v>
      </c>
      <c r="D258" s="392"/>
      <c r="E258" s="392"/>
      <c r="F258" s="392"/>
      <c r="G258" s="50" t="s">
        <v>783</v>
      </c>
      <c r="H258" s="50" t="s">
        <v>783</v>
      </c>
      <c r="I258" s="50" t="s">
        <v>783</v>
      </c>
      <c r="J258" s="36">
        <f>SUM(J259:J279)</f>
        <v>0</v>
      </c>
      <c r="K258" s="36">
        <f>SUM(K259:K279)</f>
        <v>0</v>
      </c>
      <c r="L258" s="36">
        <f>SUM(L259:L279)</f>
        <v>0</v>
      </c>
      <c r="M258" s="51" t="s">
        <v>586</v>
      </c>
      <c r="AI258" s="40" t="s">
        <v>586</v>
      </c>
      <c r="AS258" s="36">
        <f>SUM(AJ259:AJ279)</f>
        <v>0</v>
      </c>
      <c r="AT258" s="36">
        <f>SUM(AK259:AK279)</f>
        <v>0</v>
      </c>
      <c r="AU258" s="36">
        <f>SUM(AL259:AL279)</f>
        <v>0</v>
      </c>
    </row>
    <row r="259" spans="1:64" ht="15" customHeight="1">
      <c r="A259" s="9" t="s">
        <v>646</v>
      </c>
      <c r="B259" s="10" t="s">
        <v>145</v>
      </c>
      <c r="C259" s="366" t="s">
        <v>472</v>
      </c>
      <c r="D259" s="366"/>
      <c r="E259" s="366"/>
      <c r="F259" s="366"/>
      <c r="G259" s="10" t="s">
        <v>216</v>
      </c>
      <c r="H259" s="11">
        <v>1</v>
      </c>
      <c r="I259" s="11">
        <v>0</v>
      </c>
      <c r="J259" s="11">
        <f t="shared" ref="J259:J279" si="222">H259*AO259</f>
        <v>0</v>
      </c>
      <c r="K259" s="11">
        <f t="shared" ref="K259:K279" si="223">H259*AP259</f>
        <v>0</v>
      </c>
      <c r="L259" s="11">
        <f t="shared" ref="L259:L279" si="224">H259*I259</f>
        <v>0</v>
      </c>
      <c r="M259" s="52" t="s">
        <v>575</v>
      </c>
      <c r="Z259" s="11">
        <f t="shared" ref="Z259:Z279" si="225">IF(AQ259="5",BJ259,0)</f>
        <v>0</v>
      </c>
      <c r="AB259" s="11">
        <f t="shared" ref="AB259:AB279" si="226">IF(AQ259="1",BH259,0)</f>
        <v>0</v>
      </c>
      <c r="AC259" s="11">
        <f t="shared" ref="AC259:AC279" si="227">IF(AQ259="1",BI259,0)</f>
        <v>0</v>
      </c>
      <c r="AD259" s="11">
        <f t="shared" ref="AD259:AD279" si="228">IF(AQ259="7",BH259,0)</f>
        <v>0</v>
      </c>
      <c r="AE259" s="11">
        <f t="shared" ref="AE259:AE279" si="229">IF(AQ259="7",BI259,0)</f>
        <v>0</v>
      </c>
      <c r="AF259" s="11">
        <f t="shared" ref="AF259:AF279" si="230">IF(AQ259="2",BH259,0)</f>
        <v>0</v>
      </c>
      <c r="AG259" s="11">
        <f t="shared" ref="AG259:AG279" si="231">IF(AQ259="2",BI259,0)</f>
        <v>0</v>
      </c>
      <c r="AH259" s="11">
        <f t="shared" ref="AH259:AH279" si="232">IF(AQ259="0",BJ259,0)</f>
        <v>0</v>
      </c>
      <c r="AI259" s="40" t="s">
        <v>586</v>
      </c>
      <c r="AJ259" s="11">
        <f t="shared" ref="AJ259:AJ279" si="233">IF(AN259=0,L259,0)</f>
        <v>0</v>
      </c>
      <c r="AK259" s="11">
        <f t="shared" ref="AK259:AK279" si="234">IF(AN259=15,L259,0)</f>
        <v>0</v>
      </c>
      <c r="AL259" s="11">
        <f t="shared" ref="AL259:AL279" si="235">IF(AN259=21,L259,0)</f>
        <v>0</v>
      </c>
      <c r="AN259" s="11">
        <v>21</v>
      </c>
      <c r="AO259" s="11">
        <f>I259*0</f>
        <v>0</v>
      </c>
      <c r="AP259" s="11">
        <f>I259*(1-0)</f>
        <v>0</v>
      </c>
      <c r="AQ259" s="12" t="s">
        <v>845</v>
      </c>
      <c r="AV259" s="11">
        <f t="shared" ref="AV259:AV279" si="236">AW259+AX259</f>
        <v>0</v>
      </c>
      <c r="AW259" s="11">
        <f t="shared" ref="AW259:AW279" si="237">H259*AO259</f>
        <v>0</v>
      </c>
      <c r="AX259" s="11">
        <f t="shared" ref="AX259:AX279" si="238">H259*AP259</f>
        <v>0</v>
      </c>
      <c r="AY259" s="12" t="s">
        <v>89</v>
      </c>
      <c r="AZ259" s="12" t="s">
        <v>459</v>
      </c>
      <c r="BA259" s="40" t="s">
        <v>647</v>
      </c>
      <c r="BC259" s="11">
        <f t="shared" ref="BC259:BC279" si="239">AW259+AX259</f>
        <v>0</v>
      </c>
      <c r="BD259" s="11">
        <f t="shared" ref="BD259:BD279" si="240">I259/(100-BE259)*100</f>
        <v>0</v>
      </c>
      <c r="BE259" s="11">
        <v>0</v>
      </c>
      <c r="BF259" s="11">
        <f>267</f>
        <v>267</v>
      </c>
      <c r="BH259" s="11">
        <f t="shared" ref="BH259:BH279" si="241">H259*AO259</f>
        <v>0</v>
      </c>
      <c r="BI259" s="11">
        <f t="shared" ref="BI259:BI279" si="242">H259*AP259</f>
        <v>0</v>
      </c>
      <c r="BJ259" s="11">
        <f t="shared" ref="BJ259:BJ279" si="243">H259*I259</f>
        <v>0</v>
      </c>
      <c r="BK259" s="11"/>
      <c r="BL259" s="11">
        <v>766</v>
      </c>
    </row>
    <row r="260" spans="1:64" ht="15" customHeight="1">
      <c r="A260" s="9" t="s">
        <v>534</v>
      </c>
      <c r="B260" s="10" t="s">
        <v>603</v>
      </c>
      <c r="C260" s="366" t="s">
        <v>1439</v>
      </c>
      <c r="D260" s="366"/>
      <c r="E260" s="366"/>
      <c r="F260" s="366"/>
      <c r="G260" s="10" t="s">
        <v>216</v>
      </c>
      <c r="H260" s="11">
        <v>1</v>
      </c>
      <c r="I260" s="11">
        <v>0</v>
      </c>
      <c r="J260" s="11">
        <f t="shared" si="222"/>
        <v>0</v>
      </c>
      <c r="K260" s="11">
        <f t="shared" si="223"/>
        <v>0</v>
      </c>
      <c r="L260" s="11">
        <f t="shared" si="224"/>
        <v>0</v>
      </c>
      <c r="M260" s="52" t="s">
        <v>575</v>
      </c>
      <c r="Z260" s="11">
        <f t="shared" si="225"/>
        <v>0</v>
      </c>
      <c r="AB260" s="11">
        <f t="shared" si="226"/>
        <v>0</v>
      </c>
      <c r="AC260" s="11">
        <f t="shared" si="227"/>
        <v>0</v>
      </c>
      <c r="AD260" s="11">
        <f t="shared" si="228"/>
        <v>0</v>
      </c>
      <c r="AE260" s="11">
        <f t="shared" si="229"/>
        <v>0</v>
      </c>
      <c r="AF260" s="11">
        <f t="shared" si="230"/>
        <v>0</v>
      </c>
      <c r="AG260" s="11">
        <f t="shared" si="231"/>
        <v>0</v>
      </c>
      <c r="AH260" s="11">
        <f t="shared" si="232"/>
        <v>0</v>
      </c>
      <c r="AI260" s="40" t="s">
        <v>586</v>
      </c>
      <c r="AJ260" s="11">
        <f t="shared" si="233"/>
        <v>0</v>
      </c>
      <c r="AK260" s="11">
        <f t="shared" si="234"/>
        <v>0</v>
      </c>
      <c r="AL260" s="11">
        <f t="shared" si="235"/>
        <v>0</v>
      </c>
      <c r="AN260" s="11">
        <v>21</v>
      </c>
      <c r="AO260" s="11">
        <f>I260*1</f>
        <v>0</v>
      </c>
      <c r="AP260" s="11">
        <f>I260*(1-1)</f>
        <v>0</v>
      </c>
      <c r="AQ260" s="12" t="s">
        <v>845</v>
      </c>
      <c r="AV260" s="11">
        <f t="shared" si="236"/>
        <v>0</v>
      </c>
      <c r="AW260" s="11">
        <f t="shared" si="237"/>
        <v>0</v>
      </c>
      <c r="AX260" s="11">
        <f t="shared" si="238"/>
        <v>0</v>
      </c>
      <c r="AY260" s="12" t="s">
        <v>89</v>
      </c>
      <c r="AZ260" s="12" t="s">
        <v>459</v>
      </c>
      <c r="BA260" s="40" t="s">
        <v>647</v>
      </c>
      <c r="BC260" s="11">
        <f t="shared" si="239"/>
        <v>0</v>
      </c>
      <c r="BD260" s="11">
        <f t="shared" si="240"/>
        <v>0</v>
      </c>
      <c r="BE260" s="11">
        <v>0</v>
      </c>
      <c r="BF260" s="11">
        <f>268</f>
        <v>268</v>
      </c>
      <c r="BH260" s="11">
        <f t="shared" si="241"/>
        <v>0</v>
      </c>
      <c r="BI260" s="11">
        <f t="shared" si="242"/>
        <v>0</v>
      </c>
      <c r="BJ260" s="11">
        <f t="shared" si="243"/>
        <v>0</v>
      </c>
      <c r="BK260" s="11"/>
      <c r="BL260" s="11">
        <v>766</v>
      </c>
    </row>
    <row r="261" spans="1:64" ht="15" customHeight="1">
      <c r="A261" s="9" t="s">
        <v>75</v>
      </c>
      <c r="B261" s="10" t="s">
        <v>667</v>
      </c>
      <c r="C261" s="366" t="s">
        <v>234</v>
      </c>
      <c r="D261" s="366"/>
      <c r="E261" s="366"/>
      <c r="F261" s="366"/>
      <c r="G261" s="10" t="s">
        <v>216</v>
      </c>
      <c r="H261" s="11">
        <v>1</v>
      </c>
      <c r="I261" s="11">
        <v>0</v>
      </c>
      <c r="J261" s="11">
        <f t="shared" si="222"/>
        <v>0</v>
      </c>
      <c r="K261" s="11">
        <f t="shared" si="223"/>
        <v>0</v>
      </c>
      <c r="L261" s="11">
        <f t="shared" si="224"/>
        <v>0</v>
      </c>
      <c r="M261" s="52" t="s">
        <v>575</v>
      </c>
      <c r="Z261" s="11">
        <f t="shared" si="225"/>
        <v>0</v>
      </c>
      <c r="AB261" s="11">
        <f t="shared" si="226"/>
        <v>0</v>
      </c>
      <c r="AC261" s="11">
        <f t="shared" si="227"/>
        <v>0</v>
      </c>
      <c r="AD261" s="11">
        <f t="shared" si="228"/>
        <v>0</v>
      </c>
      <c r="AE261" s="11">
        <f t="shared" si="229"/>
        <v>0</v>
      </c>
      <c r="AF261" s="11">
        <f t="shared" si="230"/>
        <v>0</v>
      </c>
      <c r="AG261" s="11">
        <f t="shared" si="231"/>
        <v>0</v>
      </c>
      <c r="AH261" s="11">
        <f t="shared" si="232"/>
        <v>0</v>
      </c>
      <c r="AI261" s="40" t="s">
        <v>586</v>
      </c>
      <c r="AJ261" s="11">
        <f t="shared" si="233"/>
        <v>0</v>
      </c>
      <c r="AK261" s="11">
        <f t="shared" si="234"/>
        <v>0</v>
      </c>
      <c r="AL261" s="11">
        <f t="shared" si="235"/>
        <v>0</v>
      </c>
      <c r="AN261" s="11">
        <v>21</v>
      </c>
      <c r="AO261" s="11">
        <f>I261*0</f>
        <v>0</v>
      </c>
      <c r="AP261" s="11">
        <f>I261*(1-0)</f>
        <v>0</v>
      </c>
      <c r="AQ261" s="12" t="s">
        <v>845</v>
      </c>
      <c r="AV261" s="11">
        <f t="shared" si="236"/>
        <v>0</v>
      </c>
      <c r="AW261" s="11">
        <f t="shared" si="237"/>
        <v>0</v>
      </c>
      <c r="AX261" s="11">
        <f t="shared" si="238"/>
        <v>0</v>
      </c>
      <c r="AY261" s="12" t="s">
        <v>89</v>
      </c>
      <c r="AZ261" s="12" t="s">
        <v>459</v>
      </c>
      <c r="BA261" s="40" t="s">
        <v>647</v>
      </c>
      <c r="BC261" s="11">
        <f t="shared" si="239"/>
        <v>0</v>
      </c>
      <c r="BD261" s="11">
        <f t="shared" si="240"/>
        <v>0</v>
      </c>
      <c r="BE261" s="11">
        <v>0</v>
      </c>
      <c r="BF261" s="11">
        <f>269</f>
        <v>269</v>
      </c>
      <c r="BH261" s="11">
        <f t="shared" si="241"/>
        <v>0</v>
      </c>
      <c r="BI261" s="11">
        <f t="shared" si="242"/>
        <v>0</v>
      </c>
      <c r="BJ261" s="11">
        <f t="shared" si="243"/>
        <v>0</v>
      </c>
      <c r="BK261" s="11"/>
      <c r="BL261" s="11">
        <v>766</v>
      </c>
    </row>
    <row r="262" spans="1:64" ht="15" customHeight="1">
      <c r="A262" s="9" t="s">
        <v>577</v>
      </c>
      <c r="B262" s="10" t="s">
        <v>418</v>
      </c>
      <c r="C262" s="366" t="s">
        <v>662</v>
      </c>
      <c r="D262" s="366"/>
      <c r="E262" s="366"/>
      <c r="F262" s="366"/>
      <c r="G262" s="10" t="s">
        <v>216</v>
      </c>
      <c r="H262" s="11">
        <v>1</v>
      </c>
      <c r="I262" s="11">
        <v>0</v>
      </c>
      <c r="J262" s="11">
        <f t="shared" si="222"/>
        <v>0</v>
      </c>
      <c r="K262" s="11">
        <f t="shared" si="223"/>
        <v>0</v>
      </c>
      <c r="L262" s="11">
        <f t="shared" si="224"/>
        <v>0</v>
      </c>
      <c r="M262" s="52" t="s">
        <v>575</v>
      </c>
      <c r="Z262" s="11">
        <f t="shared" si="225"/>
        <v>0</v>
      </c>
      <c r="AB262" s="11">
        <f t="shared" si="226"/>
        <v>0</v>
      </c>
      <c r="AC262" s="11">
        <f t="shared" si="227"/>
        <v>0</v>
      </c>
      <c r="AD262" s="11">
        <f t="shared" si="228"/>
        <v>0</v>
      </c>
      <c r="AE262" s="11">
        <f t="shared" si="229"/>
        <v>0</v>
      </c>
      <c r="AF262" s="11">
        <f t="shared" si="230"/>
        <v>0</v>
      </c>
      <c r="AG262" s="11">
        <f t="shared" si="231"/>
        <v>0</v>
      </c>
      <c r="AH262" s="11">
        <f t="shared" si="232"/>
        <v>0</v>
      </c>
      <c r="AI262" s="40" t="s">
        <v>586</v>
      </c>
      <c r="AJ262" s="11">
        <f t="shared" si="233"/>
        <v>0</v>
      </c>
      <c r="AK262" s="11">
        <f t="shared" si="234"/>
        <v>0</v>
      </c>
      <c r="AL262" s="11">
        <f t="shared" si="235"/>
        <v>0</v>
      </c>
      <c r="AN262" s="11">
        <v>21</v>
      </c>
      <c r="AO262" s="11">
        <f>I262*1</f>
        <v>0</v>
      </c>
      <c r="AP262" s="11">
        <f>I262*(1-1)</f>
        <v>0</v>
      </c>
      <c r="AQ262" s="12" t="s">
        <v>845</v>
      </c>
      <c r="AV262" s="11">
        <f t="shared" si="236"/>
        <v>0</v>
      </c>
      <c r="AW262" s="11">
        <f t="shared" si="237"/>
        <v>0</v>
      </c>
      <c r="AX262" s="11">
        <f t="shared" si="238"/>
        <v>0</v>
      </c>
      <c r="AY262" s="12" t="s">
        <v>89</v>
      </c>
      <c r="AZ262" s="12" t="s">
        <v>459</v>
      </c>
      <c r="BA262" s="40" t="s">
        <v>647</v>
      </c>
      <c r="BC262" s="11">
        <f t="shared" si="239"/>
        <v>0</v>
      </c>
      <c r="BD262" s="11">
        <f t="shared" si="240"/>
        <v>0</v>
      </c>
      <c r="BE262" s="11">
        <v>0</v>
      </c>
      <c r="BF262" s="11">
        <f>270</f>
        <v>270</v>
      </c>
      <c r="BH262" s="11">
        <f t="shared" si="241"/>
        <v>0</v>
      </c>
      <c r="BI262" s="11">
        <f t="shared" si="242"/>
        <v>0</v>
      </c>
      <c r="BJ262" s="11">
        <f t="shared" si="243"/>
        <v>0</v>
      </c>
      <c r="BK262" s="11"/>
      <c r="BL262" s="11">
        <v>766</v>
      </c>
    </row>
    <row r="263" spans="1:64" ht="15" customHeight="1">
      <c r="A263" s="9" t="s">
        <v>650</v>
      </c>
      <c r="B263" s="10" t="s">
        <v>820</v>
      </c>
      <c r="C263" s="366" t="s">
        <v>754</v>
      </c>
      <c r="D263" s="366"/>
      <c r="E263" s="366"/>
      <c r="F263" s="366"/>
      <c r="G263" s="10" t="s">
        <v>216</v>
      </c>
      <c r="H263" s="11">
        <v>1</v>
      </c>
      <c r="I263" s="11">
        <v>0</v>
      </c>
      <c r="J263" s="11">
        <f t="shared" si="222"/>
        <v>0</v>
      </c>
      <c r="K263" s="11">
        <f t="shared" si="223"/>
        <v>0</v>
      </c>
      <c r="L263" s="11">
        <f t="shared" si="224"/>
        <v>0</v>
      </c>
      <c r="M263" s="52" t="s">
        <v>575</v>
      </c>
      <c r="Z263" s="11">
        <f t="shared" si="225"/>
        <v>0</v>
      </c>
      <c r="AB263" s="11">
        <f t="shared" si="226"/>
        <v>0</v>
      </c>
      <c r="AC263" s="11">
        <f t="shared" si="227"/>
        <v>0</v>
      </c>
      <c r="AD263" s="11">
        <f t="shared" si="228"/>
        <v>0</v>
      </c>
      <c r="AE263" s="11">
        <f t="shared" si="229"/>
        <v>0</v>
      </c>
      <c r="AF263" s="11">
        <f t="shared" si="230"/>
        <v>0</v>
      </c>
      <c r="AG263" s="11">
        <f t="shared" si="231"/>
        <v>0</v>
      </c>
      <c r="AH263" s="11">
        <f t="shared" si="232"/>
        <v>0</v>
      </c>
      <c r="AI263" s="40" t="s">
        <v>586</v>
      </c>
      <c r="AJ263" s="11">
        <f t="shared" si="233"/>
        <v>0</v>
      </c>
      <c r="AK263" s="11">
        <f t="shared" si="234"/>
        <v>0</v>
      </c>
      <c r="AL263" s="11">
        <f t="shared" si="235"/>
        <v>0</v>
      </c>
      <c r="AN263" s="11">
        <v>21</v>
      </c>
      <c r="AO263" s="11">
        <f>I263*0</f>
        <v>0</v>
      </c>
      <c r="AP263" s="11">
        <f>I263*(1-0)</f>
        <v>0</v>
      </c>
      <c r="AQ263" s="12" t="s">
        <v>845</v>
      </c>
      <c r="AV263" s="11">
        <f t="shared" si="236"/>
        <v>0</v>
      </c>
      <c r="AW263" s="11">
        <f t="shared" si="237"/>
        <v>0</v>
      </c>
      <c r="AX263" s="11">
        <f t="shared" si="238"/>
        <v>0</v>
      </c>
      <c r="AY263" s="12" t="s">
        <v>89</v>
      </c>
      <c r="AZ263" s="12" t="s">
        <v>459</v>
      </c>
      <c r="BA263" s="40" t="s">
        <v>647</v>
      </c>
      <c r="BC263" s="11">
        <f t="shared" si="239"/>
        <v>0</v>
      </c>
      <c r="BD263" s="11">
        <f t="shared" si="240"/>
        <v>0</v>
      </c>
      <c r="BE263" s="11">
        <v>0</v>
      </c>
      <c r="BF263" s="11">
        <f>271</f>
        <v>271</v>
      </c>
      <c r="BH263" s="11">
        <f t="shared" si="241"/>
        <v>0</v>
      </c>
      <c r="BI263" s="11">
        <f t="shared" si="242"/>
        <v>0</v>
      </c>
      <c r="BJ263" s="11">
        <f t="shared" si="243"/>
        <v>0</v>
      </c>
      <c r="BK263" s="11"/>
      <c r="BL263" s="11">
        <v>766</v>
      </c>
    </row>
    <row r="264" spans="1:64" ht="15" customHeight="1">
      <c r="A264" s="9" t="s">
        <v>205</v>
      </c>
      <c r="B264" s="10" t="s">
        <v>208</v>
      </c>
      <c r="C264" s="366" t="s">
        <v>286</v>
      </c>
      <c r="D264" s="366"/>
      <c r="E264" s="366"/>
      <c r="F264" s="366"/>
      <c r="G264" s="10" t="s">
        <v>216</v>
      </c>
      <c r="H264" s="11">
        <v>1</v>
      </c>
      <c r="I264" s="11">
        <v>0</v>
      </c>
      <c r="J264" s="11">
        <f t="shared" si="222"/>
        <v>0</v>
      </c>
      <c r="K264" s="11">
        <f t="shared" si="223"/>
        <v>0</v>
      </c>
      <c r="L264" s="11">
        <f t="shared" si="224"/>
        <v>0</v>
      </c>
      <c r="M264" s="52" t="s">
        <v>575</v>
      </c>
      <c r="Z264" s="11">
        <f t="shared" si="225"/>
        <v>0</v>
      </c>
      <c r="AB264" s="11">
        <f t="shared" si="226"/>
        <v>0</v>
      </c>
      <c r="AC264" s="11">
        <f t="shared" si="227"/>
        <v>0</v>
      </c>
      <c r="AD264" s="11">
        <f t="shared" si="228"/>
        <v>0</v>
      </c>
      <c r="AE264" s="11">
        <f t="shared" si="229"/>
        <v>0</v>
      </c>
      <c r="AF264" s="11">
        <f t="shared" si="230"/>
        <v>0</v>
      </c>
      <c r="AG264" s="11">
        <f t="shared" si="231"/>
        <v>0</v>
      </c>
      <c r="AH264" s="11">
        <f t="shared" si="232"/>
        <v>0</v>
      </c>
      <c r="AI264" s="40" t="s">
        <v>586</v>
      </c>
      <c r="AJ264" s="11">
        <f t="shared" si="233"/>
        <v>0</v>
      </c>
      <c r="AK264" s="11">
        <f t="shared" si="234"/>
        <v>0</v>
      </c>
      <c r="AL264" s="11">
        <f t="shared" si="235"/>
        <v>0</v>
      </c>
      <c r="AN264" s="11">
        <v>21</v>
      </c>
      <c r="AO264" s="11">
        <f>I264*0.0361512027491409</f>
        <v>0</v>
      </c>
      <c r="AP264" s="11">
        <f>I264*(1-0.0361512027491409)</f>
        <v>0</v>
      </c>
      <c r="AQ264" s="12" t="s">
        <v>845</v>
      </c>
      <c r="AV264" s="11">
        <f t="shared" si="236"/>
        <v>0</v>
      </c>
      <c r="AW264" s="11">
        <f t="shared" si="237"/>
        <v>0</v>
      </c>
      <c r="AX264" s="11">
        <f t="shared" si="238"/>
        <v>0</v>
      </c>
      <c r="AY264" s="12" t="s">
        <v>89</v>
      </c>
      <c r="AZ264" s="12" t="s">
        <v>459</v>
      </c>
      <c r="BA264" s="40" t="s">
        <v>647</v>
      </c>
      <c r="BC264" s="11">
        <f t="shared" si="239"/>
        <v>0</v>
      </c>
      <c r="BD264" s="11">
        <f t="shared" si="240"/>
        <v>0</v>
      </c>
      <c r="BE264" s="11">
        <v>0</v>
      </c>
      <c r="BF264" s="11">
        <f>272</f>
        <v>272</v>
      </c>
      <c r="BH264" s="11">
        <f t="shared" si="241"/>
        <v>0</v>
      </c>
      <c r="BI264" s="11">
        <f t="shared" si="242"/>
        <v>0</v>
      </c>
      <c r="BJ264" s="11">
        <f t="shared" si="243"/>
        <v>0</v>
      </c>
      <c r="BK264" s="11"/>
      <c r="BL264" s="11">
        <v>766</v>
      </c>
    </row>
    <row r="265" spans="1:64" ht="15" customHeight="1">
      <c r="A265" s="9" t="s">
        <v>934</v>
      </c>
      <c r="B265" s="10" t="s">
        <v>598</v>
      </c>
      <c r="C265" s="366" t="s">
        <v>885</v>
      </c>
      <c r="D265" s="366"/>
      <c r="E265" s="366"/>
      <c r="F265" s="366"/>
      <c r="G265" s="10" t="s">
        <v>216</v>
      </c>
      <c r="H265" s="11">
        <v>1</v>
      </c>
      <c r="I265" s="11">
        <v>0</v>
      </c>
      <c r="J265" s="11">
        <f t="shared" si="222"/>
        <v>0</v>
      </c>
      <c r="K265" s="11">
        <f t="shared" si="223"/>
        <v>0</v>
      </c>
      <c r="L265" s="11">
        <f t="shared" si="224"/>
        <v>0</v>
      </c>
      <c r="M265" s="52" t="s">
        <v>575</v>
      </c>
      <c r="Z265" s="11">
        <f t="shared" si="225"/>
        <v>0</v>
      </c>
      <c r="AB265" s="11">
        <f t="shared" si="226"/>
        <v>0</v>
      </c>
      <c r="AC265" s="11">
        <f t="shared" si="227"/>
        <v>0</v>
      </c>
      <c r="AD265" s="11">
        <f t="shared" si="228"/>
        <v>0</v>
      </c>
      <c r="AE265" s="11">
        <f t="shared" si="229"/>
        <v>0</v>
      </c>
      <c r="AF265" s="11">
        <f t="shared" si="230"/>
        <v>0</v>
      </c>
      <c r="AG265" s="11">
        <f t="shared" si="231"/>
        <v>0</v>
      </c>
      <c r="AH265" s="11">
        <f t="shared" si="232"/>
        <v>0</v>
      </c>
      <c r="AI265" s="40" t="s">
        <v>586</v>
      </c>
      <c r="AJ265" s="11">
        <f t="shared" si="233"/>
        <v>0</v>
      </c>
      <c r="AK265" s="11">
        <f t="shared" si="234"/>
        <v>0</v>
      </c>
      <c r="AL265" s="11">
        <f t="shared" si="235"/>
        <v>0</v>
      </c>
      <c r="AN265" s="11">
        <v>21</v>
      </c>
      <c r="AO265" s="11">
        <f>I265*1</f>
        <v>0</v>
      </c>
      <c r="AP265" s="11">
        <f>I265*(1-1)</f>
        <v>0</v>
      </c>
      <c r="AQ265" s="12" t="s">
        <v>845</v>
      </c>
      <c r="AV265" s="11">
        <f t="shared" si="236"/>
        <v>0</v>
      </c>
      <c r="AW265" s="11">
        <f t="shared" si="237"/>
        <v>0</v>
      </c>
      <c r="AX265" s="11">
        <f t="shared" si="238"/>
        <v>0</v>
      </c>
      <c r="AY265" s="12" t="s">
        <v>89</v>
      </c>
      <c r="AZ265" s="12" t="s">
        <v>459</v>
      </c>
      <c r="BA265" s="40" t="s">
        <v>647</v>
      </c>
      <c r="BC265" s="11">
        <f t="shared" si="239"/>
        <v>0</v>
      </c>
      <c r="BD265" s="11">
        <f t="shared" si="240"/>
        <v>0</v>
      </c>
      <c r="BE265" s="11">
        <v>0</v>
      </c>
      <c r="BF265" s="11">
        <f>273</f>
        <v>273</v>
      </c>
      <c r="BH265" s="11">
        <f t="shared" si="241"/>
        <v>0</v>
      </c>
      <c r="BI265" s="11">
        <f t="shared" si="242"/>
        <v>0</v>
      </c>
      <c r="BJ265" s="11">
        <f t="shared" si="243"/>
        <v>0</v>
      </c>
      <c r="BK265" s="11"/>
      <c r="BL265" s="11">
        <v>766</v>
      </c>
    </row>
    <row r="266" spans="1:64" ht="15" customHeight="1">
      <c r="A266" s="9" t="s">
        <v>487</v>
      </c>
      <c r="B266" s="10" t="s">
        <v>443</v>
      </c>
      <c r="C266" s="366" t="s">
        <v>555</v>
      </c>
      <c r="D266" s="366"/>
      <c r="E266" s="366"/>
      <c r="F266" s="366"/>
      <c r="G266" s="10" t="s">
        <v>216</v>
      </c>
      <c r="H266" s="11">
        <v>3</v>
      </c>
      <c r="I266" s="11">
        <v>0</v>
      </c>
      <c r="J266" s="11">
        <f t="shared" si="222"/>
        <v>0</v>
      </c>
      <c r="K266" s="11">
        <f t="shared" si="223"/>
        <v>0</v>
      </c>
      <c r="L266" s="11">
        <f t="shared" si="224"/>
        <v>0</v>
      </c>
      <c r="M266" s="52" t="s">
        <v>575</v>
      </c>
      <c r="Z266" s="11">
        <f t="shared" si="225"/>
        <v>0</v>
      </c>
      <c r="AB266" s="11">
        <f t="shared" si="226"/>
        <v>0</v>
      </c>
      <c r="AC266" s="11">
        <f t="shared" si="227"/>
        <v>0</v>
      </c>
      <c r="AD266" s="11">
        <f t="shared" si="228"/>
        <v>0</v>
      </c>
      <c r="AE266" s="11">
        <f t="shared" si="229"/>
        <v>0</v>
      </c>
      <c r="AF266" s="11">
        <f t="shared" si="230"/>
        <v>0</v>
      </c>
      <c r="AG266" s="11">
        <f t="shared" si="231"/>
        <v>0</v>
      </c>
      <c r="AH266" s="11">
        <f t="shared" si="232"/>
        <v>0</v>
      </c>
      <c r="AI266" s="40" t="s">
        <v>586</v>
      </c>
      <c r="AJ266" s="11">
        <f t="shared" si="233"/>
        <v>0</v>
      </c>
      <c r="AK266" s="11">
        <f t="shared" si="234"/>
        <v>0</v>
      </c>
      <c r="AL266" s="11">
        <f t="shared" si="235"/>
        <v>0</v>
      </c>
      <c r="AN266" s="11">
        <v>21</v>
      </c>
      <c r="AO266" s="11">
        <f>I266*0.213476923076923</f>
        <v>0</v>
      </c>
      <c r="AP266" s="11">
        <f>I266*(1-0.213476923076923)</f>
        <v>0</v>
      </c>
      <c r="AQ266" s="12" t="s">
        <v>845</v>
      </c>
      <c r="AV266" s="11">
        <f t="shared" si="236"/>
        <v>0</v>
      </c>
      <c r="AW266" s="11">
        <f t="shared" si="237"/>
        <v>0</v>
      </c>
      <c r="AX266" s="11">
        <f t="shared" si="238"/>
        <v>0</v>
      </c>
      <c r="AY266" s="12" t="s">
        <v>89</v>
      </c>
      <c r="AZ266" s="12" t="s">
        <v>459</v>
      </c>
      <c r="BA266" s="40" t="s">
        <v>647</v>
      </c>
      <c r="BC266" s="11">
        <f t="shared" si="239"/>
        <v>0</v>
      </c>
      <c r="BD266" s="11">
        <f t="shared" si="240"/>
        <v>0</v>
      </c>
      <c r="BE266" s="11">
        <v>0</v>
      </c>
      <c r="BF266" s="11">
        <f>274</f>
        <v>274</v>
      </c>
      <c r="BH266" s="11">
        <f t="shared" si="241"/>
        <v>0</v>
      </c>
      <c r="BI266" s="11">
        <f t="shared" si="242"/>
        <v>0</v>
      </c>
      <c r="BJ266" s="11">
        <f t="shared" si="243"/>
        <v>0</v>
      </c>
      <c r="BK266" s="11"/>
      <c r="BL266" s="11">
        <v>766</v>
      </c>
    </row>
    <row r="267" spans="1:64" ht="15" customHeight="1">
      <c r="A267" s="9" t="s">
        <v>215</v>
      </c>
      <c r="B267" s="10" t="s">
        <v>490</v>
      </c>
      <c r="C267" s="366" t="s">
        <v>25</v>
      </c>
      <c r="D267" s="366"/>
      <c r="E267" s="366"/>
      <c r="F267" s="366"/>
      <c r="G267" s="10" t="s">
        <v>216</v>
      </c>
      <c r="H267" s="11">
        <v>3</v>
      </c>
      <c r="I267" s="11">
        <v>0</v>
      </c>
      <c r="J267" s="11">
        <f t="shared" si="222"/>
        <v>0</v>
      </c>
      <c r="K267" s="11">
        <f t="shared" si="223"/>
        <v>0</v>
      </c>
      <c r="L267" s="11">
        <f t="shared" si="224"/>
        <v>0</v>
      </c>
      <c r="M267" s="52" t="s">
        <v>575</v>
      </c>
      <c r="Z267" s="11">
        <f t="shared" si="225"/>
        <v>0</v>
      </c>
      <c r="AB267" s="11">
        <f t="shared" si="226"/>
        <v>0</v>
      </c>
      <c r="AC267" s="11">
        <f t="shared" si="227"/>
        <v>0</v>
      </c>
      <c r="AD267" s="11">
        <f t="shared" si="228"/>
        <v>0</v>
      </c>
      <c r="AE267" s="11">
        <f t="shared" si="229"/>
        <v>0</v>
      </c>
      <c r="AF267" s="11">
        <f t="shared" si="230"/>
        <v>0</v>
      </c>
      <c r="AG267" s="11">
        <f t="shared" si="231"/>
        <v>0</v>
      </c>
      <c r="AH267" s="11">
        <f t="shared" si="232"/>
        <v>0</v>
      </c>
      <c r="AI267" s="40" t="s">
        <v>586</v>
      </c>
      <c r="AJ267" s="11">
        <f t="shared" si="233"/>
        <v>0</v>
      </c>
      <c r="AK267" s="11">
        <f t="shared" si="234"/>
        <v>0</v>
      </c>
      <c r="AL267" s="11">
        <f t="shared" si="235"/>
        <v>0</v>
      </c>
      <c r="AN267" s="11">
        <v>21</v>
      </c>
      <c r="AO267" s="11">
        <f>I267*1</f>
        <v>0</v>
      </c>
      <c r="AP267" s="11">
        <f>I267*(1-1)</f>
        <v>0</v>
      </c>
      <c r="AQ267" s="12" t="s">
        <v>845</v>
      </c>
      <c r="AV267" s="11">
        <f t="shared" si="236"/>
        <v>0</v>
      </c>
      <c r="AW267" s="11">
        <f t="shared" si="237"/>
        <v>0</v>
      </c>
      <c r="AX267" s="11">
        <f t="shared" si="238"/>
        <v>0</v>
      </c>
      <c r="AY267" s="12" t="s">
        <v>89</v>
      </c>
      <c r="AZ267" s="12" t="s">
        <v>459</v>
      </c>
      <c r="BA267" s="40" t="s">
        <v>647</v>
      </c>
      <c r="BC267" s="11">
        <f t="shared" si="239"/>
        <v>0</v>
      </c>
      <c r="BD267" s="11">
        <f t="shared" si="240"/>
        <v>0</v>
      </c>
      <c r="BE267" s="11">
        <v>0</v>
      </c>
      <c r="BF267" s="11">
        <f>275</f>
        <v>275</v>
      </c>
      <c r="BH267" s="11">
        <f t="shared" si="241"/>
        <v>0</v>
      </c>
      <c r="BI267" s="11">
        <f t="shared" si="242"/>
        <v>0</v>
      </c>
      <c r="BJ267" s="11">
        <f t="shared" si="243"/>
        <v>0</v>
      </c>
      <c r="BK267" s="11"/>
      <c r="BL267" s="11">
        <v>766</v>
      </c>
    </row>
    <row r="268" spans="1:64" ht="15" customHeight="1">
      <c r="A268" s="9" t="s">
        <v>639</v>
      </c>
      <c r="B268" s="10" t="s">
        <v>667</v>
      </c>
      <c r="C268" s="366" t="s">
        <v>234</v>
      </c>
      <c r="D268" s="366"/>
      <c r="E268" s="366"/>
      <c r="F268" s="366"/>
      <c r="G268" s="10" t="s">
        <v>216</v>
      </c>
      <c r="H268" s="11">
        <v>3</v>
      </c>
      <c r="I268" s="11">
        <v>0</v>
      </c>
      <c r="J268" s="11">
        <f t="shared" si="222"/>
        <v>0</v>
      </c>
      <c r="K268" s="11">
        <f t="shared" si="223"/>
        <v>0</v>
      </c>
      <c r="L268" s="11">
        <f t="shared" si="224"/>
        <v>0</v>
      </c>
      <c r="M268" s="52" t="s">
        <v>575</v>
      </c>
      <c r="Z268" s="11">
        <f t="shared" si="225"/>
        <v>0</v>
      </c>
      <c r="AB268" s="11">
        <f t="shared" si="226"/>
        <v>0</v>
      </c>
      <c r="AC268" s="11">
        <f t="shared" si="227"/>
        <v>0</v>
      </c>
      <c r="AD268" s="11">
        <f t="shared" si="228"/>
        <v>0</v>
      </c>
      <c r="AE268" s="11">
        <f t="shared" si="229"/>
        <v>0</v>
      </c>
      <c r="AF268" s="11">
        <f t="shared" si="230"/>
        <v>0</v>
      </c>
      <c r="AG268" s="11">
        <f t="shared" si="231"/>
        <v>0</v>
      </c>
      <c r="AH268" s="11">
        <f t="shared" si="232"/>
        <v>0</v>
      </c>
      <c r="AI268" s="40" t="s">
        <v>586</v>
      </c>
      <c r="AJ268" s="11">
        <f t="shared" si="233"/>
        <v>0</v>
      </c>
      <c r="AK268" s="11">
        <f t="shared" si="234"/>
        <v>0</v>
      </c>
      <c r="AL268" s="11">
        <f t="shared" si="235"/>
        <v>0</v>
      </c>
      <c r="AN268" s="11">
        <v>21</v>
      </c>
      <c r="AO268" s="11">
        <f>I268*0</f>
        <v>0</v>
      </c>
      <c r="AP268" s="11">
        <f>I268*(1-0)</f>
        <v>0</v>
      </c>
      <c r="AQ268" s="12" t="s">
        <v>845</v>
      </c>
      <c r="AV268" s="11">
        <f t="shared" si="236"/>
        <v>0</v>
      </c>
      <c r="AW268" s="11">
        <f t="shared" si="237"/>
        <v>0</v>
      </c>
      <c r="AX268" s="11">
        <f t="shared" si="238"/>
        <v>0</v>
      </c>
      <c r="AY268" s="12" t="s">
        <v>89</v>
      </c>
      <c r="AZ268" s="12" t="s">
        <v>459</v>
      </c>
      <c r="BA268" s="40" t="s">
        <v>647</v>
      </c>
      <c r="BC268" s="11">
        <f t="shared" si="239"/>
        <v>0</v>
      </c>
      <c r="BD268" s="11">
        <f t="shared" si="240"/>
        <v>0</v>
      </c>
      <c r="BE268" s="11">
        <v>0</v>
      </c>
      <c r="BF268" s="11">
        <f>276</f>
        <v>276</v>
      </c>
      <c r="BH268" s="11">
        <f t="shared" si="241"/>
        <v>0</v>
      </c>
      <c r="BI268" s="11">
        <f t="shared" si="242"/>
        <v>0</v>
      </c>
      <c r="BJ268" s="11">
        <f t="shared" si="243"/>
        <v>0</v>
      </c>
      <c r="BK268" s="11"/>
      <c r="BL268" s="11">
        <v>766</v>
      </c>
    </row>
    <row r="269" spans="1:64" ht="15" customHeight="1">
      <c r="A269" s="9" t="s">
        <v>434</v>
      </c>
      <c r="B269" s="10" t="s">
        <v>97</v>
      </c>
      <c r="C269" s="366" t="s">
        <v>751</v>
      </c>
      <c r="D269" s="366"/>
      <c r="E269" s="366"/>
      <c r="F269" s="366"/>
      <c r="G269" s="10" t="s">
        <v>216</v>
      </c>
      <c r="H269" s="11">
        <v>3</v>
      </c>
      <c r="I269" s="11">
        <v>0</v>
      </c>
      <c r="J269" s="11">
        <f t="shared" si="222"/>
        <v>0</v>
      </c>
      <c r="K269" s="11">
        <f t="shared" si="223"/>
        <v>0</v>
      </c>
      <c r="L269" s="11">
        <f t="shared" si="224"/>
        <v>0</v>
      </c>
      <c r="M269" s="52" t="s">
        <v>575</v>
      </c>
      <c r="Z269" s="11">
        <f t="shared" si="225"/>
        <v>0</v>
      </c>
      <c r="AB269" s="11">
        <f t="shared" si="226"/>
        <v>0</v>
      </c>
      <c r="AC269" s="11">
        <f t="shared" si="227"/>
        <v>0</v>
      </c>
      <c r="AD269" s="11">
        <f t="shared" si="228"/>
        <v>0</v>
      </c>
      <c r="AE269" s="11">
        <f t="shared" si="229"/>
        <v>0</v>
      </c>
      <c r="AF269" s="11">
        <f t="shared" si="230"/>
        <v>0</v>
      </c>
      <c r="AG269" s="11">
        <f t="shared" si="231"/>
        <v>0</v>
      </c>
      <c r="AH269" s="11">
        <f t="shared" si="232"/>
        <v>0</v>
      </c>
      <c r="AI269" s="40" t="s">
        <v>586</v>
      </c>
      <c r="AJ269" s="11">
        <f t="shared" si="233"/>
        <v>0</v>
      </c>
      <c r="AK269" s="11">
        <f t="shared" si="234"/>
        <v>0</v>
      </c>
      <c r="AL269" s="11">
        <f t="shared" si="235"/>
        <v>0</v>
      </c>
      <c r="AN269" s="11">
        <v>21</v>
      </c>
      <c r="AO269" s="11">
        <f>I269*1</f>
        <v>0</v>
      </c>
      <c r="AP269" s="11">
        <f>I269*(1-1)</f>
        <v>0</v>
      </c>
      <c r="AQ269" s="12" t="s">
        <v>845</v>
      </c>
      <c r="AV269" s="11">
        <f t="shared" si="236"/>
        <v>0</v>
      </c>
      <c r="AW269" s="11">
        <f t="shared" si="237"/>
        <v>0</v>
      </c>
      <c r="AX269" s="11">
        <f t="shared" si="238"/>
        <v>0</v>
      </c>
      <c r="AY269" s="12" t="s">
        <v>89</v>
      </c>
      <c r="AZ269" s="12" t="s">
        <v>459</v>
      </c>
      <c r="BA269" s="40" t="s">
        <v>647</v>
      </c>
      <c r="BC269" s="11">
        <f t="shared" si="239"/>
        <v>0</v>
      </c>
      <c r="BD269" s="11">
        <f t="shared" si="240"/>
        <v>0</v>
      </c>
      <c r="BE269" s="11">
        <v>0</v>
      </c>
      <c r="BF269" s="11">
        <f>277</f>
        <v>277</v>
      </c>
      <c r="BH269" s="11">
        <f t="shared" si="241"/>
        <v>0</v>
      </c>
      <c r="BI269" s="11">
        <f t="shared" si="242"/>
        <v>0</v>
      </c>
      <c r="BJ269" s="11">
        <f t="shared" si="243"/>
        <v>0</v>
      </c>
      <c r="BK269" s="11"/>
      <c r="BL269" s="11">
        <v>766</v>
      </c>
    </row>
    <row r="270" spans="1:64" ht="15" customHeight="1">
      <c r="A270" s="9" t="s">
        <v>4</v>
      </c>
      <c r="B270" s="10" t="s">
        <v>536</v>
      </c>
      <c r="C270" s="366" t="s">
        <v>827</v>
      </c>
      <c r="D270" s="366"/>
      <c r="E270" s="366"/>
      <c r="F270" s="366"/>
      <c r="G270" s="10" t="s">
        <v>216</v>
      </c>
      <c r="H270" s="11">
        <v>3</v>
      </c>
      <c r="I270" s="11">
        <v>0</v>
      </c>
      <c r="J270" s="11">
        <f t="shared" si="222"/>
        <v>0</v>
      </c>
      <c r="K270" s="11">
        <f t="shared" si="223"/>
        <v>0</v>
      </c>
      <c r="L270" s="11">
        <f t="shared" si="224"/>
        <v>0</v>
      </c>
      <c r="M270" s="52" t="s">
        <v>575</v>
      </c>
      <c r="Z270" s="11">
        <f t="shared" si="225"/>
        <v>0</v>
      </c>
      <c r="AB270" s="11">
        <f t="shared" si="226"/>
        <v>0</v>
      </c>
      <c r="AC270" s="11">
        <f t="shared" si="227"/>
        <v>0</v>
      </c>
      <c r="AD270" s="11">
        <f t="shared" si="228"/>
        <v>0</v>
      </c>
      <c r="AE270" s="11">
        <f t="shared" si="229"/>
        <v>0</v>
      </c>
      <c r="AF270" s="11">
        <f t="shared" si="230"/>
        <v>0</v>
      </c>
      <c r="AG270" s="11">
        <f t="shared" si="231"/>
        <v>0</v>
      </c>
      <c r="AH270" s="11">
        <f t="shared" si="232"/>
        <v>0</v>
      </c>
      <c r="AI270" s="40" t="s">
        <v>586</v>
      </c>
      <c r="AJ270" s="11">
        <f t="shared" si="233"/>
        <v>0</v>
      </c>
      <c r="AK270" s="11">
        <f t="shared" si="234"/>
        <v>0</v>
      </c>
      <c r="AL270" s="11">
        <f t="shared" si="235"/>
        <v>0</v>
      </c>
      <c r="AN270" s="11">
        <v>21</v>
      </c>
      <c r="AO270" s="11">
        <f>I270*0.0388191881918819</f>
        <v>0</v>
      </c>
      <c r="AP270" s="11">
        <f>I270*(1-0.0388191881918819)</f>
        <v>0</v>
      </c>
      <c r="AQ270" s="12" t="s">
        <v>845</v>
      </c>
      <c r="AV270" s="11">
        <f t="shared" si="236"/>
        <v>0</v>
      </c>
      <c r="AW270" s="11">
        <f t="shared" si="237"/>
        <v>0</v>
      </c>
      <c r="AX270" s="11">
        <f t="shared" si="238"/>
        <v>0</v>
      </c>
      <c r="AY270" s="12" t="s">
        <v>89</v>
      </c>
      <c r="AZ270" s="12" t="s">
        <v>459</v>
      </c>
      <c r="BA270" s="40" t="s">
        <v>647</v>
      </c>
      <c r="BC270" s="11">
        <f t="shared" si="239"/>
        <v>0</v>
      </c>
      <c r="BD270" s="11">
        <f t="shared" si="240"/>
        <v>0</v>
      </c>
      <c r="BE270" s="11">
        <v>0</v>
      </c>
      <c r="BF270" s="11">
        <f>278</f>
        <v>278</v>
      </c>
      <c r="BH270" s="11">
        <f t="shared" si="241"/>
        <v>0</v>
      </c>
      <c r="BI270" s="11">
        <f t="shared" si="242"/>
        <v>0</v>
      </c>
      <c r="BJ270" s="11">
        <f t="shared" si="243"/>
        <v>0</v>
      </c>
      <c r="BK270" s="11"/>
      <c r="BL270" s="11">
        <v>766</v>
      </c>
    </row>
    <row r="271" spans="1:64" ht="15" customHeight="1">
      <c r="A271" s="9" t="s">
        <v>353</v>
      </c>
      <c r="B271" s="10" t="s">
        <v>431</v>
      </c>
      <c r="C271" s="366" t="s">
        <v>83</v>
      </c>
      <c r="D271" s="366"/>
      <c r="E271" s="366"/>
      <c r="F271" s="366"/>
      <c r="G271" s="10" t="s">
        <v>216</v>
      </c>
      <c r="H271" s="11">
        <v>2</v>
      </c>
      <c r="I271" s="11">
        <v>0</v>
      </c>
      <c r="J271" s="11">
        <f t="shared" si="222"/>
        <v>0</v>
      </c>
      <c r="K271" s="11">
        <f t="shared" si="223"/>
        <v>0</v>
      </c>
      <c r="L271" s="11">
        <f t="shared" si="224"/>
        <v>0</v>
      </c>
      <c r="M271" s="52" t="s">
        <v>575</v>
      </c>
      <c r="Z271" s="11">
        <f t="shared" si="225"/>
        <v>0</v>
      </c>
      <c r="AB271" s="11">
        <f t="shared" si="226"/>
        <v>0</v>
      </c>
      <c r="AC271" s="11">
        <f t="shared" si="227"/>
        <v>0</v>
      </c>
      <c r="AD271" s="11">
        <f t="shared" si="228"/>
        <v>0</v>
      </c>
      <c r="AE271" s="11">
        <f t="shared" si="229"/>
        <v>0</v>
      </c>
      <c r="AF271" s="11">
        <f t="shared" si="230"/>
        <v>0</v>
      </c>
      <c r="AG271" s="11">
        <f t="shared" si="231"/>
        <v>0</v>
      </c>
      <c r="AH271" s="11">
        <f t="shared" si="232"/>
        <v>0</v>
      </c>
      <c r="AI271" s="40" t="s">
        <v>586</v>
      </c>
      <c r="AJ271" s="11">
        <f t="shared" si="233"/>
        <v>0</v>
      </c>
      <c r="AK271" s="11">
        <f t="shared" si="234"/>
        <v>0</v>
      </c>
      <c r="AL271" s="11">
        <f t="shared" si="235"/>
        <v>0</v>
      </c>
      <c r="AN271" s="11">
        <v>21</v>
      </c>
      <c r="AO271" s="11">
        <f>I271*1</f>
        <v>0</v>
      </c>
      <c r="AP271" s="11">
        <f>I271*(1-1)</f>
        <v>0</v>
      </c>
      <c r="AQ271" s="12" t="s">
        <v>845</v>
      </c>
      <c r="AV271" s="11">
        <f t="shared" si="236"/>
        <v>0</v>
      </c>
      <c r="AW271" s="11">
        <f t="shared" si="237"/>
        <v>0</v>
      </c>
      <c r="AX271" s="11">
        <f t="shared" si="238"/>
        <v>0</v>
      </c>
      <c r="AY271" s="12" t="s">
        <v>89</v>
      </c>
      <c r="AZ271" s="12" t="s">
        <v>459</v>
      </c>
      <c r="BA271" s="40" t="s">
        <v>647</v>
      </c>
      <c r="BC271" s="11">
        <f t="shared" si="239"/>
        <v>0</v>
      </c>
      <c r="BD271" s="11">
        <f t="shared" si="240"/>
        <v>0</v>
      </c>
      <c r="BE271" s="11">
        <v>0</v>
      </c>
      <c r="BF271" s="11">
        <f>279</f>
        <v>279</v>
      </c>
      <c r="BH271" s="11">
        <f t="shared" si="241"/>
        <v>0</v>
      </c>
      <c r="BI271" s="11">
        <f t="shared" si="242"/>
        <v>0</v>
      </c>
      <c r="BJ271" s="11">
        <f t="shared" si="243"/>
        <v>0</v>
      </c>
      <c r="BK271" s="11"/>
      <c r="BL271" s="11">
        <v>766</v>
      </c>
    </row>
    <row r="272" spans="1:64" ht="15" customHeight="1">
      <c r="A272" s="9" t="s">
        <v>290</v>
      </c>
      <c r="B272" s="10" t="s">
        <v>272</v>
      </c>
      <c r="C272" s="366" t="s">
        <v>324</v>
      </c>
      <c r="D272" s="366"/>
      <c r="E272" s="366"/>
      <c r="F272" s="366"/>
      <c r="G272" s="10" t="s">
        <v>216</v>
      </c>
      <c r="H272" s="11">
        <v>1</v>
      </c>
      <c r="I272" s="11">
        <v>0</v>
      </c>
      <c r="J272" s="11">
        <f t="shared" si="222"/>
        <v>0</v>
      </c>
      <c r="K272" s="11">
        <f t="shared" si="223"/>
        <v>0</v>
      </c>
      <c r="L272" s="11">
        <f t="shared" si="224"/>
        <v>0</v>
      </c>
      <c r="M272" s="52" t="s">
        <v>575</v>
      </c>
      <c r="Z272" s="11">
        <f t="shared" si="225"/>
        <v>0</v>
      </c>
      <c r="AB272" s="11">
        <f t="shared" si="226"/>
        <v>0</v>
      </c>
      <c r="AC272" s="11">
        <f t="shared" si="227"/>
        <v>0</v>
      </c>
      <c r="AD272" s="11">
        <f t="shared" si="228"/>
        <v>0</v>
      </c>
      <c r="AE272" s="11">
        <f t="shared" si="229"/>
        <v>0</v>
      </c>
      <c r="AF272" s="11">
        <f t="shared" si="230"/>
        <v>0</v>
      </c>
      <c r="AG272" s="11">
        <f t="shared" si="231"/>
        <v>0</v>
      </c>
      <c r="AH272" s="11">
        <f t="shared" si="232"/>
        <v>0</v>
      </c>
      <c r="AI272" s="40" t="s">
        <v>586</v>
      </c>
      <c r="AJ272" s="11">
        <f t="shared" si="233"/>
        <v>0</v>
      </c>
      <c r="AK272" s="11">
        <f t="shared" si="234"/>
        <v>0</v>
      </c>
      <c r="AL272" s="11">
        <f t="shared" si="235"/>
        <v>0</v>
      </c>
      <c r="AN272" s="11">
        <v>21</v>
      </c>
      <c r="AO272" s="11">
        <f>I272*1</f>
        <v>0</v>
      </c>
      <c r="AP272" s="11">
        <f>I272*(1-1)</f>
        <v>0</v>
      </c>
      <c r="AQ272" s="12" t="s">
        <v>845</v>
      </c>
      <c r="AV272" s="11">
        <f t="shared" si="236"/>
        <v>0</v>
      </c>
      <c r="AW272" s="11">
        <f t="shared" si="237"/>
        <v>0</v>
      </c>
      <c r="AX272" s="11">
        <f t="shared" si="238"/>
        <v>0</v>
      </c>
      <c r="AY272" s="12" t="s">
        <v>89</v>
      </c>
      <c r="AZ272" s="12" t="s">
        <v>459</v>
      </c>
      <c r="BA272" s="40" t="s">
        <v>647</v>
      </c>
      <c r="BC272" s="11">
        <f t="shared" si="239"/>
        <v>0</v>
      </c>
      <c r="BD272" s="11">
        <f t="shared" si="240"/>
        <v>0</v>
      </c>
      <c r="BE272" s="11">
        <v>0</v>
      </c>
      <c r="BF272" s="11">
        <f>280</f>
        <v>280</v>
      </c>
      <c r="BH272" s="11">
        <f t="shared" si="241"/>
        <v>0</v>
      </c>
      <c r="BI272" s="11">
        <f t="shared" si="242"/>
        <v>0</v>
      </c>
      <c r="BJ272" s="11">
        <f t="shared" si="243"/>
        <v>0</v>
      </c>
      <c r="BK272" s="11"/>
      <c r="BL272" s="11">
        <v>766</v>
      </c>
    </row>
    <row r="273" spans="1:64" ht="15" customHeight="1">
      <c r="A273" s="9" t="s">
        <v>891</v>
      </c>
      <c r="B273" s="10" t="s">
        <v>820</v>
      </c>
      <c r="C273" s="366" t="s">
        <v>754</v>
      </c>
      <c r="D273" s="366"/>
      <c r="E273" s="366"/>
      <c r="F273" s="366"/>
      <c r="G273" s="10" t="s">
        <v>216</v>
      </c>
      <c r="H273" s="11">
        <v>3</v>
      </c>
      <c r="I273" s="11">
        <v>0</v>
      </c>
      <c r="J273" s="11">
        <f t="shared" si="222"/>
        <v>0</v>
      </c>
      <c r="K273" s="11">
        <f t="shared" si="223"/>
        <v>0</v>
      </c>
      <c r="L273" s="11">
        <f t="shared" si="224"/>
        <v>0</v>
      </c>
      <c r="M273" s="52" t="s">
        <v>575</v>
      </c>
      <c r="Z273" s="11">
        <f t="shared" si="225"/>
        <v>0</v>
      </c>
      <c r="AB273" s="11">
        <f t="shared" si="226"/>
        <v>0</v>
      </c>
      <c r="AC273" s="11">
        <f t="shared" si="227"/>
        <v>0</v>
      </c>
      <c r="AD273" s="11">
        <f t="shared" si="228"/>
        <v>0</v>
      </c>
      <c r="AE273" s="11">
        <f t="shared" si="229"/>
        <v>0</v>
      </c>
      <c r="AF273" s="11">
        <f t="shared" si="230"/>
        <v>0</v>
      </c>
      <c r="AG273" s="11">
        <f t="shared" si="231"/>
        <v>0</v>
      </c>
      <c r="AH273" s="11">
        <f t="shared" si="232"/>
        <v>0</v>
      </c>
      <c r="AI273" s="40" t="s">
        <v>586</v>
      </c>
      <c r="AJ273" s="11">
        <f t="shared" si="233"/>
        <v>0</v>
      </c>
      <c r="AK273" s="11">
        <f t="shared" si="234"/>
        <v>0</v>
      </c>
      <c r="AL273" s="11">
        <f t="shared" si="235"/>
        <v>0</v>
      </c>
      <c r="AN273" s="11">
        <v>21</v>
      </c>
      <c r="AO273" s="11">
        <f>I273*0</f>
        <v>0</v>
      </c>
      <c r="AP273" s="11">
        <f>I273*(1-0)</f>
        <v>0</v>
      </c>
      <c r="AQ273" s="12" t="s">
        <v>845</v>
      </c>
      <c r="AV273" s="11">
        <f t="shared" si="236"/>
        <v>0</v>
      </c>
      <c r="AW273" s="11">
        <f t="shared" si="237"/>
        <v>0</v>
      </c>
      <c r="AX273" s="11">
        <f t="shared" si="238"/>
        <v>0</v>
      </c>
      <c r="AY273" s="12" t="s">
        <v>89</v>
      </c>
      <c r="AZ273" s="12" t="s">
        <v>459</v>
      </c>
      <c r="BA273" s="40" t="s">
        <v>647</v>
      </c>
      <c r="BC273" s="11">
        <f t="shared" si="239"/>
        <v>0</v>
      </c>
      <c r="BD273" s="11">
        <f t="shared" si="240"/>
        <v>0</v>
      </c>
      <c r="BE273" s="11">
        <v>0</v>
      </c>
      <c r="BF273" s="11">
        <f>281</f>
        <v>281</v>
      </c>
      <c r="BH273" s="11">
        <f t="shared" si="241"/>
        <v>0</v>
      </c>
      <c r="BI273" s="11">
        <f t="shared" si="242"/>
        <v>0</v>
      </c>
      <c r="BJ273" s="11">
        <f t="shared" si="243"/>
        <v>0</v>
      </c>
      <c r="BK273" s="11"/>
      <c r="BL273" s="11">
        <v>766</v>
      </c>
    </row>
    <row r="274" spans="1:64" ht="15" customHeight="1">
      <c r="A274" s="9" t="s">
        <v>485</v>
      </c>
      <c r="B274" s="10" t="s">
        <v>736</v>
      </c>
      <c r="C274" s="366" t="s">
        <v>692</v>
      </c>
      <c r="D274" s="366"/>
      <c r="E274" s="366"/>
      <c r="F274" s="366"/>
      <c r="G274" s="10" t="s">
        <v>216</v>
      </c>
      <c r="H274" s="11">
        <v>1</v>
      </c>
      <c r="I274" s="11">
        <v>0</v>
      </c>
      <c r="J274" s="11">
        <f t="shared" si="222"/>
        <v>0</v>
      </c>
      <c r="K274" s="11">
        <f t="shared" si="223"/>
        <v>0</v>
      </c>
      <c r="L274" s="11">
        <f t="shared" si="224"/>
        <v>0</v>
      </c>
      <c r="M274" s="52" t="s">
        <v>575</v>
      </c>
      <c r="Z274" s="11">
        <f t="shared" si="225"/>
        <v>0</v>
      </c>
      <c r="AB274" s="11">
        <f t="shared" si="226"/>
        <v>0</v>
      </c>
      <c r="AC274" s="11">
        <f t="shared" si="227"/>
        <v>0</v>
      </c>
      <c r="AD274" s="11">
        <f t="shared" si="228"/>
        <v>0</v>
      </c>
      <c r="AE274" s="11">
        <f t="shared" si="229"/>
        <v>0</v>
      </c>
      <c r="AF274" s="11">
        <f t="shared" si="230"/>
        <v>0</v>
      </c>
      <c r="AG274" s="11">
        <f t="shared" si="231"/>
        <v>0</v>
      </c>
      <c r="AH274" s="11">
        <f t="shared" si="232"/>
        <v>0</v>
      </c>
      <c r="AI274" s="40" t="s">
        <v>586</v>
      </c>
      <c r="AJ274" s="11">
        <f t="shared" si="233"/>
        <v>0</v>
      </c>
      <c r="AK274" s="11">
        <f t="shared" si="234"/>
        <v>0</v>
      </c>
      <c r="AL274" s="11">
        <f t="shared" si="235"/>
        <v>0</v>
      </c>
      <c r="AN274" s="11">
        <v>21</v>
      </c>
      <c r="AO274" s="11">
        <f>I274*0.150990566037736</f>
        <v>0</v>
      </c>
      <c r="AP274" s="11">
        <f>I274*(1-0.150990566037736)</f>
        <v>0</v>
      </c>
      <c r="AQ274" s="12" t="s">
        <v>845</v>
      </c>
      <c r="AV274" s="11">
        <f t="shared" si="236"/>
        <v>0</v>
      </c>
      <c r="AW274" s="11">
        <f t="shared" si="237"/>
        <v>0</v>
      </c>
      <c r="AX274" s="11">
        <f t="shared" si="238"/>
        <v>0</v>
      </c>
      <c r="AY274" s="12" t="s">
        <v>89</v>
      </c>
      <c r="AZ274" s="12" t="s">
        <v>459</v>
      </c>
      <c r="BA274" s="40" t="s">
        <v>647</v>
      </c>
      <c r="BC274" s="11">
        <f t="shared" si="239"/>
        <v>0</v>
      </c>
      <c r="BD274" s="11">
        <f t="shared" si="240"/>
        <v>0</v>
      </c>
      <c r="BE274" s="11">
        <v>0</v>
      </c>
      <c r="BF274" s="11">
        <f>282</f>
        <v>282</v>
      </c>
      <c r="BH274" s="11">
        <f t="shared" si="241"/>
        <v>0</v>
      </c>
      <c r="BI274" s="11">
        <f t="shared" si="242"/>
        <v>0</v>
      </c>
      <c r="BJ274" s="11">
        <f t="shared" si="243"/>
        <v>0</v>
      </c>
      <c r="BK274" s="11"/>
      <c r="BL274" s="11">
        <v>766</v>
      </c>
    </row>
    <row r="275" spans="1:64" ht="15" customHeight="1">
      <c r="A275" s="9" t="s">
        <v>462</v>
      </c>
      <c r="B275" s="10" t="s">
        <v>358</v>
      </c>
      <c r="C275" s="366" t="s">
        <v>947</v>
      </c>
      <c r="D275" s="366"/>
      <c r="E275" s="366"/>
      <c r="F275" s="366"/>
      <c r="G275" s="10" t="s">
        <v>216</v>
      </c>
      <c r="H275" s="11">
        <v>1</v>
      </c>
      <c r="I275" s="11">
        <v>0</v>
      </c>
      <c r="J275" s="11">
        <f t="shared" si="222"/>
        <v>0</v>
      </c>
      <c r="K275" s="11">
        <f t="shared" si="223"/>
        <v>0</v>
      </c>
      <c r="L275" s="11">
        <f t="shared" si="224"/>
        <v>0</v>
      </c>
      <c r="M275" s="52" t="s">
        <v>575</v>
      </c>
      <c r="Z275" s="11">
        <f t="shared" si="225"/>
        <v>0</v>
      </c>
      <c r="AB275" s="11">
        <f t="shared" si="226"/>
        <v>0</v>
      </c>
      <c r="AC275" s="11">
        <f t="shared" si="227"/>
        <v>0</v>
      </c>
      <c r="AD275" s="11">
        <f t="shared" si="228"/>
        <v>0</v>
      </c>
      <c r="AE275" s="11">
        <f t="shared" si="229"/>
        <v>0</v>
      </c>
      <c r="AF275" s="11">
        <f t="shared" si="230"/>
        <v>0</v>
      </c>
      <c r="AG275" s="11">
        <f t="shared" si="231"/>
        <v>0</v>
      </c>
      <c r="AH275" s="11">
        <f t="shared" si="232"/>
        <v>0</v>
      </c>
      <c r="AI275" s="40" t="s">
        <v>586</v>
      </c>
      <c r="AJ275" s="11">
        <f t="shared" si="233"/>
        <v>0</v>
      </c>
      <c r="AK275" s="11">
        <f t="shared" si="234"/>
        <v>0</v>
      </c>
      <c r="AL275" s="11">
        <f t="shared" si="235"/>
        <v>0</v>
      </c>
      <c r="AN275" s="11">
        <v>21</v>
      </c>
      <c r="AO275" s="11">
        <f>I275*1</f>
        <v>0</v>
      </c>
      <c r="AP275" s="11">
        <f>I275*(1-1)</f>
        <v>0</v>
      </c>
      <c r="AQ275" s="12" t="s">
        <v>845</v>
      </c>
      <c r="AV275" s="11">
        <f t="shared" si="236"/>
        <v>0</v>
      </c>
      <c r="AW275" s="11">
        <f t="shared" si="237"/>
        <v>0</v>
      </c>
      <c r="AX275" s="11">
        <f t="shared" si="238"/>
        <v>0</v>
      </c>
      <c r="AY275" s="12" t="s">
        <v>89</v>
      </c>
      <c r="AZ275" s="12" t="s">
        <v>459</v>
      </c>
      <c r="BA275" s="40" t="s">
        <v>647</v>
      </c>
      <c r="BC275" s="11">
        <f t="shared" si="239"/>
        <v>0</v>
      </c>
      <c r="BD275" s="11">
        <f t="shared" si="240"/>
        <v>0</v>
      </c>
      <c r="BE275" s="11">
        <v>0</v>
      </c>
      <c r="BF275" s="11">
        <f>283</f>
        <v>283</v>
      </c>
      <c r="BH275" s="11">
        <f t="shared" si="241"/>
        <v>0</v>
      </c>
      <c r="BI275" s="11">
        <f t="shared" si="242"/>
        <v>0</v>
      </c>
      <c r="BJ275" s="11">
        <f t="shared" si="243"/>
        <v>0</v>
      </c>
      <c r="BK275" s="11"/>
      <c r="BL275" s="11">
        <v>766</v>
      </c>
    </row>
    <row r="276" spans="1:64" ht="15" customHeight="1">
      <c r="A276" s="9" t="s">
        <v>716</v>
      </c>
      <c r="B276" s="10" t="s">
        <v>736</v>
      </c>
      <c r="C276" s="366" t="s">
        <v>249</v>
      </c>
      <c r="D276" s="366"/>
      <c r="E276" s="366"/>
      <c r="F276" s="366"/>
      <c r="G276" s="10" t="s">
        <v>216</v>
      </c>
      <c r="H276" s="11">
        <v>2</v>
      </c>
      <c r="I276" s="11">
        <v>0</v>
      </c>
      <c r="J276" s="11">
        <f t="shared" si="222"/>
        <v>0</v>
      </c>
      <c r="K276" s="11">
        <f t="shared" si="223"/>
        <v>0</v>
      </c>
      <c r="L276" s="11">
        <f t="shared" si="224"/>
        <v>0</v>
      </c>
      <c r="M276" s="52" t="s">
        <v>575</v>
      </c>
      <c r="Z276" s="11">
        <f t="shared" si="225"/>
        <v>0</v>
      </c>
      <c r="AB276" s="11">
        <f t="shared" si="226"/>
        <v>0</v>
      </c>
      <c r="AC276" s="11">
        <f t="shared" si="227"/>
        <v>0</v>
      </c>
      <c r="AD276" s="11">
        <f t="shared" si="228"/>
        <v>0</v>
      </c>
      <c r="AE276" s="11">
        <f t="shared" si="229"/>
        <v>0</v>
      </c>
      <c r="AF276" s="11">
        <f t="shared" si="230"/>
        <v>0</v>
      </c>
      <c r="AG276" s="11">
        <f t="shared" si="231"/>
        <v>0</v>
      </c>
      <c r="AH276" s="11">
        <f t="shared" si="232"/>
        <v>0</v>
      </c>
      <c r="AI276" s="40" t="s">
        <v>586</v>
      </c>
      <c r="AJ276" s="11">
        <f t="shared" si="233"/>
        <v>0</v>
      </c>
      <c r="AK276" s="11">
        <f t="shared" si="234"/>
        <v>0</v>
      </c>
      <c r="AL276" s="11">
        <f t="shared" si="235"/>
        <v>0</v>
      </c>
      <c r="AN276" s="11">
        <v>21</v>
      </c>
      <c r="AO276" s="11">
        <f>I276*0.150990566037736</f>
        <v>0</v>
      </c>
      <c r="AP276" s="11">
        <f>I276*(1-0.150990566037736)</f>
        <v>0</v>
      </c>
      <c r="AQ276" s="12" t="s">
        <v>845</v>
      </c>
      <c r="AV276" s="11">
        <f t="shared" si="236"/>
        <v>0</v>
      </c>
      <c r="AW276" s="11">
        <f t="shared" si="237"/>
        <v>0</v>
      </c>
      <c r="AX276" s="11">
        <f t="shared" si="238"/>
        <v>0</v>
      </c>
      <c r="AY276" s="12" t="s">
        <v>89</v>
      </c>
      <c r="AZ276" s="12" t="s">
        <v>459</v>
      </c>
      <c r="BA276" s="40" t="s">
        <v>647</v>
      </c>
      <c r="BC276" s="11">
        <f t="shared" si="239"/>
        <v>0</v>
      </c>
      <c r="BD276" s="11">
        <f t="shared" si="240"/>
        <v>0</v>
      </c>
      <c r="BE276" s="11">
        <v>0</v>
      </c>
      <c r="BF276" s="11">
        <f>284</f>
        <v>284</v>
      </c>
      <c r="BH276" s="11">
        <f t="shared" si="241"/>
        <v>0</v>
      </c>
      <c r="BI276" s="11">
        <f t="shared" si="242"/>
        <v>0</v>
      </c>
      <c r="BJ276" s="11">
        <f t="shared" si="243"/>
        <v>0</v>
      </c>
      <c r="BK276" s="11"/>
      <c r="BL276" s="11">
        <v>766</v>
      </c>
    </row>
    <row r="277" spans="1:64" ht="15" customHeight="1">
      <c r="A277" s="9" t="s">
        <v>782</v>
      </c>
      <c r="B277" s="10" t="s">
        <v>237</v>
      </c>
      <c r="C277" s="366" t="s">
        <v>58</v>
      </c>
      <c r="D277" s="366"/>
      <c r="E277" s="366"/>
      <c r="F277" s="366"/>
      <c r="G277" s="10" t="s">
        <v>216</v>
      </c>
      <c r="H277" s="11">
        <v>1</v>
      </c>
      <c r="I277" s="11">
        <v>0</v>
      </c>
      <c r="J277" s="11">
        <f t="shared" si="222"/>
        <v>0</v>
      </c>
      <c r="K277" s="11">
        <f t="shared" si="223"/>
        <v>0</v>
      </c>
      <c r="L277" s="11">
        <f t="shared" si="224"/>
        <v>0</v>
      </c>
      <c r="M277" s="52" t="s">
        <v>575</v>
      </c>
      <c r="Z277" s="11">
        <f t="shared" si="225"/>
        <v>0</v>
      </c>
      <c r="AB277" s="11">
        <f t="shared" si="226"/>
        <v>0</v>
      </c>
      <c r="AC277" s="11">
        <f t="shared" si="227"/>
        <v>0</v>
      </c>
      <c r="AD277" s="11">
        <f t="shared" si="228"/>
        <v>0</v>
      </c>
      <c r="AE277" s="11">
        <f t="shared" si="229"/>
        <v>0</v>
      </c>
      <c r="AF277" s="11">
        <f t="shared" si="230"/>
        <v>0</v>
      </c>
      <c r="AG277" s="11">
        <f t="shared" si="231"/>
        <v>0</v>
      </c>
      <c r="AH277" s="11">
        <f t="shared" si="232"/>
        <v>0</v>
      </c>
      <c r="AI277" s="40" t="s">
        <v>586</v>
      </c>
      <c r="AJ277" s="11">
        <f t="shared" si="233"/>
        <v>0</v>
      </c>
      <c r="AK277" s="11">
        <f t="shared" si="234"/>
        <v>0</v>
      </c>
      <c r="AL277" s="11">
        <f t="shared" si="235"/>
        <v>0</v>
      </c>
      <c r="AN277" s="11">
        <v>21</v>
      </c>
      <c r="AO277" s="11">
        <f>I277*1</f>
        <v>0</v>
      </c>
      <c r="AP277" s="11">
        <f>I277*(1-1)</f>
        <v>0</v>
      </c>
      <c r="AQ277" s="12" t="s">
        <v>845</v>
      </c>
      <c r="AV277" s="11">
        <f t="shared" si="236"/>
        <v>0</v>
      </c>
      <c r="AW277" s="11">
        <f t="shared" si="237"/>
        <v>0</v>
      </c>
      <c r="AX277" s="11">
        <f t="shared" si="238"/>
        <v>0</v>
      </c>
      <c r="AY277" s="12" t="s">
        <v>89</v>
      </c>
      <c r="AZ277" s="12" t="s">
        <v>459</v>
      </c>
      <c r="BA277" s="40" t="s">
        <v>647</v>
      </c>
      <c r="BC277" s="11">
        <f t="shared" si="239"/>
        <v>0</v>
      </c>
      <c r="BD277" s="11">
        <f t="shared" si="240"/>
        <v>0</v>
      </c>
      <c r="BE277" s="11">
        <v>0</v>
      </c>
      <c r="BF277" s="11">
        <f>285</f>
        <v>285</v>
      </c>
      <c r="BH277" s="11">
        <f t="shared" si="241"/>
        <v>0</v>
      </c>
      <c r="BI277" s="11">
        <f t="shared" si="242"/>
        <v>0</v>
      </c>
      <c r="BJ277" s="11">
        <f t="shared" si="243"/>
        <v>0</v>
      </c>
      <c r="BK277" s="11"/>
      <c r="BL277" s="11">
        <v>766</v>
      </c>
    </row>
    <row r="278" spans="1:64" ht="15" customHeight="1">
      <c r="A278" s="9" t="s">
        <v>844</v>
      </c>
      <c r="B278" s="10" t="s">
        <v>237</v>
      </c>
      <c r="C278" s="366" t="s">
        <v>371</v>
      </c>
      <c r="D278" s="366"/>
      <c r="E278" s="366"/>
      <c r="F278" s="366"/>
      <c r="G278" s="10" t="s">
        <v>216</v>
      </c>
      <c r="H278" s="11">
        <v>1</v>
      </c>
      <c r="I278" s="11">
        <v>0</v>
      </c>
      <c r="J278" s="11">
        <f t="shared" si="222"/>
        <v>0</v>
      </c>
      <c r="K278" s="11">
        <f t="shared" si="223"/>
        <v>0</v>
      </c>
      <c r="L278" s="11">
        <f t="shared" si="224"/>
        <v>0</v>
      </c>
      <c r="M278" s="52" t="s">
        <v>575</v>
      </c>
      <c r="Z278" s="11">
        <f t="shared" si="225"/>
        <v>0</v>
      </c>
      <c r="AB278" s="11">
        <f t="shared" si="226"/>
        <v>0</v>
      </c>
      <c r="AC278" s="11">
        <f t="shared" si="227"/>
        <v>0</v>
      </c>
      <c r="AD278" s="11">
        <f t="shared" si="228"/>
        <v>0</v>
      </c>
      <c r="AE278" s="11">
        <f t="shared" si="229"/>
        <v>0</v>
      </c>
      <c r="AF278" s="11">
        <f t="shared" si="230"/>
        <v>0</v>
      </c>
      <c r="AG278" s="11">
        <f t="shared" si="231"/>
        <v>0</v>
      </c>
      <c r="AH278" s="11">
        <f t="shared" si="232"/>
        <v>0</v>
      </c>
      <c r="AI278" s="40" t="s">
        <v>586</v>
      </c>
      <c r="AJ278" s="11">
        <f t="shared" si="233"/>
        <v>0</v>
      </c>
      <c r="AK278" s="11">
        <f t="shared" si="234"/>
        <v>0</v>
      </c>
      <c r="AL278" s="11">
        <f t="shared" si="235"/>
        <v>0</v>
      </c>
      <c r="AN278" s="11">
        <v>21</v>
      </c>
      <c r="AO278" s="11">
        <f>I278*1</f>
        <v>0</v>
      </c>
      <c r="AP278" s="11">
        <f>I278*(1-1)</f>
        <v>0</v>
      </c>
      <c r="AQ278" s="12" t="s">
        <v>845</v>
      </c>
      <c r="AV278" s="11">
        <f t="shared" si="236"/>
        <v>0</v>
      </c>
      <c r="AW278" s="11">
        <f t="shared" si="237"/>
        <v>0</v>
      </c>
      <c r="AX278" s="11">
        <f t="shared" si="238"/>
        <v>0</v>
      </c>
      <c r="AY278" s="12" t="s">
        <v>89</v>
      </c>
      <c r="AZ278" s="12" t="s">
        <v>459</v>
      </c>
      <c r="BA278" s="40" t="s">
        <v>647</v>
      </c>
      <c r="BC278" s="11">
        <f t="shared" si="239"/>
        <v>0</v>
      </c>
      <c r="BD278" s="11">
        <f t="shared" si="240"/>
        <v>0</v>
      </c>
      <c r="BE278" s="11">
        <v>0</v>
      </c>
      <c r="BF278" s="11">
        <f>286</f>
        <v>286</v>
      </c>
      <c r="BH278" s="11">
        <f t="shared" si="241"/>
        <v>0</v>
      </c>
      <c r="BI278" s="11">
        <f t="shared" si="242"/>
        <v>0</v>
      </c>
      <c r="BJ278" s="11">
        <f t="shared" si="243"/>
        <v>0</v>
      </c>
      <c r="BK278" s="11"/>
      <c r="BL278" s="11">
        <v>766</v>
      </c>
    </row>
    <row r="279" spans="1:64" ht="15" customHeight="1">
      <c r="A279" s="9" t="s">
        <v>570</v>
      </c>
      <c r="B279" s="10" t="s">
        <v>717</v>
      </c>
      <c r="C279" s="366" t="s">
        <v>676</v>
      </c>
      <c r="D279" s="366"/>
      <c r="E279" s="366"/>
      <c r="F279" s="366"/>
      <c r="G279" s="10" t="s">
        <v>401</v>
      </c>
      <c r="H279" s="11">
        <v>0.311</v>
      </c>
      <c r="I279" s="11">
        <v>0</v>
      </c>
      <c r="J279" s="11">
        <f t="shared" si="222"/>
        <v>0</v>
      </c>
      <c r="K279" s="11">
        <f t="shared" si="223"/>
        <v>0</v>
      </c>
      <c r="L279" s="11">
        <f t="shared" si="224"/>
        <v>0</v>
      </c>
      <c r="M279" s="52" t="s">
        <v>575</v>
      </c>
      <c r="Z279" s="11">
        <f t="shared" si="225"/>
        <v>0</v>
      </c>
      <c r="AB279" s="11">
        <f t="shared" si="226"/>
        <v>0</v>
      </c>
      <c r="AC279" s="11">
        <f t="shared" si="227"/>
        <v>0</v>
      </c>
      <c r="AD279" s="11">
        <f t="shared" si="228"/>
        <v>0</v>
      </c>
      <c r="AE279" s="11">
        <f t="shared" si="229"/>
        <v>0</v>
      </c>
      <c r="AF279" s="11">
        <f t="shared" si="230"/>
        <v>0</v>
      </c>
      <c r="AG279" s="11">
        <f t="shared" si="231"/>
        <v>0</v>
      </c>
      <c r="AH279" s="11">
        <f t="shared" si="232"/>
        <v>0</v>
      </c>
      <c r="AI279" s="40" t="s">
        <v>586</v>
      </c>
      <c r="AJ279" s="11">
        <f t="shared" si="233"/>
        <v>0</v>
      </c>
      <c r="AK279" s="11">
        <f t="shared" si="234"/>
        <v>0</v>
      </c>
      <c r="AL279" s="11">
        <f t="shared" si="235"/>
        <v>0</v>
      </c>
      <c r="AN279" s="11">
        <v>21</v>
      </c>
      <c r="AO279" s="11">
        <f>I279*0</f>
        <v>0</v>
      </c>
      <c r="AP279" s="11">
        <f>I279*(1-0)</f>
        <v>0</v>
      </c>
      <c r="AQ279" s="12" t="s">
        <v>454</v>
      </c>
      <c r="AV279" s="11">
        <f t="shared" si="236"/>
        <v>0</v>
      </c>
      <c r="AW279" s="11">
        <f t="shared" si="237"/>
        <v>0</v>
      </c>
      <c r="AX279" s="11">
        <f t="shared" si="238"/>
        <v>0</v>
      </c>
      <c r="AY279" s="12" t="s">
        <v>89</v>
      </c>
      <c r="AZ279" s="12" t="s">
        <v>459</v>
      </c>
      <c r="BA279" s="40" t="s">
        <v>647</v>
      </c>
      <c r="BC279" s="11">
        <f t="shared" si="239"/>
        <v>0</v>
      </c>
      <c r="BD279" s="11">
        <f t="shared" si="240"/>
        <v>0</v>
      </c>
      <c r="BE279" s="11">
        <v>0</v>
      </c>
      <c r="BF279" s="11">
        <f>287</f>
        <v>287</v>
      </c>
      <c r="BH279" s="11">
        <f t="shared" si="241"/>
        <v>0</v>
      </c>
      <c r="BI279" s="11">
        <f t="shared" si="242"/>
        <v>0</v>
      </c>
      <c r="BJ279" s="11">
        <f t="shared" si="243"/>
        <v>0</v>
      </c>
      <c r="BK279" s="11"/>
      <c r="BL279" s="11">
        <v>766</v>
      </c>
    </row>
    <row r="280" spans="1:64" ht="15" customHeight="1">
      <c r="A280" s="48" t="s">
        <v>586</v>
      </c>
      <c r="B280" s="49" t="s">
        <v>395</v>
      </c>
      <c r="C280" s="392" t="s">
        <v>265</v>
      </c>
      <c r="D280" s="392"/>
      <c r="E280" s="392"/>
      <c r="F280" s="392"/>
      <c r="G280" s="50" t="s">
        <v>783</v>
      </c>
      <c r="H280" s="50" t="s">
        <v>783</v>
      </c>
      <c r="I280" s="50" t="s">
        <v>783</v>
      </c>
      <c r="J280" s="36">
        <f>SUM(J281:J288)</f>
        <v>0</v>
      </c>
      <c r="K280" s="36">
        <f>SUM(K281:K288)</f>
        <v>0</v>
      </c>
      <c r="L280" s="36">
        <f>SUM(L281:L288)</f>
        <v>0</v>
      </c>
      <c r="M280" s="51" t="s">
        <v>586</v>
      </c>
      <c r="AI280" s="40" t="s">
        <v>586</v>
      </c>
      <c r="AS280" s="36">
        <f>SUM(AJ281:AJ288)</f>
        <v>0</v>
      </c>
      <c r="AT280" s="36">
        <f>SUM(AK281:AK288)</f>
        <v>0</v>
      </c>
      <c r="AU280" s="36">
        <f>SUM(AL281:AL288)</f>
        <v>0</v>
      </c>
    </row>
    <row r="281" spans="1:64" ht="15" customHeight="1">
      <c r="A281" s="9" t="s">
        <v>756</v>
      </c>
      <c r="B281" s="10" t="s">
        <v>855</v>
      </c>
      <c r="C281" s="366" t="s">
        <v>217</v>
      </c>
      <c r="D281" s="366"/>
      <c r="E281" s="366"/>
      <c r="F281" s="366"/>
      <c r="G281" s="10" t="s">
        <v>700</v>
      </c>
      <c r="H281" s="11">
        <v>6.15</v>
      </c>
      <c r="I281" s="11">
        <v>0</v>
      </c>
      <c r="J281" s="11">
        <f>H281*AO281</f>
        <v>0</v>
      </c>
      <c r="K281" s="11">
        <f>H281*AP281</f>
        <v>0</v>
      </c>
      <c r="L281" s="11">
        <f>H281*I281</f>
        <v>0</v>
      </c>
      <c r="M281" s="52" t="s">
        <v>575</v>
      </c>
      <c r="Z281" s="11">
        <f>IF(AQ281="5",BJ281,0)</f>
        <v>0</v>
      </c>
      <c r="AB281" s="11">
        <f>IF(AQ281="1",BH281,0)</f>
        <v>0</v>
      </c>
      <c r="AC281" s="11">
        <f>IF(AQ281="1",BI281,0)</f>
        <v>0</v>
      </c>
      <c r="AD281" s="11">
        <f>IF(AQ281="7",BH281,0)</f>
        <v>0</v>
      </c>
      <c r="AE281" s="11">
        <f>IF(AQ281="7",BI281,0)</f>
        <v>0</v>
      </c>
      <c r="AF281" s="11">
        <f>IF(AQ281="2",BH281,0)</f>
        <v>0</v>
      </c>
      <c r="AG281" s="11">
        <f>IF(AQ281="2",BI281,0)</f>
        <v>0</v>
      </c>
      <c r="AH281" s="11">
        <f>IF(AQ281="0",BJ281,0)</f>
        <v>0</v>
      </c>
      <c r="AI281" s="40" t="s">
        <v>586</v>
      </c>
      <c r="AJ281" s="11">
        <f>IF(AN281=0,L281,0)</f>
        <v>0</v>
      </c>
      <c r="AK281" s="11">
        <f>IF(AN281=15,L281,0)</f>
        <v>0</v>
      </c>
      <c r="AL281" s="11">
        <f>IF(AN281=21,L281,0)</f>
        <v>0</v>
      </c>
      <c r="AN281" s="11">
        <v>21</v>
      </c>
      <c r="AO281" s="11">
        <f>I281*0.849036261485199</f>
        <v>0</v>
      </c>
      <c r="AP281" s="11">
        <f>I281*(1-0.849036261485199)</f>
        <v>0</v>
      </c>
      <c r="AQ281" s="12" t="s">
        <v>845</v>
      </c>
      <c r="AV281" s="11">
        <f>AW281+AX281</f>
        <v>0</v>
      </c>
      <c r="AW281" s="11">
        <f>H281*AO281</f>
        <v>0</v>
      </c>
      <c r="AX281" s="11">
        <f>H281*AP281</f>
        <v>0</v>
      </c>
      <c r="AY281" s="12" t="s">
        <v>244</v>
      </c>
      <c r="AZ281" s="12" t="s">
        <v>459</v>
      </c>
      <c r="BA281" s="40" t="s">
        <v>647</v>
      </c>
      <c r="BC281" s="11">
        <f>AW281+AX281</f>
        <v>0</v>
      </c>
      <c r="BD281" s="11">
        <f>I281/(100-BE281)*100</f>
        <v>0</v>
      </c>
      <c r="BE281" s="11">
        <v>0</v>
      </c>
      <c r="BF281" s="11">
        <f>289</f>
        <v>289</v>
      </c>
      <c r="BH281" s="11">
        <f>H281*AO281</f>
        <v>0</v>
      </c>
      <c r="BI281" s="11">
        <f>H281*AP281</f>
        <v>0</v>
      </c>
      <c r="BJ281" s="11">
        <f>H281*I281</f>
        <v>0</v>
      </c>
      <c r="BK281" s="11"/>
      <c r="BL281" s="11">
        <v>767</v>
      </c>
    </row>
    <row r="282" spans="1:64" ht="15" customHeight="1">
      <c r="A282" s="9" t="s">
        <v>11</v>
      </c>
      <c r="B282" s="10" t="s">
        <v>673</v>
      </c>
      <c r="C282" s="366" t="s">
        <v>946</v>
      </c>
      <c r="D282" s="366"/>
      <c r="E282" s="366"/>
      <c r="F282" s="366"/>
      <c r="G282" s="10" t="s">
        <v>648</v>
      </c>
      <c r="H282" s="11">
        <v>1</v>
      </c>
      <c r="I282" s="11">
        <v>0</v>
      </c>
      <c r="J282" s="11">
        <f>H282*AO282</f>
        <v>0</v>
      </c>
      <c r="K282" s="11">
        <f>H282*AP282</f>
        <v>0</v>
      </c>
      <c r="L282" s="11">
        <f>H282*I282</f>
        <v>0</v>
      </c>
      <c r="M282" s="52" t="s">
        <v>586</v>
      </c>
      <c r="Z282" s="11">
        <f>IF(AQ282="5",BJ282,0)</f>
        <v>0</v>
      </c>
      <c r="AB282" s="11">
        <f>IF(AQ282="1",BH282,0)</f>
        <v>0</v>
      </c>
      <c r="AC282" s="11">
        <f>IF(AQ282="1",BI282,0)</f>
        <v>0</v>
      </c>
      <c r="AD282" s="11">
        <f>IF(AQ282="7",BH282,0)</f>
        <v>0</v>
      </c>
      <c r="AE282" s="11">
        <f>IF(AQ282="7",BI282,0)</f>
        <v>0</v>
      </c>
      <c r="AF282" s="11">
        <f>IF(AQ282="2",BH282,0)</f>
        <v>0</v>
      </c>
      <c r="AG282" s="11">
        <f>IF(AQ282="2",BI282,0)</f>
        <v>0</v>
      </c>
      <c r="AH282" s="11">
        <f>IF(AQ282="0",BJ282,0)</f>
        <v>0</v>
      </c>
      <c r="AI282" s="40" t="s">
        <v>586</v>
      </c>
      <c r="AJ282" s="11">
        <f>IF(AN282=0,L282,0)</f>
        <v>0</v>
      </c>
      <c r="AK282" s="11">
        <f>IF(AN282=15,L282,0)</f>
        <v>0</v>
      </c>
      <c r="AL282" s="11">
        <f>IF(AN282=21,L282,0)</f>
        <v>0</v>
      </c>
      <c r="AN282" s="11">
        <v>21</v>
      </c>
      <c r="AO282" s="11">
        <f>I282*0.819148289897333</f>
        <v>0</v>
      </c>
      <c r="AP282" s="11">
        <f>I282*(1-0.819148289897333)</f>
        <v>0</v>
      </c>
      <c r="AQ282" s="12" t="s">
        <v>845</v>
      </c>
      <c r="AV282" s="11">
        <f>AW282+AX282</f>
        <v>0</v>
      </c>
      <c r="AW282" s="11">
        <f>H282*AO282</f>
        <v>0</v>
      </c>
      <c r="AX282" s="11">
        <f>H282*AP282</f>
        <v>0</v>
      </c>
      <c r="AY282" s="12" t="s">
        <v>244</v>
      </c>
      <c r="AZ282" s="12" t="s">
        <v>459</v>
      </c>
      <c r="BA282" s="40" t="s">
        <v>647</v>
      </c>
      <c r="BC282" s="11">
        <f>AW282+AX282</f>
        <v>0</v>
      </c>
      <c r="BD282" s="11">
        <f>I282/(100-BE282)*100</f>
        <v>0</v>
      </c>
      <c r="BE282" s="11">
        <v>0</v>
      </c>
      <c r="BF282" s="11">
        <f>290</f>
        <v>290</v>
      </c>
      <c r="BH282" s="11">
        <f>H282*AO282</f>
        <v>0</v>
      </c>
      <c r="BI282" s="11">
        <f>H282*AP282</f>
        <v>0</v>
      </c>
      <c r="BJ282" s="11">
        <f>H282*I282</f>
        <v>0</v>
      </c>
      <c r="BK282" s="11"/>
      <c r="BL282" s="11">
        <v>767</v>
      </c>
    </row>
    <row r="283" spans="1:64" ht="13.5" customHeight="1">
      <c r="A283" s="53"/>
      <c r="B283" s="54" t="s">
        <v>440</v>
      </c>
      <c r="C283" s="394" t="s">
        <v>315</v>
      </c>
      <c r="D283" s="395"/>
      <c r="E283" s="395"/>
      <c r="F283" s="395"/>
      <c r="G283" s="395"/>
      <c r="H283" s="395"/>
      <c r="I283" s="395"/>
      <c r="J283" s="395"/>
      <c r="K283" s="395"/>
      <c r="L283" s="395"/>
      <c r="M283" s="396"/>
    </row>
    <row r="284" spans="1:64" ht="15" customHeight="1">
      <c r="A284" s="9" t="s">
        <v>896</v>
      </c>
      <c r="B284" s="10" t="s">
        <v>135</v>
      </c>
      <c r="C284" s="366" t="s">
        <v>142</v>
      </c>
      <c r="D284" s="366"/>
      <c r="E284" s="366"/>
      <c r="F284" s="366"/>
      <c r="G284" s="10" t="s">
        <v>796</v>
      </c>
      <c r="H284" s="11">
        <v>92</v>
      </c>
      <c r="I284" s="11">
        <v>0</v>
      </c>
      <c r="J284" s="11">
        <f>H284*AO284</f>
        <v>0</v>
      </c>
      <c r="K284" s="11">
        <f>H284*AP284</f>
        <v>0</v>
      </c>
      <c r="L284" s="11">
        <f>H284*I284</f>
        <v>0</v>
      </c>
      <c r="M284" s="52" t="s">
        <v>575</v>
      </c>
      <c r="Z284" s="11">
        <f>IF(AQ284="5",BJ284,0)</f>
        <v>0</v>
      </c>
      <c r="AB284" s="11">
        <f>IF(AQ284="1",BH284,0)</f>
        <v>0</v>
      </c>
      <c r="AC284" s="11">
        <f>IF(AQ284="1",BI284,0)</f>
        <v>0</v>
      </c>
      <c r="AD284" s="11">
        <f>IF(AQ284="7",BH284,0)</f>
        <v>0</v>
      </c>
      <c r="AE284" s="11">
        <f>IF(AQ284="7",BI284,0)</f>
        <v>0</v>
      </c>
      <c r="AF284" s="11">
        <f>IF(AQ284="2",BH284,0)</f>
        <v>0</v>
      </c>
      <c r="AG284" s="11">
        <f>IF(AQ284="2",BI284,0)</f>
        <v>0</v>
      </c>
      <c r="AH284" s="11">
        <f>IF(AQ284="0",BJ284,0)</f>
        <v>0</v>
      </c>
      <c r="AI284" s="40" t="s">
        <v>586</v>
      </c>
      <c r="AJ284" s="11">
        <f>IF(AN284=0,L284,0)</f>
        <v>0</v>
      </c>
      <c r="AK284" s="11">
        <f>IF(AN284=15,L284,0)</f>
        <v>0</v>
      </c>
      <c r="AL284" s="11">
        <f>IF(AN284=21,L284,0)</f>
        <v>0</v>
      </c>
      <c r="AN284" s="11">
        <v>21</v>
      </c>
      <c r="AO284" s="11">
        <f>I284*0.572843278393121</f>
        <v>0</v>
      </c>
      <c r="AP284" s="11">
        <f>I284*(1-0.572843278393121)</f>
        <v>0</v>
      </c>
      <c r="AQ284" s="12" t="s">
        <v>845</v>
      </c>
      <c r="AV284" s="11">
        <f>AW284+AX284</f>
        <v>0</v>
      </c>
      <c r="AW284" s="11">
        <f>H284*AO284</f>
        <v>0</v>
      </c>
      <c r="AX284" s="11">
        <f>H284*AP284</f>
        <v>0</v>
      </c>
      <c r="AY284" s="12" t="s">
        <v>244</v>
      </c>
      <c r="AZ284" s="12" t="s">
        <v>459</v>
      </c>
      <c r="BA284" s="40" t="s">
        <v>647</v>
      </c>
      <c r="BC284" s="11">
        <f>AW284+AX284</f>
        <v>0</v>
      </c>
      <c r="BD284" s="11">
        <f>I284/(100-BE284)*100</f>
        <v>0</v>
      </c>
      <c r="BE284" s="11">
        <v>0</v>
      </c>
      <c r="BF284" s="11">
        <f>292</f>
        <v>292</v>
      </c>
      <c r="BH284" s="11">
        <f>H284*AO284</f>
        <v>0</v>
      </c>
      <c r="BI284" s="11">
        <f>H284*AP284</f>
        <v>0</v>
      </c>
      <c r="BJ284" s="11">
        <f>H284*I284</f>
        <v>0</v>
      </c>
      <c r="BK284" s="11"/>
      <c r="BL284" s="11">
        <v>767</v>
      </c>
    </row>
    <row r="285" spans="1:64" ht="13.5" customHeight="1">
      <c r="A285" s="53"/>
      <c r="B285" s="54" t="s">
        <v>440</v>
      </c>
      <c r="C285" s="394" t="s">
        <v>706</v>
      </c>
      <c r="D285" s="395"/>
      <c r="E285" s="395"/>
      <c r="F285" s="395"/>
      <c r="G285" s="395"/>
      <c r="H285" s="395"/>
      <c r="I285" s="395"/>
      <c r="J285" s="395"/>
      <c r="K285" s="395"/>
      <c r="L285" s="395"/>
      <c r="M285" s="396"/>
    </row>
    <row r="286" spans="1:64" ht="15" customHeight="1">
      <c r="A286" s="9" t="s">
        <v>638</v>
      </c>
      <c r="B286" s="10" t="s">
        <v>460</v>
      </c>
      <c r="C286" s="366" t="s">
        <v>937</v>
      </c>
      <c r="D286" s="366"/>
      <c r="E286" s="366"/>
      <c r="F286" s="366"/>
      <c r="G286" s="10" t="s">
        <v>590</v>
      </c>
      <c r="H286" s="11">
        <v>1</v>
      </c>
      <c r="I286" s="11">
        <v>0</v>
      </c>
      <c r="J286" s="11">
        <f>H286*AO286</f>
        <v>0</v>
      </c>
      <c r="K286" s="11">
        <f>H286*AP286</f>
        <v>0</v>
      </c>
      <c r="L286" s="11">
        <f>H286*I286</f>
        <v>0</v>
      </c>
      <c r="M286" s="52" t="s">
        <v>586</v>
      </c>
      <c r="Z286" s="11">
        <f>IF(AQ286="5",BJ286,0)</f>
        <v>0</v>
      </c>
      <c r="AB286" s="11">
        <f>IF(AQ286="1",BH286,0)</f>
        <v>0</v>
      </c>
      <c r="AC286" s="11">
        <f>IF(AQ286="1",BI286,0)</f>
        <v>0</v>
      </c>
      <c r="AD286" s="11">
        <f>IF(AQ286="7",BH286,0)</f>
        <v>0</v>
      </c>
      <c r="AE286" s="11">
        <f>IF(AQ286="7",BI286,0)</f>
        <v>0</v>
      </c>
      <c r="AF286" s="11">
        <f>IF(AQ286="2",BH286,0)</f>
        <v>0</v>
      </c>
      <c r="AG286" s="11">
        <f>IF(AQ286="2",BI286,0)</f>
        <v>0</v>
      </c>
      <c r="AH286" s="11">
        <f>IF(AQ286="0",BJ286,0)</f>
        <v>0</v>
      </c>
      <c r="AI286" s="40" t="s">
        <v>586</v>
      </c>
      <c r="AJ286" s="11">
        <f>IF(AN286=0,L286,0)</f>
        <v>0</v>
      </c>
      <c r="AK286" s="11">
        <f>IF(AN286=15,L286,0)</f>
        <v>0</v>
      </c>
      <c r="AL286" s="11">
        <f>IF(AN286=21,L286,0)</f>
        <v>0</v>
      </c>
      <c r="AN286" s="11">
        <v>21</v>
      </c>
      <c r="AO286" s="11">
        <f>I286*0.75</f>
        <v>0</v>
      </c>
      <c r="AP286" s="11">
        <f>I286*(1-0.75)</f>
        <v>0</v>
      </c>
      <c r="AQ286" s="12" t="s">
        <v>845</v>
      </c>
      <c r="AV286" s="11">
        <f>AW286+AX286</f>
        <v>0</v>
      </c>
      <c r="AW286" s="11">
        <f>H286*AO286</f>
        <v>0</v>
      </c>
      <c r="AX286" s="11">
        <f>H286*AP286</f>
        <v>0</v>
      </c>
      <c r="AY286" s="12" t="s">
        <v>244</v>
      </c>
      <c r="AZ286" s="12" t="s">
        <v>459</v>
      </c>
      <c r="BA286" s="40" t="s">
        <v>647</v>
      </c>
      <c r="BC286" s="11">
        <f>AW286+AX286</f>
        <v>0</v>
      </c>
      <c r="BD286" s="11">
        <f>I286/(100-BE286)*100</f>
        <v>0</v>
      </c>
      <c r="BE286" s="11">
        <v>0</v>
      </c>
      <c r="BF286" s="11">
        <f>294</f>
        <v>294</v>
      </c>
      <c r="BH286" s="11">
        <f>H286*AO286</f>
        <v>0</v>
      </c>
      <c r="BI286" s="11">
        <f>H286*AP286</f>
        <v>0</v>
      </c>
      <c r="BJ286" s="11">
        <f>H286*I286</f>
        <v>0</v>
      </c>
      <c r="BK286" s="11"/>
      <c r="BL286" s="11">
        <v>767</v>
      </c>
    </row>
    <row r="287" spans="1:64" ht="13.5" customHeight="1">
      <c r="A287" s="53"/>
      <c r="B287" s="54" t="s">
        <v>440</v>
      </c>
      <c r="C287" s="394" t="s">
        <v>464</v>
      </c>
      <c r="D287" s="395"/>
      <c r="E287" s="395"/>
      <c r="F287" s="395"/>
      <c r="G287" s="395"/>
      <c r="H287" s="395"/>
      <c r="I287" s="395"/>
      <c r="J287" s="395"/>
      <c r="K287" s="395"/>
      <c r="L287" s="395"/>
      <c r="M287" s="396"/>
    </row>
    <row r="288" spans="1:64" ht="15" customHeight="1">
      <c r="A288" s="9" t="s">
        <v>498</v>
      </c>
      <c r="B288" s="10" t="s">
        <v>45</v>
      </c>
      <c r="C288" s="366" t="s">
        <v>552</v>
      </c>
      <c r="D288" s="366"/>
      <c r="E288" s="366"/>
      <c r="F288" s="366"/>
      <c r="G288" s="10" t="s">
        <v>401</v>
      </c>
      <c r="H288" s="11">
        <v>0.17599999999999999</v>
      </c>
      <c r="I288" s="11">
        <v>0</v>
      </c>
      <c r="J288" s="11">
        <f>H288*AO288</f>
        <v>0</v>
      </c>
      <c r="K288" s="11">
        <f>H288*AP288</f>
        <v>0</v>
      </c>
      <c r="L288" s="11">
        <f>H288*I288</f>
        <v>0</v>
      </c>
      <c r="M288" s="52" t="s">
        <v>575</v>
      </c>
      <c r="Z288" s="11">
        <f>IF(AQ288="5",BJ288,0)</f>
        <v>0</v>
      </c>
      <c r="AB288" s="11">
        <f>IF(AQ288="1",BH288,0)</f>
        <v>0</v>
      </c>
      <c r="AC288" s="11">
        <f>IF(AQ288="1",BI288,0)</f>
        <v>0</v>
      </c>
      <c r="AD288" s="11">
        <f>IF(AQ288="7",BH288,0)</f>
        <v>0</v>
      </c>
      <c r="AE288" s="11">
        <f>IF(AQ288="7",BI288,0)</f>
        <v>0</v>
      </c>
      <c r="AF288" s="11">
        <f>IF(AQ288="2",BH288,0)</f>
        <v>0</v>
      </c>
      <c r="AG288" s="11">
        <f>IF(AQ288="2",BI288,0)</f>
        <v>0</v>
      </c>
      <c r="AH288" s="11">
        <f>IF(AQ288="0",BJ288,0)</f>
        <v>0</v>
      </c>
      <c r="AI288" s="40" t="s">
        <v>586</v>
      </c>
      <c r="AJ288" s="11">
        <f>IF(AN288=0,L288,0)</f>
        <v>0</v>
      </c>
      <c r="AK288" s="11">
        <f>IF(AN288=15,L288,0)</f>
        <v>0</v>
      </c>
      <c r="AL288" s="11">
        <f>IF(AN288=21,L288,0)</f>
        <v>0</v>
      </c>
      <c r="AN288" s="11">
        <v>21</v>
      </c>
      <c r="AO288" s="11">
        <f>I288*0</f>
        <v>0</v>
      </c>
      <c r="AP288" s="11">
        <f>I288*(1-0)</f>
        <v>0</v>
      </c>
      <c r="AQ288" s="12" t="s">
        <v>454</v>
      </c>
      <c r="AV288" s="11">
        <f>AW288+AX288</f>
        <v>0</v>
      </c>
      <c r="AW288" s="11">
        <f>H288*AO288</f>
        <v>0</v>
      </c>
      <c r="AX288" s="11">
        <f>H288*AP288</f>
        <v>0</v>
      </c>
      <c r="AY288" s="12" t="s">
        <v>244</v>
      </c>
      <c r="AZ288" s="12" t="s">
        <v>459</v>
      </c>
      <c r="BA288" s="40" t="s">
        <v>647</v>
      </c>
      <c r="BC288" s="11">
        <f>AW288+AX288</f>
        <v>0</v>
      </c>
      <c r="BD288" s="11">
        <f>I288/(100-BE288)*100</f>
        <v>0</v>
      </c>
      <c r="BE288" s="11">
        <v>0</v>
      </c>
      <c r="BF288" s="11">
        <f>296</f>
        <v>296</v>
      </c>
      <c r="BH288" s="11">
        <f>H288*AO288</f>
        <v>0</v>
      </c>
      <c r="BI288" s="11">
        <f>H288*AP288</f>
        <v>0</v>
      </c>
      <c r="BJ288" s="11">
        <f>H288*I288</f>
        <v>0</v>
      </c>
      <c r="BK288" s="11"/>
      <c r="BL288" s="11">
        <v>767</v>
      </c>
    </row>
    <row r="289" spans="1:64" ht="15" customHeight="1">
      <c r="A289" s="48" t="s">
        <v>586</v>
      </c>
      <c r="B289" s="49" t="s">
        <v>918</v>
      </c>
      <c r="C289" s="392" t="s">
        <v>741</v>
      </c>
      <c r="D289" s="392"/>
      <c r="E289" s="392"/>
      <c r="F289" s="392"/>
      <c r="G289" s="50" t="s">
        <v>783</v>
      </c>
      <c r="H289" s="50" t="s">
        <v>783</v>
      </c>
      <c r="I289" s="50" t="s">
        <v>783</v>
      </c>
      <c r="J289" s="36">
        <f>SUM(J290:J306)</f>
        <v>0</v>
      </c>
      <c r="K289" s="36">
        <f>SUM(K290:K306)</f>
        <v>0</v>
      </c>
      <c r="L289" s="36">
        <f>SUM(L290:L306)</f>
        <v>0</v>
      </c>
      <c r="M289" s="51" t="s">
        <v>586</v>
      </c>
      <c r="AI289" s="40" t="s">
        <v>586</v>
      </c>
      <c r="AS289" s="36">
        <f>SUM(AJ290:AJ306)</f>
        <v>0</v>
      </c>
      <c r="AT289" s="36">
        <f>SUM(AK290:AK306)</f>
        <v>0</v>
      </c>
      <c r="AU289" s="36">
        <f>SUM(AL290:AL306)</f>
        <v>0</v>
      </c>
    </row>
    <row r="290" spans="1:64" ht="15" customHeight="1">
      <c r="A290" s="9" t="s">
        <v>867</v>
      </c>
      <c r="B290" s="10" t="s">
        <v>420</v>
      </c>
      <c r="C290" s="366" t="s">
        <v>21</v>
      </c>
      <c r="D290" s="366"/>
      <c r="E290" s="366"/>
      <c r="F290" s="366"/>
      <c r="G290" s="10" t="s">
        <v>830</v>
      </c>
      <c r="H290" s="11">
        <v>16.3</v>
      </c>
      <c r="I290" s="11">
        <v>0</v>
      </c>
      <c r="J290" s="11">
        <f>H290*AO290</f>
        <v>0</v>
      </c>
      <c r="K290" s="11">
        <f>H290*AP290</f>
        <v>0</v>
      </c>
      <c r="L290" s="11">
        <f>H290*I290</f>
        <v>0</v>
      </c>
      <c r="M290" s="52" t="s">
        <v>575</v>
      </c>
      <c r="Z290" s="11">
        <f>IF(AQ290="5",BJ290,0)</f>
        <v>0</v>
      </c>
      <c r="AB290" s="11">
        <f>IF(AQ290="1",BH290,0)</f>
        <v>0</v>
      </c>
      <c r="AC290" s="11">
        <f>IF(AQ290="1",BI290,0)</f>
        <v>0</v>
      </c>
      <c r="AD290" s="11">
        <f>IF(AQ290="7",BH290,0)</f>
        <v>0</v>
      </c>
      <c r="AE290" s="11">
        <f>IF(AQ290="7",BI290,0)</f>
        <v>0</v>
      </c>
      <c r="AF290" s="11">
        <f>IF(AQ290="2",BH290,0)</f>
        <v>0</v>
      </c>
      <c r="AG290" s="11">
        <f>IF(AQ290="2",BI290,0)</f>
        <v>0</v>
      </c>
      <c r="AH290" s="11">
        <f>IF(AQ290="0",BJ290,0)</f>
        <v>0</v>
      </c>
      <c r="AI290" s="40" t="s">
        <v>586</v>
      </c>
      <c r="AJ290" s="11">
        <f>IF(AN290=0,L290,0)</f>
        <v>0</v>
      </c>
      <c r="AK290" s="11">
        <f>IF(AN290=15,L290,0)</f>
        <v>0</v>
      </c>
      <c r="AL290" s="11">
        <f>IF(AN290=21,L290,0)</f>
        <v>0</v>
      </c>
      <c r="AN290" s="11">
        <v>21</v>
      </c>
      <c r="AO290" s="11">
        <f>I290*0.43643123130456</f>
        <v>0</v>
      </c>
      <c r="AP290" s="11">
        <f>I290*(1-0.43643123130456)</f>
        <v>0</v>
      </c>
      <c r="AQ290" s="12" t="s">
        <v>845</v>
      </c>
      <c r="AV290" s="11">
        <f>AW290+AX290</f>
        <v>0</v>
      </c>
      <c r="AW290" s="11">
        <f>H290*AO290</f>
        <v>0</v>
      </c>
      <c r="AX290" s="11">
        <f>H290*AP290</f>
        <v>0</v>
      </c>
      <c r="AY290" s="12" t="s">
        <v>865</v>
      </c>
      <c r="AZ290" s="12" t="s">
        <v>207</v>
      </c>
      <c r="BA290" s="40" t="s">
        <v>647</v>
      </c>
      <c r="BC290" s="11">
        <f>AW290+AX290</f>
        <v>0</v>
      </c>
      <c r="BD290" s="11">
        <f>I290/(100-BE290)*100</f>
        <v>0</v>
      </c>
      <c r="BE290" s="11">
        <v>0</v>
      </c>
      <c r="BF290" s="11">
        <f>298</f>
        <v>298</v>
      </c>
      <c r="BH290" s="11">
        <f>H290*AO290</f>
        <v>0</v>
      </c>
      <c r="BI290" s="11">
        <f>H290*AP290</f>
        <v>0</v>
      </c>
      <c r="BJ290" s="11">
        <f>H290*I290</f>
        <v>0</v>
      </c>
      <c r="BK290" s="11"/>
      <c r="BL290" s="11">
        <v>771</v>
      </c>
    </row>
    <row r="291" spans="1:64" ht="13.5" customHeight="1">
      <c r="A291" s="53"/>
      <c r="B291" s="54" t="s">
        <v>440</v>
      </c>
      <c r="C291" s="394" t="s">
        <v>402</v>
      </c>
      <c r="D291" s="395"/>
      <c r="E291" s="395"/>
      <c r="F291" s="395"/>
      <c r="G291" s="395"/>
      <c r="H291" s="395"/>
      <c r="I291" s="395"/>
      <c r="J291" s="395"/>
      <c r="K291" s="395"/>
      <c r="L291" s="395"/>
      <c r="M291" s="396"/>
    </row>
    <row r="292" spans="1:64" ht="15" customHeight="1">
      <c r="A292" s="9" t="s">
        <v>685</v>
      </c>
      <c r="B292" s="10" t="s">
        <v>91</v>
      </c>
      <c r="C292" s="366" t="s">
        <v>499</v>
      </c>
      <c r="D292" s="366"/>
      <c r="E292" s="366"/>
      <c r="F292" s="366"/>
      <c r="G292" s="10" t="s">
        <v>700</v>
      </c>
      <c r="H292" s="11">
        <v>15.8</v>
      </c>
      <c r="I292" s="11">
        <v>0</v>
      </c>
      <c r="J292" s="11">
        <f>H292*AO292</f>
        <v>0</v>
      </c>
      <c r="K292" s="11">
        <f>H292*AP292</f>
        <v>0</v>
      </c>
      <c r="L292" s="11">
        <f>H292*I292</f>
        <v>0</v>
      </c>
      <c r="M292" s="52" t="s">
        <v>575</v>
      </c>
      <c r="Z292" s="11">
        <f>IF(AQ292="5",BJ292,0)</f>
        <v>0</v>
      </c>
      <c r="AB292" s="11">
        <f>IF(AQ292="1",BH292,0)</f>
        <v>0</v>
      </c>
      <c r="AC292" s="11">
        <f>IF(AQ292="1",BI292,0)</f>
        <v>0</v>
      </c>
      <c r="AD292" s="11">
        <f>IF(AQ292="7",BH292,0)</f>
        <v>0</v>
      </c>
      <c r="AE292" s="11">
        <f>IF(AQ292="7",BI292,0)</f>
        <v>0</v>
      </c>
      <c r="AF292" s="11">
        <f>IF(AQ292="2",BH292,0)</f>
        <v>0</v>
      </c>
      <c r="AG292" s="11">
        <f>IF(AQ292="2",BI292,0)</f>
        <v>0</v>
      </c>
      <c r="AH292" s="11">
        <f>IF(AQ292="0",BJ292,0)</f>
        <v>0</v>
      </c>
      <c r="AI292" s="40" t="s">
        <v>586</v>
      </c>
      <c r="AJ292" s="11">
        <f>IF(AN292=0,L292,0)</f>
        <v>0</v>
      </c>
      <c r="AK292" s="11">
        <f>IF(AN292=15,L292,0)</f>
        <v>0</v>
      </c>
      <c r="AL292" s="11">
        <f>IF(AN292=21,L292,0)</f>
        <v>0</v>
      </c>
      <c r="AN292" s="11">
        <v>21</v>
      </c>
      <c r="AO292" s="11">
        <f>I292*0.0712258064516129</f>
        <v>0</v>
      </c>
      <c r="AP292" s="11">
        <f>I292*(1-0.0712258064516129)</f>
        <v>0</v>
      </c>
      <c r="AQ292" s="12" t="s">
        <v>845</v>
      </c>
      <c r="AV292" s="11">
        <f>AW292+AX292</f>
        <v>0</v>
      </c>
      <c r="AW292" s="11">
        <f>H292*AO292</f>
        <v>0</v>
      </c>
      <c r="AX292" s="11">
        <f>H292*AP292</f>
        <v>0</v>
      </c>
      <c r="AY292" s="12" t="s">
        <v>865</v>
      </c>
      <c r="AZ292" s="12" t="s">
        <v>207</v>
      </c>
      <c r="BA292" s="40" t="s">
        <v>647</v>
      </c>
      <c r="BC292" s="11">
        <f>AW292+AX292</f>
        <v>0</v>
      </c>
      <c r="BD292" s="11">
        <f>I292/(100-BE292)*100</f>
        <v>0</v>
      </c>
      <c r="BE292" s="11">
        <v>0</v>
      </c>
      <c r="BF292" s="11">
        <f>300</f>
        <v>300</v>
      </c>
      <c r="BH292" s="11">
        <f>H292*AO292</f>
        <v>0</v>
      </c>
      <c r="BI292" s="11">
        <f>H292*AP292</f>
        <v>0</v>
      </c>
      <c r="BJ292" s="11">
        <f>H292*I292</f>
        <v>0</v>
      </c>
      <c r="BK292" s="11"/>
      <c r="BL292" s="11">
        <v>771</v>
      </c>
    </row>
    <row r="293" spans="1:64" ht="15" customHeight="1">
      <c r="A293" s="9" t="s">
        <v>824</v>
      </c>
      <c r="B293" s="10" t="s">
        <v>241</v>
      </c>
      <c r="C293" s="366" t="s">
        <v>40</v>
      </c>
      <c r="D293" s="366"/>
      <c r="E293" s="366"/>
      <c r="F293" s="366"/>
      <c r="G293" s="10" t="s">
        <v>216</v>
      </c>
      <c r="H293" s="11">
        <v>80</v>
      </c>
      <c r="I293" s="11">
        <v>0</v>
      </c>
      <c r="J293" s="11">
        <f>H293*AO293</f>
        <v>0</v>
      </c>
      <c r="K293" s="11">
        <f>H293*AP293</f>
        <v>0</v>
      </c>
      <c r="L293" s="11">
        <f>H293*I293</f>
        <v>0</v>
      </c>
      <c r="M293" s="52" t="s">
        <v>575</v>
      </c>
      <c r="Z293" s="11">
        <f>IF(AQ293="5",BJ293,0)</f>
        <v>0</v>
      </c>
      <c r="AB293" s="11">
        <f>IF(AQ293="1",BH293,0)</f>
        <v>0</v>
      </c>
      <c r="AC293" s="11">
        <f>IF(AQ293="1",BI293,0)</f>
        <v>0</v>
      </c>
      <c r="AD293" s="11">
        <f>IF(AQ293="7",BH293,0)</f>
        <v>0</v>
      </c>
      <c r="AE293" s="11">
        <f>IF(AQ293="7",BI293,0)</f>
        <v>0</v>
      </c>
      <c r="AF293" s="11">
        <f>IF(AQ293="2",BH293,0)</f>
        <v>0</v>
      </c>
      <c r="AG293" s="11">
        <f>IF(AQ293="2",BI293,0)</f>
        <v>0</v>
      </c>
      <c r="AH293" s="11">
        <f>IF(AQ293="0",BJ293,0)</f>
        <v>0</v>
      </c>
      <c r="AI293" s="40" t="s">
        <v>586</v>
      </c>
      <c r="AJ293" s="11">
        <f>IF(AN293=0,L293,0)</f>
        <v>0</v>
      </c>
      <c r="AK293" s="11">
        <f>IF(AN293=15,L293,0)</f>
        <v>0</v>
      </c>
      <c r="AL293" s="11">
        <f>IF(AN293=21,L293,0)</f>
        <v>0</v>
      </c>
      <c r="AN293" s="11">
        <v>21</v>
      </c>
      <c r="AO293" s="11">
        <f>I293*1</f>
        <v>0</v>
      </c>
      <c r="AP293" s="11">
        <f>I293*(1-1)</f>
        <v>0</v>
      </c>
      <c r="AQ293" s="12" t="s">
        <v>845</v>
      </c>
      <c r="AV293" s="11">
        <f>AW293+AX293</f>
        <v>0</v>
      </c>
      <c r="AW293" s="11">
        <f>H293*AO293</f>
        <v>0</v>
      </c>
      <c r="AX293" s="11">
        <f>H293*AP293</f>
        <v>0</v>
      </c>
      <c r="AY293" s="12" t="s">
        <v>865</v>
      </c>
      <c r="AZ293" s="12" t="s">
        <v>207</v>
      </c>
      <c r="BA293" s="40" t="s">
        <v>647</v>
      </c>
      <c r="BC293" s="11">
        <f>AW293+AX293</f>
        <v>0</v>
      </c>
      <c r="BD293" s="11">
        <f>I293/(100-BE293)*100</f>
        <v>0</v>
      </c>
      <c r="BE293" s="11">
        <v>0</v>
      </c>
      <c r="BF293" s="11">
        <f>301</f>
        <v>301</v>
      </c>
      <c r="BH293" s="11">
        <f>H293*AO293</f>
        <v>0</v>
      </c>
      <c r="BI293" s="11">
        <f>H293*AP293</f>
        <v>0</v>
      </c>
      <c r="BJ293" s="11">
        <f>H293*I293</f>
        <v>0</v>
      </c>
      <c r="BK293" s="11"/>
      <c r="BL293" s="11">
        <v>771</v>
      </c>
    </row>
    <row r="294" spans="1:64" ht="15" customHeight="1">
      <c r="A294" s="9" t="s">
        <v>147</v>
      </c>
      <c r="B294" s="10" t="s">
        <v>720</v>
      </c>
      <c r="C294" s="366" t="s">
        <v>334</v>
      </c>
      <c r="D294" s="366"/>
      <c r="E294" s="366"/>
      <c r="F294" s="366"/>
      <c r="G294" s="10" t="s">
        <v>216</v>
      </c>
      <c r="H294" s="11">
        <v>4</v>
      </c>
      <c r="I294" s="11">
        <v>0</v>
      </c>
      <c r="J294" s="11">
        <f>H294*AO294</f>
        <v>0</v>
      </c>
      <c r="K294" s="11">
        <f>H294*AP294</f>
        <v>0</v>
      </c>
      <c r="L294" s="11">
        <f>H294*I294</f>
        <v>0</v>
      </c>
      <c r="M294" s="52" t="s">
        <v>575</v>
      </c>
      <c r="Z294" s="11">
        <f>IF(AQ294="5",BJ294,0)</f>
        <v>0</v>
      </c>
      <c r="AB294" s="11">
        <f>IF(AQ294="1",BH294,0)</f>
        <v>0</v>
      </c>
      <c r="AC294" s="11">
        <f>IF(AQ294="1",BI294,0)</f>
        <v>0</v>
      </c>
      <c r="AD294" s="11">
        <f>IF(AQ294="7",BH294,0)</f>
        <v>0</v>
      </c>
      <c r="AE294" s="11">
        <f>IF(AQ294="7",BI294,0)</f>
        <v>0</v>
      </c>
      <c r="AF294" s="11">
        <f>IF(AQ294="2",BH294,0)</f>
        <v>0</v>
      </c>
      <c r="AG294" s="11">
        <f>IF(AQ294="2",BI294,0)</f>
        <v>0</v>
      </c>
      <c r="AH294" s="11">
        <f>IF(AQ294="0",BJ294,0)</f>
        <v>0</v>
      </c>
      <c r="AI294" s="40" t="s">
        <v>586</v>
      </c>
      <c r="AJ294" s="11">
        <f>IF(AN294=0,L294,0)</f>
        <v>0</v>
      </c>
      <c r="AK294" s="11">
        <f>IF(AN294=15,L294,0)</f>
        <v>0</v>
      </c>
      <c r="AL294" s="11">
        <f>IF(AN294=21,L294,0)</f>
        <v>0</v>
      </c>
      <c r="AN294" s="11">
        <v>21</v>
      </c>
      <c r="AO294" s="11">
        <f>I294*1</f>
        <v>0</v>
      </c>
      <c r="AP294" s="11">
        <f>I294*(1-1)</f>
        <v>0</v>
      </c>
      <c r="AQ294" s="12" t="s">
        <v>845</v>
      </c>
      <c r="AV294" s="11">
        <f>AW294+AX294</f>
        <v>0</v>
      </c>
      <c r="AW294" s="11">
        <f>H294*AO294</f>
        <v>0</v>
      </c>
      <c r="AX294" s="11">
        <f>H294*AP294</f>
        <v>0</v>
      </c>
      <c r="AY294" s="12" t="s">
        <v>865</v>
      </c>
      <c r="AZ294" s="12" t="s">
        <v>207</v>
      </c>
      <c r="BA294" s="40" t="s">
        <v>647</v>
      </c>
      <c r="BC294" s="11">
        <f>AW294+AX294</f>
        <v>0</v>
      </c>
      <c r="BD294" s="11">
        <f>I294/(100-BE294)*100</f>
        <v>0</v>
      </c>
      <c r="BE294" s="11">
        <v>0</v>
      </c>
      <c r="BF294" s="11">
        <f>302</f>
        <v>302</v>
      </c>
      <c r="BH294" s="11">
        <f>H294*AO294</f>
        <v>0</v>
      </c>
      <c r="BI294" s="11">
        <f>H294*AP294</f>
        <v>0</v>
      </c>
      <c r="BJ294" s="11">
        <f>H294*I294</f>
        <v>0</v>
      </c>
      <c r="BK294" s="11"/>
      <c r="BL294" s="11">
        <v>771</v>
      </c>
    </row>
    <row r="295" spans="1:64" ht="15" customHeight="1">
      <c r="A295" s="9" t="s">
        <v>703</v>
      </c>
      <c r="B295" s="10" t="s">
        <v>852</v>
      </c>
      <c r="C295" s="366" t="s">
        <v>292</v>
      </c>
      <c r="D295" s="366"/>
      <c r="E295" s="366"/>
      <c r="F295" s="366"/>
      <c r="G295" s="10" t="s">
        <v>830</v>
      </c>
      <c r="H295" s="11">
        <v>28.8</v>
      </c>
      <c r="I295" s="11">
        <v>0</v>
      </c>
      <c r="J295" s="11">
        <f>H295*AO295</f>
        <v>0</v>
      </c>
      <c r="K295" s="11">
        <f>H295*AP295</f>
        <v>0</v>
      </c>
      <c r="L295" s="11">
        <f>H295*I295</f>
        <v>0</v>
      </c>
      <c r="M295" s="52" t="s">
        <v>575</v>
      </c>
      <c r="Z295" s="11">
        <f>IF(AQ295="5",BJ295,0)</f>
        <v>0</v>
      </c>
      <c r="AB295" s="11">
        <f>IF(AQ295="1",BH295,0)</f>
        <v>0</v>
      </c>
      <c r="AC295" s="11">
        <f>IF(AQ295="1",BI295,0)</f>
        <v>0</v>
      </c>
      <c r="AD295" s="11">
        <f>IF(AQ295="7",BH295,0)</f>
        <v>0</v>
      </c>
      <c r="AE295" s="11">
        <f>IF(AQ295="7",BI295,0)</f>
        <v>0</v>
      </c>
      <c r="AF295" s="11">
        <f>IF(AQ295="2",BH295,0)</f>
        <v>0</v>
      </c>
      <c r="AG295" s="11">
        <f>IF(AQ295="2",BI295,0)</f>
        <v>0</v>
      </c>
      <c r="AH295" s="11">
        <f>IF(AQ295="0",BJ295,0)</f>
        <v>0</v>
      </c>
      <c r="AI295" s="40" t="s">
        <v>586</v>
      </c>
      <c r="AJ295" s="11">
        <f>IF(AN295=0,L295,0)</f>
        <v>0</v>
      </c>
      <c r="AK295" s="11">
        <f>IF(AN295=15,L295,0)</f>
        <v>0</v>
      </c>
      <c r="AL295" s="11">
        <f>IF(AN295=21,L295,0)</f>
        <v>0</v>
      </c>
      <c r="AN295" s="11">
        <v>21</v>
      </c>
      <c r="AO295" s="11">
        <f>I295*0.228943560057887</f>
        <v>0</v>
      </c>
      <c r="AP295" s="11">
        <f>I295*(1-0.228943560057887)</f>
        <v>0</v>
      </c>
      <c r="AQ295" s="12" t="s">
        <v>845</v>
      </c>
      <c r="AV295" s="11">
        <f>AW295+AX295</f>
        <v>0</v>
      </c>
      <c r="AW295" s="11">
        <f>H295*AO295</f>
        <v>0</v>
      </c>
      <c r="AX295" s="11">
        <f>H295*AP295</f>
        <v>0</v>
      </c>
      <c r="AY295" s="12" t="s">
        <v>865</v>
      </c>
      <c r="AZ295" s="12" t="s">
        <v>207</v>
      </c>
      <c r="BA295" s="40" t="s">
        <v>647</v>
      </c>
      <c r="BC295" s="11">
        <f>AW295+AX295</f>
        <v>0</v>
      </c>
      <c r="BD295" s="11">
        <f>I295/(100-BE295)*100</f>
        <v>0</v>
      </c>
      <c r="BE295" s="11">
        <v>0</v>
      </c>
      <c r="BF295" s="11">
        <f>303</f>
        <v>303</v>
      </c>
      <c r="BH295" s="11">
        <f>H295*AO295</f>
        <v>0</v>
      </c>
      <c r="BI295" s="11">
        <f>H295*AP295</f>
        <v>0</v>
      </c>
      <c r="BJ295" s="11">
        <f>H295*I295</f>
        <v>0</v>
      </c>
      <c r="BK295" s="11"/>
      <c r="BL295" s="11">
        <v>771</v>
      </c>
    </row>
    <row r="296" spans="1:64" ht="13.5" customHeight="1">
      <c r="A296" s="53"/>
      <c r="B296" s="54" t="s">
        <v>440</v>
      </c>
      <c r="C296" s="394" t="s">
        <v>837</v>
      </c>
      <c r="D296" s="395"/>
      <c r="E296" s="395"/>
      <c r="F296" s="395"/>
      <c r="G296" s="395"/>
      <c r="H296" s="395"/>
      <c r="I296" s="395"/>
      <c r="J296" s="395"/>
      <c r="K296" s="395"/>
      <c r="L296" s="395"/>
      <c r="M296" s="396"/>
    </row>
    <row r="297" spans="1:64" ht="15" customHeight="1">
      <c r="A297" s="9" t="s">
        <v>940</v>
      </c>
      <c r="B297" s="10" t="s">
        <v>666</v>
      </c>
      <c r="C297" s="366" t="s">
        <v>276</v>
      </c>
      <c r="D297" s="366"/>
      <c r="E297" s="366"/>
      <c r="F297" s="366"/>
      <c r="G297" s="10" t="s">
        <v>830</v>
      </c>
      <c r="H297" s="11">
        <v>31.68</v>
      </c>
      <c r="I297" s="11">
        <v>0</v>
      </c>
      <c r="J297" s="11">
        <f>H297*AO297</f>
        <v>0</v>
      </c>
      <c r="K297" s="11">
        <f>H297*AP297</f>
        <v>0</v>
      </c>
      <c r="L297" s="11">
        <f>H297*I297</f>
        <v>0</v>
      </c>
      <c r="M297" s="52" t="s">
        <v>575</v>
      </c>
      <c r="Z297" s="11">
        <f>IF(AQ297="5",BJ297,0)</f>
        <v>0</v>
      </c>
      <c r="AB297" s="11">
        <f>IF(AQ297="1",BH297,0)</f>
        <v>0</v>
      </c>
      <c r="AC297" s="11">
        <f>IF(AQ297="1",BI297,0)</f>
        <v>0</v>
      </c>
      <c r="AD297" s="11">
        <f>IF(AQ297="7",BH297,0)</f>
        <v>0</v>
      </c>
      <c r="AE297" s="11">
        <f>IF(AQ297="7",BI297,0)</f>
        <v>0</v>
      </c>
      <c r="AF297" s="11">
        <f>IF(AQ297="2",BH297,0)</f>
        <v>0</v>
      </c>
      <c r="AG297" s="11">
        <f>IF(AQ297="2",BI297,0)</f>
        <v>0</v>
      </c>
      <c r="AH297" s="11">
        <f>IF(AQ297="0",BJ297,0)</f>
        <v>0</v>
      </c>
      <c r="AI297" s="40" t="s">
        <v>586</v>
      </c>
      <c r="AJ297" s="11">
        <f>IF(AN297=0,L297,0)</f>
        <v>0</v>
      </c>
      <c r="AK297" s="11">
        <f>IF(AN297=15,L297,0)</f>
        <v>0</v>
      </c>
      <c r="AL297" s="11">
        <f>IF(AN297=21,L297,0)</f>
        <v>0</v>
      </c>
      <c r="AN297" s="11">
        <v>21</v>
      </c>
      <c r="AO297" s="11">
        <f>I297*1</f>
        <v>0</v>
      </c>
      <c r="AP297" s="11">
        <f>I297*(1-1)</f>
        <v>0</v>
      </c>
      <c r="AQ297" s="12" t="s">
        <v>845</v>
      </c>
      <c r="AV297" s="11">
        <f>AW297+AX297</f>
        <v>0</v>
      </c>
      <c r="AW297" s="11">
        <f>H297*AO297</f>
        <v>0</v>
      </c>
      <c r="AX297" s="11">
        <f>H297*AP297</f>
        <v>0</v>
      </c>
      <c r="AY297" s="12" t="s">
        <v>865</v>
      </c>
      <c r="AZ297" s="12" t="s">
        <v>207</v>
      </c>
      <c r="BA297" s="40" t="s">
        <v>647</v>
      </c>
      <c r="BC297" s="11">
        <f>AW297+AX297</f>
        <v>0</v>
      </c>
      <c r="BD297" s="11">
        <f>I297/(100-BE297)*100</f>
        <v>0</v>
      </c>
      <c r="BE297" s="11">
        <v>0</v>
      </c>
      <c r="BF297" s="11">
        <f>305</f>
        <v>305</v>
      </c>
      <c r="BH297" s="11">
        <f>H297*AO297</f>
        <v>0</v>
      </c>
      <c r="BI297" s="11">
        <f>H297*AP297</f>
        <v>0</v>
      </c>
      <c r="BJ297" s="11">
        <f>H297*I297</f>
        <v>0</v>
      </c>
      <c r="BK297" s="11"/>
      <c r="BL297" s="11">
        <v>771</v>
      </c>
    </row>
    <row r="298" spans="1:64" ht="15" customHeight="1">
      <c r="A298" s="9" t="s">
        <v>221</v>
      </c>
      <c r="B298" s="10" t="s">
        <v>195</v>
      </c>
      <c r="C298" s="366" t="s">
        <v>809</v>
      </c>
      <c r="D298" s="366"/>
      <c r="E298" s="366"/>
      <c r="F298" s="366"/>
      <c r="G298" s="10" t="s">
        <v>700</v>
      </c>
      <c r="H298" s="11">
        <v>91.38</v>
      </c>
      <c r="I298" s="11">
        <v>0</v>
      </c>
      <c r="J298" s="11">
        <f>H298*AO298</f>
        <v>0</v>
      </c>
      <c r="K298" s="11">
        <f>H298*AP298</f>
        <v>0</v>
      </c>
      <c r="L298" s="11">
        <f>H298*I298</f>
        <v>0</v>
      </c>
      <c r="M298" s="52" t="s">
        <v>575</v>
      </c>
      <c r="Z298" s="11">
        <f>IF(AQ298="5",BJ298,0)</f>
        <v>0</v>
      </c>
      <c r="AB298" s="11">
        <f>IF(AQ298="1",BH298,0)</f>
        <v>0</v>
      </c>
      <c r="AC298" s="11">
        <f>IF(AQ298="1",BI298,0)</f>
        <v>0</v>
      </c>
      <c r="AD298" s="11">
        <f>IF(AQ298="7",BH298,0)</f>
        <v>0</v>
      </c>
      <c r="AE298" s="11">
        <f>IF(AQ298="7",BI298,0)</f>
        <v>0</v>
      </c>
      <c r="AF298" s="11">
        <f>IF(AQ298="2",BH298,0)</f>
        <v>0</v>
      </c>
      <c r="AG298" s="11">
        <f>IF(AQ298="2",BI298,0)</f>
        <v>0</v>
      </c>
      <c r="AH298" s="11">
        <f>IF(AQ298="0",BJ298,0)</f>
        <v>0</v>
      </c>
      <c r="AI298" s="40" t="s">
        <v>586</v>
      </c>
      <c r="AJ298" s="11">
        <f>IF(AN298=0,L298,0)</f>
        <v>0</v>
      </c>
      <c r="AK298" s="11">
        <f>IF(AN298=15,L298,0)</f>
        <v>0</v>
      </c>
      <c r="AL298" s="11">
        <f>IF(AN298=21,L298,0)</f>
        <v>0</v>
      </c>
      <c r="AN298" s="11">
        <v>21</v>
      </c>
      <c r="AO298" s="11">
        <f>I298*0.551764705882353</f>
        <v>0</v>
      </c>
      <c r="AP298" s="11">
        <f>I298*(1-0.551764705882353)</f>
        <v>0</v>
      </c>
      <c r="AQ298" s="12" t="s">
        <v>845</v>
      </c>
      <c r="AV298" s="11">
        <f>AW298+AX298</f>
        <v>0</v>
      </c>
      <c r="AW298" s="11">
        <f>H298*AO298</f>
        <v>0</v>
      </c>
      <c r="AX298" s="11">
        <f>H298*AP298</f>
        <v>0</v>
      </c>
      <c r="AY298" s="12" t="s">
        <v>865</v>
      </c>
      <c r="AZ298" s="12" t="s">
        <v>207</v>
      </c>
      <c r="BA298" s="40" t="s">
        <v>647</v>
      </c>
      <c r="BC298" s="11">
        <f>AW298+AX298</f>
        <v>0</v>
      </c>
      <c r="BD298" s="11">
        <f>I298/(100-BE298)*100</f>
        <v>0</v>
      </c>
      <c r="BE298" s="11">
        <v>0</v>
      </c>
      <c r="BF298" s="11">
        <f>306</f>
        <v>306</v>
      </c>
      <c r="BH298" s="11">
        <f>H298*AO298</f>
        <v>0</v>
      </c>
      <c r="BI298" s="11">
        <f>H298*AP298</f>
        <v>0</v>
      </c>
      <c r="BJ298" s="11">
        <f>H298*I298</f>
        <v>0</v>
      </c>
      <c r="BK298" s="11"/>
      <c r="BL298" s="11">
        <v>771</v>
      </c>
    </row>
    <row r="299" spans="1:64" ht="15" customHeight="1">
      <c r="A299" s="9" t="s">
        <v>325</v>
      </c>
      <c r="B299" s="10" t="s">
        <v>262</v>
      </c>
      <c r="C299" s="366" t="s">
        <v>791</v>
      </c>
      <c r="D299" s="366"/>
      <c r="E299" s="366"/>
      <c r="F299" s="366"/>
      <c r="G299" s="10" t="s">
        <v>830</v>
      </c>
      <c r="H299" s="11">
        <v>28.8</v>
      </c>
      <c r="I299" s="11">
        <v>0</v>
      </c>
      <c r="J299" s="11">
        <f>H299*AO299</f>
        <v>0</v>
      </c>
      <c r="K299" s="11">
        <f>H299*AP299</f>
        <v>0</v>
      </c>
      <c r="L299" s="11">
        <f>H299*I299</f>
        <v>0</v>
      </c>
      <c r="M299" s="52" t="s">
        <v>575</v>
      </c>
      <c r="Z299" s="11">
        <f>IF(AQ299="5",BJ299,0)</f>
        <v>0</v>
      </c>
      <c r="AB299" s="11">
        <f>IF(AQ299="1",BH299,0)</f>
        <v>0</v>
      </c>
      <c r="AC299" s="11">
        <f>IF(AQ299="1",BI299,0)</f>
        <v>0</v>
      </c>
      <c r="AD299" s="11">
        <f>IF(AQ299="7",BH299,0)</f>
        <v>0</v>
      </c>
      <c r="AE299" s="11">
        <f>IF(AQ299="7",BI299,0)</f>
        <v>0</v>
      </c>
      <c r="AF299" s="11">
        <f>IF(AQ299="2",BH299,0)</f>
        <v>0</v>
      </c>
      <c r="AG299" s="11">
        <f>IF(AQ299="2",BI299,0)</f>
        <v>0</v>
      </c>
      <c r="AH299" s="11">
        <f>IF(AQ299="0",BJ299,0)</f>
        <v>0</v>
      </c>
      <c r="AI299" s="40" t="s">
        <v>586</v>
      </c>
      <c r="AJ299" s="11">
        <f>IF(AN299=0,L299,0)</f>
        <v>0</v>
      </c>
      <c r="AK299" s="11">
        <f>IF(AN299=15,L299,0)</f>
        <v>0</v>
      </c>
      <c r="AL299" s="11">
        <f>IF(AN299=21,L299,0)</f>
        <v>0</v>
      </c>
      <c r="AN299" s="11">
        <v>21</v>
      </c>
      <c r="AO299" s="11">
        <f>I299*1.00004367765888</f>
        <v>0</v>
      </c>
      <c r="AP299" s="11">
        <f>I299*(1-1.00004367765888)</f>
        <v>0</v>
      </c>
      <c r="AQ299" s="12" t="s">
        <v>845</v>
      </c>
      <c r="AV299" s="11">
        <f>AW299+AX299</f>
        <v>0</v>
      </c>
      <c r="AW299" s="11">
        <f>H299*AO299</f>
        <v>0</v>
      </c>
      <c r="AX299" s="11">
        <f>H299*AP299</f>
        <v>0</v>
      </c>
      <c r="AY299" s="12" t="s">
        <v>865</v>
      </c>
      <c r="AZ299" s="12" t="s">
        <v>207</v>
      </c>
      <c r="BA299" s="40" t="s">
        <v>647</v>
      </c>
      <c r="BC299" s="11">
        <f>AW299+AX299</f>
        <v>0</v>
      </c>
      <c r="BD299" s="11">
        <f>I299/(100-BE299)*100</f>
        <v>0</v>
      </c>
      <c r="BE299" s="11">
        <v>0</v>
      </c>
      <c r="BF299" s="11">
        <f>307</f>
        <v>307</v>
      </c>
      <c r="BH299" s="11">
        <f>H299*AO299</f>
        <v>0</v>
      </c>
      <c r="BI299" s="11">
        <f>H299*AP299</f>
        <v>0</v>
      </c>
      <c r="BJ299" s="11">
        <f>H299*I299</f>
        <v>0</v>
      </c>
      <c r="BK299" s="11"/>
      <c r="BL299" s="11">
        <v>771</v>
      </c>
    </row>
    <row r="300" spans="1:64" ht="15" customHeight="1">
      <c r="A300" s="9" t="s">
        <v>300</v>
      </c>
      <c r="B300" s="10" t="s">
        <v>393</v>
      </c>
      <c r="C300" s="366" t="s">
        <v>292</v>
      </c>
      <c r="D300" s="366"/>
      <c r="E300" s="366"/>
      <c r="F300" s="366"/>
      <c r="G300" s="10" t="s">
        <v>830</v>
      </c>
      <c r="H300" s="11">
        <v>141.96</v>
      </c>
      <c r="I300" s="11">
        <v>0</v>
      </c>
      <c r="J300" s="11">
        <f>H300*AO300</f>
        <v>0</v>
      </c>
      <c r="K300" s="11">
        <f>H300*AP300</f>
        <v>0</v>
      </c>
      <c r="L300" s="11">
        <f>H300*I300</f>
        <v>0</v>
      </c>
      <c r="M300" s="52" t="s">
        <v>575</v>
      </c>
      <c r="Z300" s="11">
        <f>IF(AQ300="5",BJ300,0)</f>
        <v>0</v>
      </c>
      <c r="AB300" s="11">
        <f>IF(AQ300="1",BH300,0)</f>
        <v>0</v>
      </c>
      <c r="AC300" s="11">
        <f>IF(AQ300="1",BI300,0)</f>
        <v>0</v>
      </c>
      <c r="AD300" s="11">
        <f>IF(AQ300="7",BH300,0)</f>
        <v>0</v>
      </c>
      <c r="AE300" s="11">
        <f>IF(AQ300="7",BI300,0)</f>
        <v>0</v>
      </c>
      <c r="AF300" s="11">
        <f>IF(AQ300="2",BH300,0)</f>
        <v>0</v>
      </c>
      <c r="AG300" s="11">
        <f>IF(AQ300="2",BI300,0)</f>
        <v>0</v>
      </c>
      <c r="AH300" s="11">
        <f>IF(AQ300="0",BJ300,0)</f>
        <v>0</v>
      </c>
      <c r="AI300" s="40" t="s">
        <v>586</v>
      </c>
      <c r="AJ300" s="11">
        <f>IF(AN300=0,L300,0)</f>
        <v>0</v>
      </c>
      <c r="AK300" s="11">
        <f>IF(AN300=15,L300,0)</f>
        <v>0</v>
      </c>
      <c r="AL300" s="11">
        <f>IF(AN300=21,L300,0)</f>
        <v>0</v>
      </c>
      <c r="AN300" s="11">
        <v>21</v>
      </c>
      <c r="AO300" s="11">
        <f>I300*0.338658385093168</f>
        <v>0</v>
      </c>
      <c r="AP300" s="11">
        <f>I300*(1-0.338658385093168)</f>
        <v>0</v>
      </c>
      <c r="AQ300" s="12" t="s">
        <v>845</v>
      </c>
      <c r="AV300" s="11">
        <f>AW300+AX300</f>
        <v>0</v>
      </c>
      <c r="AW300" s="11">
        <f>H300*AO300</f>
        <v>0</v>
      </c>
      <c r="AX300" s="11">
        <f>H300*AP300</f>
        <v>0</v>
      </c>
      <c r="AY300" s="12" t="s">
        <v>865</v>
      </c>
      <c r="AZ300" s="12" t="s">
        <v>207</v>
      </c>
      <c r="BA300" s="40" t="s">
        <v>647</v>
      </c>
      <c r="BC300" s="11">
        <f>AW300+AX300</f>
        <v>0</v>
      </c>
      <c r="BD300" s="11">
        <f>I300/(100-BE300)*100</f>
        <v>0</v>
      </c>
      <c r="BE300" s="11">
        <v>0</v>
      </c>
      <c r="BF300" s="11">
        <f>308</f>
        <v>308</v>
      </c>
      <c r="BH300" s="11">
        <f>H300*AO300</f>
        <v>0</v>
      </c>
      <c r="BI300" s="11">
        <f>H300*AP300</f>
        <v>0</v>
      </c>
      <c r="BJ300" s="11">
        <f>H300*I300</f>
        <v>0</v>
      </c>
      <c r="BK300" s="11"/>
      <c r="BL300" s="11">
        <v>771</v>
      </c>
    </row>
    <row r="301" spans="1:64" ht="13.5" customHeight="1">
      <c r="A301" s="53"/>
      <c r="B301" s="54" t="s">
        <v>440</v>
      </c>
      <c r="C301" s="394" t="s">
        <v>787</v>
      </c>
      <c r="D301" s="395"/>
      <c r="E301" s="395"/>
      <c r="F301" s="395"/>
      <c r="G301" s="395"/>
      <c r="H301" s="395"/>
      <c r="I301" s="395"/>
      <c r="J301" s="395"/>
      <c r="K301" s="395"/>
      <c r="L301" s="395"/>
      <c r="M301" s="396"/>
    </row>
    <row r="302" spans="1:64" ht="15" customHeight="1">
      <c r="A302" s="9" t="s">
        <v>554</v>
      </c>
      <c r="B302" s="10" t="s">
        <v>930</v>
      </c>
      <c r="C302" s="366" t="s">
        <v>213</v>
      </c>
      <c r="D302" s="366"/>
      <c r="E302" s="366"/>
      <c r="F302" s="366"/>
      <c r="G302" s="10" t="s">
        <v>830</v>
      </c>
      <c r="H302" s="11">
        <v>249.96</v>
      </c>
      <c r="I302" s="11">
        <v>0</v>
      </c>
      <c r="J302" s="11">
        <f>H302*AO302</f>
        <v>0</v>
      </c>
      <c r="K302" s="11">
        <f>H302*AP302</f>
        <v>0</v>
      </c>
      <c r="L302" s="11">
        <f>H302*I302</f>
        <v>0</v>
      </c>
      <c r="M302" s="52" t="s">
        <v>575</v>
      </c>
      <c r="Z302" s="11">
        <f>IF(AQ302="5",BJ302,0)</f>
        <v>0</v>
      </c>
      <c r="AB302" s="11">
        <f>IF(AQ302="1",BH302,0)</f>
        <v>0</v>
      </c>
      <c r="AC302" s="11">
        <f>IF(AQ302="1",BI302,0)</f>
        <v>0</v>
      </c>
      <c r="AD302" s="11">
        <f>IF(AQ302="7",BH302,0)</f>
        <v>0</v>
      </c>
      <c r="AE302" s="11">
        <f>IF(AQ302="7",BI302,0)</f>
        <v>0</v>
      </c>
      <c r="AF302" s="11">
        <f>IF(AQ302="2",BH302,0)</f>
        <v>0</v>
      </c>
      <c r="AG302" s="11">
        <f>IF(AQ302="2",BI302,0)</f>
        <v>0</v>
      </c>
      <c r="AH302" s="11">
        <f>IF(AQ302="0",BJ302,0)</f>
        <v>0</v>
      </c>
      <c r="AI302" s="40" t="s">
        <v>586</v>
      </c>
      <c r="AJ302" s="11">
        <f>IF(AN302=0,L302,0)</f>
        <v>0</v>
      </c>
      <c r="AK302" s="11">
        <f>IF(AN302=15,L302,0)</f>
        <v>0</v>
      </c>
      <c r="AL302" s="11">
        <f>IF(AN302=21,L302,0)</f>
        <v>0</v>
      </c>
      <c r="AN302" s="11">
        <v>21</v>
      </c>
      <c r="AO302" s="11">
        <f>I302*0</f>
        <v>0</v>
      </c>
      <c r="AP302" s="11">
        <f>I302*(1-0)</f>
        <v>0</v>
      </c>
      <c r="AQ302" s="12" t="s">
        <v>845</v>
      </c>
      <c r="AV302" s="11">
        <f>AW302+AX302</f>
        <v>0</v>
      </c>
      <c r="AW302" s="11">
        <f>H302*AO302</f>
        <v>0</v>
      </c>
      <c r="AX302" s="11">
        <f>H302*AP302</f>
        <v>0</v>
      </c>
      <c r="AY302" s="12" t="s">
        <v>865</v>
      </c>
      <c r="AZ302" s="12" t="s">
        <v>207</v>
      </c>
      <c r="BA302" s="40" t="s">
        <v>647</v>
      </c>
      <c r="BC302" s="11">
        <f>AW302+AX302</f>
        <v>0</v>
      </c>
      <c r="BD302" s="11">
        <f>I302/(100-BE302)*100</f>
        <v>0</v>
      </c>
      <c r="BE302" s="11">
        <v>0</v>
      </c>
      <c r="BF302" s="11">
        <f>310</f>
        <v>310</v>
      </c>
      <c r="BH302" s="11">
        <f>H302*AO302</f>
        <v>0</v>
      </c>
      <c r="BI302" s="11">
        <f>H302*AP302</f>
        <v>0</v>
      </c>
      <c r="BJ302" s="11">
        <f>H302*I302</f>
        <v>0</v>
      </c>
      <c r="BK302" s="11"/>
      <c r="BL302" s="11">
        <v>771</v>
      </c>
    </row>
    <row r="303" spans="1:64" ht="15" customHeight="1">
      <c r="A303" s="9" t="s">
        <v>138</v>
      </c>
      <c r="B303" s="10" t="s">
        <v>78</v>
      </c>
      <c r="C303" s="366" t="s">
        <v>384</v>
      </c>
      <c r="D303" s="366"/>
      <c r="E303" s="366"/>
      <c r="F303" s="366"/>
      <c r="G303" s="10" t="s">
        <v>830</v>
      </c>
      <c r="H303" s="11">
        <v>156.15600000000001</v>
      </c>
      <c r="I303" s="11">
        <v>0</v>
      </c>
      <c r="J303" s="11">
        <f>H303*AO303</f>
        <v>0</v>
      </c>
      <c r="K303" s="11">
        <f>H303*AP303</f>
        <v>0</v>
      </c>
      <c r="L303" s="11">
        <f>H303*I303</f>
        <v>0</v>
      </c>
      <c r="M303" s="52" t="s">
        <v>575</v>
      </c>
      <c r="Z303" s="11">
        <f>IF(AQ303="5",BJ303,0)</f>
        <v>0</v>
      </c>
      <c r="AB303" s="11">
        <f>IF(AQ303="1",BH303,0)</f>
        <v>0</v>
      </c>
      <c r="AC303" s="11">
        <f>IF(AQ303="1",BI303,0)</f>
        <v>0</v>
      </c>
      <c r="AD303" s="11">
        <f>IF(AQ303="7",BH303,0)</f>
        <v>0</v>
      </c>
      <c r="AE303" s="11">
        <f>IF(AQ303="7",BI303,0)</f>
        <v>0</v>
      </c>
      <c r="AF303" s="11">
        <f>IF(AQ303="2",BH303,0)</f>
        <v>0</v>
      </c>
      <c r="AG303" s="11">
        <f>IF(AQ303="2",BI303,0)</f>
        <v>0</v>
      </c>
      <c r="AH303" s="11">
        <f>IF(AQ303="0",BJ303,0)</f>
        <v>0</v>
      </c>
      <c r="AI303" s="40" t="s">
        <v>586</v>
      </c>
      <c r="AJ303" s="11">
        <f>IF(AN303=0,L303,0)</f>
        <v>0</v>
      </c>
      <c r="AK303" s="11">
        <f>IF(AN303=15,L303,0)</f>
        <v>0</v>
      </c>
      <c r="AL303" s="11">
        <f>IF(AN303=21,L303,0)</f>
        <v>0</v>
      </c>
      <c r="AN303" s="11">
        <v>21</v>
      </c>
      <c r="AO303" s="11">
        <f>I303*1</f>
        <v>0</v>
      </c>
      <c r="AP303" s="11">
        <f>I303*(1-1)</f>
        <v>0</v>
      </c>
      <c r="AQ303" s="12" t="s">
        <v>845</v>
      </c>
      <c r="AV303" s="11">
        <f>AW303+AX303</f>
        <v>0</v>
      </c>
      <c r="AW303" s="11">
        <f>H303*AO303</f>
        <v>0</v>
      </c>
      <c r="AX303" s="11">
        <f>H303*AP303</f>
        <v>0</v>
      </c>
      <c r="AY303" s="12" t="s">
        <v>865</v>
      </c>
      <c r="AZ303" s="12" t="s">
        <v>207</v>
      </c>
      <c r="BA303" s="40" t="s">
        <v>647</v>
      </c>
      <c r="BC303" s="11">
        <f>AW303+AX303</f>
        <v>0</v>
      </c>
      <c r="BD303" s="11">
        <f>I303/(100-BE303)*100</f>
        <v>0</v>
      </c>
      <c r="BE303" s="11">
        <v>0</v>
      </c>
      <c r="BF303" s="11">
        <f>311</f>
        <v>311</v>
      </c>
      <c r="BH303" s="11">
        <f>H303*AO303</f>
        <v>0</v>
      </c>
      <c r="BI303" s="11">
        <f>H303*AP303</f>
        <v>0</v>
      </c>
      <c r="BJ303" s="11">
        <f>H303*I303</f>
        <v>0</v>
      </c>
      <c r="BK303" s="11"/>
      <c r="BL303" s="11">
        <v>771</v>
      </c>
    </row>
    <row r="304" spans="1:64" ht="15" customHeight="1">
      <c r="A304" s="9" t="s">
        <v>320</v>
      </c>
      <c r="B304" s="10" t="s">
        <v>262</v>
      </c>
      <c r="C304" s="366" t="s">
        <v>791</v>
      </c>
      <c r="D304" s="366"/>
      <c r="E304" s="366"/>
      <c r="F304" s="366"/>
      <c r="G304" s="10" t="s">
        <v>830</v>
      </c>
      <c r="H304" s="11">
        <v>141.96</v>
      </c>
      <c r="I304" s="11">
        <v>0</v>
      </c>
      <c r="J304" s="11">
        <f>H304*AO304</f>
        <v>0</v>
      </c>
      <c r="K304" s="11">
        <f>H304*AP304</f>
        <v>0</v>
      </c>
      <c r="L304" s="11">
        <f>H304*I304</f>
        <v>0</v>
      </c>
      <c r="M304" s="52" t="s">
        <v>575</v>
      </c>
      <c r="Z304" s="11">
        <f>IF(AQ304="5",BJ304,0)</f>
        <v>0</v>
      </c>
      <c r="AB304" s="11">
        <f>IF(AQ304="1",BH304,0)</f>
        <v>0</v>
      </c>
      <c r="AC304" s="11">
        <f>IF(AQ304="1",BI304,0)</f>
        <v>0</v>
      </c>
      <c r="AD304" s="11">
        <f>IF(AQ304="7",BH304,0)</f>
        <v>0</v>
      </c>
      <c r="AE304" s="11">
        <f>IF(AQ304="7",BI304,0)</f>
        <v>0</v>
      </c>
      <c r="AF304" s="11">
        <f>IF(AQ304="2",BH304,0)</f>
        <v>0</v>
      </c>
      <c r="AG304" s="11">
        <f>IF(AQ304="2",BI304,0)</f>
        <v>0</v>
      </c>
      <c r="AH304" s="11">
        <f>IF(AQ304="0",BJ304,0)</f>
        <v>0</v>
      </c>
      <c r="AI304" s="40" t="s">
        <v>586</v>
      </c>
      <c r="AJ304" s="11">
        <f>IF(AN304=0,L304,0)</f>
        <v>0</v>
      </c>
      <c r="AK304" s="11">
        <f>IF(AN304=15,L304,0)</f>
        <v>0</v>
      </c>
      <c r="AL304" s="11">
        <f>IF(AN304=21,L304,0)</f>
        <v>0</v>
      </c>
      <c r="AN304" s="11">
        <v>21</v>
      </c>
      <c r="AO304" s="11">
        <f>I304*0.999984051036683</f>
        <v>0</v>
      </c>
      <c r="AP304" s="11">
        <f>I304*(1-0.999984051036683)</f>
        <v>0</v>
      </c>
      <c r="AQ304" s="12" t="s">
        <v>845</v>
      </c>
      <c r="AV304" s="11">
        <f>AW304+AX304</f>
        <v>0</v>
      </c>
      <c r="AW304" s="11">
        <f>H304*AO304</f>
        <v>0</v>
      </c>
      <c r="AX304" s="11">
        <f>H304*AP304</f>
        <v>0</v>
      </c>
      <c r="AY304" s="12" t="s">
        <v>865</v>
      </c>
      <c r="AZ304" s="12" t="s">
        <v>207</v>
      </c>
      <c r="BA304" s="40" t="s">
        <v>647</v>
      </c>
      <c r="BC304" s="11">
        <f>AW304+AX304</f>
        <v>0</v>
      </c>
      <c r="BD304" s="11">
        <f>I304/(100-BE304)*100</f>
        <v>0</v>
      </c>
      <c r="BE304" s="11">
        <v>0</v>
      </c>
      <c r="BF304" s="11">
        <f>312</f>
        <v>312</v>
      </c>
      <c r="BH304" s="11">
        <f>H304*AO304</f>
        <v>0</v>
      </c>
      <c r="BI304" s="11">
        <f>H304*AP304</f>
        <v>0</v>
      </c>
      <c r="BJ304" s="11">
        <f>H304*I304</f>
        <v>0</v>
      </c>
      <c r="BK304" s="11"/>
      <c r="BL304" s="11">
        <v>771</v>
      </c>
    </row>
    <row r="305" spans="1:64" ht="15" customHeight="1">
      <c r="A305" s="9" t="s">
        <v>704</v>
      </c>
      <c r="B305" s="10" t="s">
        <v>260</v>
      </c>
      <c r="C305" s="366" t="s">
        <v>565</v>
      </c>
      <c r="D305" s="366"/>
      <c r="E305" s="366"/>
      <c r="F305" s="366"/>
      <c r="G305" s="10" t="s">
        <v>830</v>
      </c>
      <c r="H305" s="11">
        <v>7.5</v>
      </c>
      <c r="I305" s="11">
        <v>0</v>
      </c>
      <c r="J305" s="11">
        <f>H305*AO305</f>
        <v>0</v>
      </c>
      <c r="K305" s="11">
        <f>H305*AP305</f>
        <v>0</v>
      </c>
      <c r="L305" s="11">
        <f>H305*I305</f>
        <v>0</v>
      </c>
      <c r="M305" s="52" t="s">
        <v>575</v>
      </c>
      <c r="Z305" s="11">
        <f>IF(AQ305="5",BJ305,0)</f>
        <v>0</v>
      </c>
      <c r="AB305" s="11">
        <f>IF(AQ305="1",BH305,0)</f>
        <v>0</v>
      </c>
      <c r="AC305" s="11">
        <f>IF(AQ305="1",BI305,0)</f>
        <v>0</v>
      </c>
      <c r="AD305" s="11">
        <f>IF(AQ305="7",BH305,0)</f>
        <v>0</v>
      </c>
      <c r="AE305" s="11">
        <f>IF(AQ305="7",BI305,0)</f>
        <v>0</v>
      </c>
      <c r="AF305" s="11">
        <f>IF(AQ305="2",BH305,0)</f>
        <v>0</v>
      </c>
      <c r="AG305" s="11">
        <f>IF(AQ305="2",BI305,0)</f>
        <v>0</v>
      </c>
      <c r="AH305" s="11">
        <f>IF(AQ305="0",BJ305,0)</f>
        <v>0</v>
      </c>
      <c r="AI305" s="40" t="s">
        <v>586</v>
      </c>
      <c r="AJ305" s="11">
        <f>IF(AN305=0,L305,0)</f>
        <v>0</v>
      </c>
      <c r="AK305" s="11">
        <f>IF(AN305=15,L305,0)</f>
        <v>0</v>
      </c>
      <c r="AL305" s="11">
        <f>IF(AN305=21,L305,0)</f>
        <v>0</v>
      </c>
      <c r="AN305" s="11">
        <v>21</v>
      </c>
      <c r="AO305" s="11">
        <f>I305*0</f>
        <v>0</v>
      </c>
      <c r="AP305" s="11">
        <f>I305*(1-0)</f>
        <v>0</v>
      </c>
      <c r="AQ305" s="12" t="s">
        <v>845</v>
      </c>
      <c r="AV305" s="11">
        <f>AW305+AX305</f>
        <v>0</v>
      </c>
      <c r="AW305" s="11">
        <f>H305*AO305</f>
        <v>0</v>
      </c>
      <c r="AX305" s="11">
        <f>H305*AP305</f>
        <v>0</v>
      </c>
      <c r="AY305" s="12" t="s">
        <v>865</v>
      </c>
      <c r="AZ305" s="12" t="s">
        <v>207</v>
      </c>
      <c r="BA305" s="40" t="s">
        <v>647</v>
      </c>
      <c r="BC305" s="11">
        <f>AW305+AX305</f>
        <v>0</v>
      </c>
      <c r="BD305" s="11">
        <f>I305/(100-BE305)*100</f>
        <v>0</v>
      </c>
      <c r="BE305" s="11">
        <v>0</v>
      </c>
      <c r="BF305" s="11">
        <f>313</f>
        <v>313</v>
      </c>
      <c r="BH305" s="11">
        <f>H305*AO305</f>
        <v>0</v>
      </c>
      <c r="BI305" s="11">
        <f>H305*AP305</f>
        <v>0</v>
      </c>
      <c r="BJ305" s="11">
        <f>H305*I305</f>
        <v>0</v>
      </c>
      <c r="BK305" s="11"/>
      <c r="BL305" s="11">
        <v>771</v>
      </c>
    </row>
    <row r="306" spans="1:64" ht="15" customHeight="1">
      <c r="A306" s="9" t="s">
        <v>12</v>
      </c>
      <c r="B306" s="10" t="s">
        <v>268</v>
      </c>
      <c r="C306" s="366" t="s">
        <v>651</v>
      </c>
      <c r="D306" s="366"/>
      <c r="E306" s="366"/>
      <c r="F306" s="366"/>
      <c r="G306" s="10" t="s">
        <v>401</v>
      </c>
      <c r="H306" s="11">
        <v>4.7750000000000004</v>
      </c>
      <c r="I306" s="11">
        <v>0</v>
      </c>
      <c r="J306" s="11">
        <f>H306*AO306</f>
        <v>0</v>
      </c>
      <c r="K306" s="11">
        <f>H306*AP306</f>
        <v>0</v>
      </c>
      <c r="L306" s="11">
        <f>H306*I306</f>
        <v>0</v>
      </c>
      <c r="M306" s="52" t="s">
        <v>575</v>
      </c>
      <c r="Z306" s="11">
        <f>IF(AQ306="5",BJ306,0)</f>
        <v>0</v>
      </c>
      <c r="AB306" s="11">
        <f>IF(AQ306="1",BH306,0)</f>
        <v>0</v>
      </c>
      <c r="AC306" s="11">
        <f>IF(AQ306="1",BI306,0)</f>
        <v>0</v>
      </c>
      <c r="AD306" s="11">
        <f>IF(AQ306="7",BH306,0)</f>
        <v>0</v>
      </c>
      <c r="AE306" s="11">
        <f>IF(AQ306="7",BI306,0)</f>
        <v>0</v>
      </c>
      <c r="AF306" s="11">
        <f>IF(AQ306="2",BH306,0)</f>
        <v>0</v>
      </c>
      <c r="AG306" s="11">
        <f>IF(AQ306="2",BI306,0)</f>
        <v>0</v>
      </c>
      <c r="AH306" s="11">
        <f>IF(AQ306="0",BJ306,0)</f>
        <v>0</v>
      </c>
      <c r="AI306" s="40" t="s">
        <v>586</v>
      </c>
      <c r="AJ306" s="11">
        <f>IF(AN306=0,L306,0)</f>
        <v>0</v>
      </c>
      <c r="AK306" s="11">
        <f>IF(AN306=15,L306,0)</f>
        <v>0</v>
      </c>
      <c r="AL306" s="11">
        <f>IF(AN306=21,L306,0)</f>
        <v>0</v>
      </c>
      <c r="AN306" s="11">
        <v>21</v>
      </c>
      <c r="AO306" s="11">
        <f>I306*0</f>
        <v>0</v>
      </c>
      <c r="AP306" s="11">
        <f>I306*(1-0)</f>
        <v>0</v>
      </c>
      <c r="AQ306" s="12" t="s">
        <v>454</v>
      </c>
      <c r="AV306" s="11">
        <f>AW306+AX306</f>
        <v>0</v>
      </c>
      <c r="AW306" s="11">
        <f>H306*AO306</f>
        <v>0</v>
      </c>
      <c r="AX306" s="11">
        <f>H306*AP306</f>
        <v>0</v>
      </c>
      <c r="AY306" s="12" t="s">
        <v>865</v>
      </c>
      <c r="AZ306" s="12" t="s">
        <v>207</v>
      </c>
      <c r="BA306" s="40" t="s">
        <v>647</v>
      </c>
      <c r="BC306" s="11">
        <f>AW306+AX306</f>
        <v>0</v>
      </c>
      <c r="BD306" s="11">
        <f>I306/(100-BE306)*100</f>
        <v>0</v>
      </c>
      <c r="BE306" s="11">
        <v>0</v>
      </c>
      <c r="BF306" s="11">
        <f>314</f>
        <v>314</v>
      </c>
      <c r="BH306" s="11">
        <f>H306*AO306</f>
        <v>0</v>
      </c>
      <c r="BI306" s="11">
        <f>H306*AP306</f>
        <v>0</v>
      </c>
      <c r="BJ306" s="11">
        <f>H306*I306</f>
        <v>0</v>
      </c>
      <c r="BK306" s="11"/>
      <c r="BL306" s="11">
        <v>771</v>
      </c>
    </row>
    <row r="307" spans="1:64" ht="15" customHeight="1">
      <c r="A307" s="48" t="s">
        <v>586</v>
      </c>
      <c r="B307" s="49" t="s">
        <v>682</v>
      </c>
      <c r="C307" s="392" t="s">
        <v>378</v>
      </c>
      <c r="D307" s="392"/>
      <c r="E307" s="392"/>
      <c r="F307" s="392"/>
      <c r="G307" s="50" t="s">
        <v>783</v>
      </c>
      <c r="H307" s="50" t="s">
        <v>783</v>
      </c>
      <c r="I307" s="50" t="s">
        <v>783</v>
      </c>
      <c r="J307" s="36">
        <f>SUM(J308:J316)</f>
        <v>0</v>
      </c>
      <c r="K307" s="36">
        <f>SUM(K308:K316)</f>
        <v>0</v>
      </c>
      <c r="L307" s="36">
        <f>SUM(L308:L316)</f>
        <v>0</v>
      </c>
      <c r="M307" s="51" t="s">
        <v>586</v>
      </c>
      <c r="AI307" s="40" t="s">
        <v>586</v>
      </c>
      <c r="AS307" s="36">
        <f>SUM(AJ308:AJ316)</f>
        <v>0</v>
      </c>
      <c r="AT307" s="36">
        <f>SUM(AK308:AK316)</f>
        <v>0</v>
      </c>
      <c r="AU307" s="36">
        <f>SUM(AL308:AL316)</f>
        <v>0</v>
      </c>
    </row>
    <row r="308" spans="1:64" ht="15" customHeight="1">
      <c r="A308" s="9" t="s">
        <v>373</v>
      </c>
      <c r="B308" s="10" t="s">
        <v>231</v>
      </c>
      <c r="C308" s="366" t="s">
        <v>470</v>
      </c>
      <c r="D308" s="366"/>
      <c r="E308" s="366"/>
      <c r="F308" s="366"/>
      <c r="G308" s="10" t="s">
        <v>830</v>
      </c>
      <c r="H308" s="11">
        <v>182.773</v>
      </c>
      <c r="I308" s="11">
        <v>0</v>
      </c>
      <c r="J308" s="11">
        <f>H308*AO308</f>
        <v>0</v>
      </c>
      <c r="K308" s="11">
        <f>H308*AP308</f>
        <v>0</v>
      </c>
      <c r="L308" s="11">
        <f>H308*I308</f>
        <v>0</v>
      </c>
      <c r="M308" s="52" t="s">
        <v>575</v>
      </c>
      <c r="Z308" s="11">
        <f>IF(AQ308="5",BJ308,0)</f>
        <v>0</v>
      </c>
      <c r="AB308" s="11">
        <f>IF(AQ308="1",BH308,0)</f>
        <v>0</v>
      </c>
      <c r="AC308" s="11">
        <f>IF(AQ308="1",BI308,0)</f>
        <v>0</v>
      </c>
      <c r="AD308" s="11">
        <f>IF(AQ308="7",BH308,0)</f>
        <v>0</v>
      </c>
      <c r="AE308" s="11">
        <f>IF(AQ308="7",BI308,0)</f>
        <v>0</v>
      </c>
      <c r="AF308" s="11">
        <f>IF(AQ308="2",BH308,0)</f>
        <v>0</v>
      </c>
      <c r="AG308" s="11">
        <f>IF(AQ308="2",BI308,0)</f>
        <v>0</v>
      </c>
      <c r="AH308" s="11">
        <f>IF(AQ308="0",BJ308,0)</f>
        <v>0</v>
      </c>
      <c r="AI308" s="40" t="s">
        <v>586</v>
      </c>
      <c r="AJ308" s="11">
        <f>IF(AN308=0,L308,0)</f>
        <v>0</v>
      </c>
      <c r="AK308" s="11">
        <f>IF(AN308=15,L308,0)</f>
        <v>0</v>
      </c>
      <c r="AL308" s="11">
        <f>IF(AN308=21,L308,0)</f>
        <v>0</v>
      </c>
      <c r="AN308" s="11">
        <v>21</v>
      </c>
      <c r="AO308" s="11">
        <f>I308*0.408351111745601</f>
        <v>0</v>
      </c>
      <c r="AP308" s="11">
        <f>I308*(1-0.408351111745601)</f>
        <v>0</v>
      </c>
      <c r="AQ308" s="12" t="s">
        <v>845</v>
      </c>
      <c r="AV308" s="11">
        <f>AW308+AX308</f>
        <v>0</v>
      </c>
      <c r="AW308" s="11">
        <f>H308*AO308</f>
        <v>0</v>
      </c>
      <c r="AX308" s="11">
        <f>H308*AP308</f>
        <v>0</v>
      </c>
      <c r="AY308" s="12" t="s">
        <v>392</v>
      </c>
      <c r="AZ308" s="12" t="s">
        <v>383</v>
      </c>
      <c r="BA308" s="40" t="s">
        <v>647</v>
      </c>
      <c r="BC308" s="11">
        <f>AW308+AX308</f>
        <v>0</v>
      </c>
      <c r="BD308" s="11">
        <f>I308/(100-BE308)*100</f>
        <v>0</v>
      </c>
      <c r="BE308" s="11">
        <v>0</v>
      </c>
      <c r="BF308" s="11">
        <f>316</f>
        <v>316</v>
      </c>
      <c r="BH308" s="11">
        <f>H308*AO308</f>
        <v>0</v>
      </c>
      <c r="BI308" s="11">
        <f>H308*AP308</f>
        <v>0</v>
      </c>
      <c r="BJ308" s="11">
        <f>H308*I308</f>
        <v>0</v>
      </c>
      <c r="BK308" s="11"/>
      <c r="BL308" s="11">
        <v>781</v>
      </c>
    </row>
    <row r="309" spans="1:64" ht="13.5" customHeight="1">
      <c r="A309" s="53"/>
      <c r="B309" s="54" t="s">
        <v>440</v>
      </c>
      <c r="C309" s="394" t="s">
        <v>367</v>
      </c>
      <c r="D309" s="395"/>
      <c r="E309" s="395"/>
      <c r="F309" s="395"/>
      <c r="G309" s="395"/>
      <c r="H309" s="395"/>
      <c r="I309" s="395"/>
      <c r="J309" s="395"/>
      <c r="K309" s="395"/>
      <c r="L309" s="395"/>
      <c r="M309" s="396"/>
    </row>
    <row r="310" spans="1:64" ht="15" customHeight="1">
      <c r="A310" s="9" t="s">
        <v>26</v>
      </c>
      <c r="B310" s="10" t="s">
        <v>825</v>
      </c>
      <c r="C310" s="366" t="s">
        <v>190</v>
      </c>
      <c r="D310" s="366"/>
      <c r="E310" s="366"/>
      <c r="F310" s="366"/>
      <c r="G310" s="10" t="s">
        <v>830</v>
      </c>
      <c r="H310" s="11">
        <v>182.773</v>
      </c>
      <c r="I310" s="11">
        <v>0</v>
      </c>
      <c r="J310" s="11">
        <f t="shared" ref="J310:J316" si="244">H310*AO310</f>
        <v>0</v>
      </c>
      <c r="K310" s="11">
        <f t="shared" ref="K310:K316" si="245">H310*AP310</f>
        <v>0</v>
      </c>
      <c r="L310" s="11">
        <f t="shared" ref="L310:L316" si="246">H310*I310</f>
        <v>0</v>
      </c>
      <c r="M310" s="52" t="s">
        <v>575</v>
      </c>
      <c r="Z310" s="11">
        <f t="shared" ref="Z310:Z316" si="247">IF(AQ310="5",BJ310,0)</f>
        <v>0</v>
      </c>
      <c r="AB310" s="11">
        <f t="shared" ref="AB310:AB316" si="248">IF(AQ310="1",BH310,0)</f>
        <v>0</v>
      </c>
      <c r="AC310" s="11">
        <f t="shared" ref="AC310:AC316" si="249">IF(AQ310="1",BI310,0)</f>
        <v>0</v>
      </c>
      <c r="AD310" s="11">
        <f t="shared" ref="AD310:AD316" si="250">IF(AQ310="7",BH310,0)</f>
        <v>0</v>
      </c>
      <c r="AE310" s="11">
        <f t="shared" ref="AE310:AE316" si="251">IF(AQ310="7",BI310,0)</f>
        <v>0</v>
      </c>
      <c r="AF310" s="11">
        <f t="shared" ref="AF310:AF316" si="252">IF(AQ310="2",BH310,0)</f>
        <v>0</v>
      </c>
      <c r="AG310" s="11">
        <f t="shared" ref="AG310:AG316" si="253">IF(AQ310="2",BI310,0)</f>
        <v>0</v>
      </c>
      <c r="AH310" s="11">
        <f t="shared" ref="AH310:AH316" si="254">IF(AQ310="0",BJ310,0)</f>
        <v>0</v>
      </c>
      <c r="AI310" s="40" t="s">
        <v>586</v>
      </c>
      <c r="AJ310" s="11">
        <f t="shared" ref="AJ310:AJ316" si="255">IF(AN310=0,L310,0)</f>
        <v>0</v>
      </c>
      <c r="AK310" s="11">
        <f t="shared" ref="AK310:AK316" si="256">IF(AN310=15,L310,0)</f>
        <v>0</v>
      </c>
      <c r="AL310" s="11">
        <f t="shared" ref="AL310:AL316" si="257">IF(AN310=21,L310,0)</f>
        <v>0</v>
      </c>
      <c r="AN310" s="11">
        <v>21</v>
      </c>
      <c r="AO310" s="11">
        <f>I310*0.158201317600552</f>
        <v>0</v>
      </c>
      <c r="AP310" s="11">
        <f>I310*(1-0.158201317600552)</f>
        <v>0</v>
      </c>
      <c r="AQ310" s="12" t="s">
        <v>845</v>
      </c>
      <c r="AV310" s="11">
        <f t="shared" ref="AV310:AV316" si="258">AW310+AX310</f>
        <v>0</v>
      </c>
      <c r="AW310" s="11">
        <f t="shared" ref="AW310:AW316" si="259">H310*AO310</f>
        <v>0</v>
      </c>
      <c r="AX310" s="11">
        <f t="shared" ref="AX310:AX316" si="260">H310*AP310</f>
        <v>0</v>
      </c>
      <c r="AY310" s="12" t="s">
        <v>392</v>
      </c>
      <c r="AZ310" s="12" t="s">
        <v>383</v>
      </c>
      <c r="BA310" s="40" t="s">
        <v>647</v>
      </c>
      <c r="BC310" s="11">
        <f t="shared" ref="BC310:BC316" si="261">AW310+AX310</f>
        <v>0</v>
      </c>
      <c r="BD310" s="11">
        <f t="shared" ref="BD310:BD316" si="262">I310/(100-BE310)*100</f>
        <v>0</v>
      </c>
      <c r="BE310" s="11">
        <v>0</v>
      </c>
      <c r="BF310" s="11">
        <f>318</f>
        <v>318</v>
      </c>
      <c r="BH310" s="11">
        <f t="shared" ref="BH310:BH316" si="263">H310*AO310</f>
        <v>0</v>
      </c>
      <c r="BI310" s="11">
        <f t="shared" ref="BI310:BI316" si="264">H310*AP310</f>
        <v>0</v>
      </c>
      <c r="BJ310" s="11">
        <f t="shared" ref="BJ310:BJ316" si="265">H310*I310</f>
        <v>0</v>
      </c>
      <c r="BK310" s="11"/>
      <c r="BL310" s="11">
        <v>781</v>
      </c>
    </row>
    <row r="311" spans="1:64" ht="15" customHeight="1">
      <c r="A311" s="9" t="s">
        <v>162</v>
      </c>
      <c r="B311" s="10" t="s">
        <v>397</v>
      </c>
      <c r="C311" s="366" t="s">
        <v>758</v>
      </c>
      <c r="D311" s="366"/>
      <c r="E311" s="366"/>
      <c r="F311" s="366"/>
      <c r="G311" s="10" t="s">
        <v>830</v>
      </c>
      <c r="H311" s="11">
        <v>201.05</v>
      </c>
      <c r="I311" s="11">
        <v>0</v>
      </c>
      <c r="J311" s="11">
        <f t="shared" si="244"/>
        <v>0</v>
      </c>
      <c r="K311" s="11">
        <f t="shared" si="245"/>
        <v>0</v>
      </c>
      <c r="L311" s="11">
        <f t="shared" si="246"/>
        <v>0</v>
      </c>
      <c r="M311" s="52" t="s">
        <v>575</v>
      </c>
      <c r="Z311" s="11">
        <f t="shared" si="247"/>
        <v>0</v>
      </c>
      <c r="AB311" s="11">
        <f t="shared" si="248"/>
        <v>0</v>
      </c>
      <c r="AC311" s="11">
        <f t="shared" si="249"/>
        <v>0</v>
      </c>
      <c r="AD311" s="11">
        <f t="shared" si="250"/>
        <v>0</v>
      </c>
      <c r="AE311" s="11">
        <f t="shared" si="251"/>
        <v>0</v>
      </c>
      <c r="AF311" s="11">
        <f t="shared" si="252"/>
        <v>0</v>
      </c>
      <c r="AG311" s="11">
        <f t="shared" si="253"/>
        <v>0</v>
      </c>
      <c r="AH311" s="11">
        <f t="shared" si="254"/>
        <v>0</v>
      </c>
      <c r="AI311" s="40" t="s">
        <v>586</v>
      </c>
      <c r="AJ311" s="11">
        <f t="shared" si="255"/>
        <v>0</v>
      </c>
      <c r="AK311" s="11">
        <f t="shared" si="256"/>
        <v>0</v>
      </c>
      <c r="AL311" s="11">
        <f t="shared" si="257"/>
        <v>0</v>
      </c>
      <c r="AN311" s="11">
        <v>21</v>
      </c>
      <c r="AO311" s="11">
        <f>I311*1</f>
        <v>0</v>
      </c>
      <c r="AP311" s="11">
        <f>I311*(1-1)</f>
        <v>0</v>
      </c>
      <c r="AQ311" s="12" t="s">
        <v>845</v>
      </c>
      <c r="AV311" s="11">
        <f t="shared" si="258"/>
        <v>0</v>
      </c>
      <c r="AW311" s="11">
        <f t="shared" si="259"/>
        <v>0</v>
      </c>
      <c r="AX311" s="11">
        <f t="shared" si="260"/>
        <v>0</v>
      </c>
      <c r="AY311" s="12" t="s">
        <v>392</v>
      </c>
      <c r="AZ311" s="12" t="s">
        <v>383</v>
      </c>
      <c r="BA311" s="40" t="s">
        <v>647</v>
      </c>
      <c r="BC311" s="11">
        <f t="shared" si="261"/>
        <v>0</v>
      </c>
      <c r="BD311" s="11">
        <f t="shared" si="262"/>
        <v>0</v>
      </c>
      <c r="BE311" s="11">
        <v>0</v>
      </c>
      <c r="BF311" s="11">
        <f>319</f>
        <v>319</v>
      </c>
      <c r="BH311" s="11">
        <f t="shared" si="263"/>
        <v>0</v>
      </c>
      <c r="BI311" s="11">
        <f t="shared" si="264"/>
        <v>0</v>
      </c>
      <c r="BJ311" s="11">
        <f t="shared" si="265"/>
        <v>0</v>
      </c>
      <c r="BK311" s="11"/>
      <c r="BL311" s="11">
        <v>781</v>
      </c>
    </row>
    <row r="312" spans="1:64" ht="15" customHeight="1">
      <c r="A312" s="9" t="s">
        <v>198</v>
      </c>
      <c r="B312" s="10" t="s">
        <v>128</v>
      </c>
      <c r="C312" s="366" t="s">
        <v>484</v>
      </c>
      <c r="D312" s="366"/>
      <c r="E312" s="366"/>
      <c r="F312" s="366"/>
      <c r="G312" s="10" t="s">
        <v>830</v>
      </c>
      <c r="H312" s="11">
        <v>182.773</v>
      </c>
      <c r="I312" s="11">
        <v>0</v>
      </c>
      <c r="J312" s="11">
        <f t="shared" si="244"/>
        <v>0</v>
      </c>
      <c r="K312" s="11">
        <f t="shared" si="245"/>
        <v>0</v>
      </c>
      <c r="L312" s="11">
        <f t="shared" si="246"/>
        <v>0</v>
      </c>
      <c r="M312" s="52" t="s">
        <v>575</v>
      </c>
      <c r="Z312" s="11">
        <f t="shared" si="247"/>
        <v>0</v>
      </c>
      <c r="AB312" s="11">
        <f t="shared" si="248"/>
        <v>0</v>
      </c>
      <c r="AC312" s="11">
        <f t="shared" si="249"/>
        <v>0</v>
      </c>
      <c r="AD312" s="11">
        <f t="shared" si="250"/>
        <v>0</v>
      </c>
      <c r="AE312" s="11">
        <f t="shared" si="251"/>
        <v>0</v>
      </c>
      <c r="AF312" s="11">
        <f t="shared" si="252"/>
        <v>0</v>
      </c>
      <c r="AG312" s="11">
        <f t="shared" si="253"/>
        <v>0</v>
      </c>
      <c r="AH312" s="11">
        <f t="shared" si="254"/>
        <v>0</v>
      </c>
      <c r="AI312" s="40" t="s">
        <v>586</v>
      </c>
      <c r="AJ312" s="11">
        <f t="shared" si="255"/>
        <v>0</v>
      </c>
      <c r="AK312" s="11">
        <f t="shared" si="256"/>
        <v>0</v>
      </c>
      <c r="AL312" s="11">
        <f t="shared" si="257"/>
        <v>0</v>
      </c>
      <c r="AN312" s="11">
        <v>21</v>
      </c>
      <c r="AO312" s="11">
        <f>I312*1.00000102904767</f>
        <v>0</v>
      </c>
      <c r="AP312" s="11">
        <f>I312*(1-1.00000102904767)</f>
        <v>0</v>
      </c>
      <c r="AQ312" s="12" t="s">
        <v>845</v>
      </c>
      <c r="AV312" s="11">
        <f t="shared" si="258"/>
        <v>0</v>
      </c>
      <c r="AW312" s="11">
        <f t="shared" si="259"/>
        <v>0</v>
      </c>
      <c r="AX312" s="11">
        <f t="shared" si="260"/>
        <v>0</v>
      </c>
      <c r="AY312" s="12" t="s">
        <v>392</v>
      </c>
      <c r="AZ312" s="12" t="s">
        <v>383</v>
      </c>
      <c r="BA312" s="40" t="s">
        <v>647</v>
      </c>
      <c r="BC312" s="11">
        <f t="shared" si="261"/>
        <v>0</v>
      </c>
      <c r="BD312" s="11">
        <f t="shared" si="262"/>
        <v>0</v>
      </c>
      <c r="BE312" s="11">
        <v>0</v>
      </c>
      <c r="BF312" s="11">
        <f>320</f>
        <v>320</v>
      </c>
      <c r="BH312" s="11">
        <f t="shared" si="263"/>
        <v>0</v>
      </c>
      <c r="BI312" s="11">
        <f t="shared" si="264"/>
        <v>0</v>
      </c>
      <c r="BJ312" s="11">
        <f t="shared" si="265"/>
        <v>0</v>
      </c>
      <c r="BK312" s="11"/>
      <c r="BL312" s="11">
        <v>781</v>
      </c>
    </row>
    <row r="313" spans="1:64" ht="15" customHeight="1">
      <c r="A313" s="9" t="s">
        <v>157</v>
      </c>
      <c r="B313" s="10" t="s">
        <v>753</v>
      </c>
      <c r="C313" s="366" t="s">
        <v>224</v>
      </c>
      <c r="D313" s="366"/>
      <c r="E313" s="366"/>
      <c r="F313" s="366"/>
      <c r="G313" s="10" t="s">
        <v>216</v>
      </c>
      <c r="H313" s="11">
        <v>2</v>
      </c>
      <c r="I313" s="11">
        <v>0</v>
      </c>
      <c r="J313" s="11">
        <f t="shared" si="244"/>
        <v>0</v>
      </c>
      <c r="K313" s="11">
        <f t="shared" si="245"/>
        <v>0</v>
      </c>
      <c r="L313" s="11">
        <f t="shared" si="246"/>
        <v>0</v>
      </c>
      <c r="M313" s="52" t="s">
        <v>575</v>
      </c>
      <c r="Z313" s="11">
        <f t="shared" si="247"/>
        <v>0</v>
      </c>
      <c r="AB313" s="11">
        <f t="shared" si="248"/>
        <v>0</v>
      </c>
      <c r="AC313" s="11">
        <f t="shared" si="249"/>
        <v>0</v>
      </c>
      <c r="AD313" s="11">
        <f t="shared" si="250"/>
        <v>0</v>
      </c>
      <c r="AE313" s="11">
        <f t="shared" si="251"/>
        <v>0</v>
      </c>
      <c r="AF313" s="11">
        <f t="shared" si="252"/>
        <v>0</v>
      </c>
      <c r="AG313" s="11">
        <f t="shared" si="253"/>
        <v>0</v>
      </c>
      <c r="AH313" s="11">
        <f t="shared" si="254"/>
        <v>0</v>
      </c>
      <c r="AI313" s="40" t="s">
        <v>586</v>
      </c>
      <c r="AJ313" s="11">
        <f t="shared" si="255"/>
        <v>0</v>
      </c>
      <c r="AK313" s="11">
        <f t="shared" si="256"/>
        <v>0</v>
      </c>
      <c r="AL313" s="11">
        <f t="shared" si="257"/>
        <v>0</v>
      </c>
      <c r="AN313" s="11">
        <v>21</v>
      </c>
      <c r="AO313" s="11">
        <f>I313*0.0599686028257457</f>
        <v>0</v>
      </c>
      <c r="AP313" s="11">
        <f>I313*(1-0.0599686028257457)</f>
        <v>0</v>
      </c>
      <c r="AQ313" s="12" t="s">
        <v>845</v>
      </c>
      <c r="AV313" s="11">
        <f t="shared" si="258"/>
        <v>0</v>
      </c>
      <c r="AW313" s="11">
        <f t="shared" si="259"/>
        <v>0</v>
      </c>
      <c r="AX313" s="11">
        <f t="shared" si="260"/>
        <v>0</v>
      </c>
      <c r="AY313" s="12" t="s">
        <v>392</v>
      </c>
      <c r="AZ313" s="12" t="s">
        <v>383</v>
      </c>
      <c r="BA313" s="40" t="s">
        <v>647</v>
      </c>
      <c r="BC313" s="11">
        <f t="shared" si="261"/>
        <v>0</v>
      </c>
      <c r="BD313" s="11">
        <f t="shared" si="262"/>
        <v>0</v>
      </c>
      <c r="BE313" s="11">
        <v>0</v>
      </c>
      <c r="BF313" s="11">
        <f>321</f>
        <v>321</v>
      </c>
      <c r="BH313" s="11">
        <f t="shared" si="263"/>
        <v>0</v>
      </c>
      <c r="BI313" s="11">
        <f t="shared" si="264"/>
        <v>0</v>
      </c>
      <c r="BJ313" s="11">
        <f t="shared" si="265"/>
        <v>0</v>
      </c>
      <c r="BK313" s="11"/>
      <c r="BL313" s="11">
        <v>781</v>
      </c>
    </row>
    <row r="314" spans="1:64" ht="15" customHeight="1">
      <c r="A314" s="9" t="s">
        <v>263</v>
      </c>
      <c r="B314" s="10" t="s">
        <v>232</v>
      </c>
      <c r="C314" s="366" t="s">
        <v>427</v>
      </c>
      <c r="D314" s="366"/>
      <c r="E314" s="366"/>
      <c r="F314" s="366"/>
      <c r="G314" s="10" t="s">
        <v>700</v>
      </c>
      <c r="H314" s="11">
        <v>91.4</v>
      </c>
      <c r="I314" s="11">
        <v>0</v>
      </c>
      <c r="J314" s="11">
        <f t="shared" si="244"/>
        <v>0</v>
      </c>
      <c r="K314" s="11">
        <f t="shared" si="245"/>
        <v>0</v>
      </c>
      <c r="L314" s="11">
        <f t="shared" si="246"/>
        <v>0</v>
      </c>
      <c r="M314" s="52" t="s">
        <v>575</v>
      </c>
      <c r="Z314" s="11">
        <f t="shared" si="247"/>
        <v>0</v>
      </c>
      <c r="AB314" s="11">
        <f t="shared" si="248"/>
        <v>0</v>
      </c>
      <c r="AC314" s="11">
        <f t="shared" si="249"/>
        <v>0</v>
      </c>
      <c r="AD314" s="11">
        <f t="shared" si="250"/>
        <v>0</v>
      </c>
      <c r="AE314" s="11">
        <f t="shared" si="251"/>
        <v>0</v>
      </c>
      <c r="AF314" s="11">
        <f t="shared" si="252"/>
        <v>0</v>
      </c>
      <c r="AG314" s="11">
        <f t="shared" si="253"/>
        <v>0</v>
      </c>
      <c r="AH314" s="11">
        <f t="shared" si="254"/>
        <v>0</v>
      </c>
      <c r="AI314" s="40" t="s">
        <v>586</v>
      </c>
      <c r="AJ314" s="11">
        <f t="shared" si="255"/>
        <v>0</v>
      </c>
      <c r="AK314" s="11">
        <f t="shared" si="256"/>
        <v>0</v>
      </c>
      <c r="AL314" s="11">
        <f t="shared" si="257"/>
        <v>0</v>
      </c>
      <c r="AN314" s="11">
        <v>21</v>
      </c>
      <c r="AO314" s="11">
        <f>I314*0.762903811252269</f>
        <v>0</v>
      </c>
      <c r="AP314" s="11">
        <f>I314*(1-0.762903811252269)</f>
        <v>0</v>
      </c>
      <c r="AQ314" s="12" t="s">
        <v>845</v>
      </c>
      <c r="AV314" s="11">
        <f t="shared" si="258"/>
        <v>0</v>
      </c>
      <c r="AW314" s="11">
        <f t="shared" si="259"/>
        <v>0</v>
      </c>
      <c r="AX314" s="11">
        <f t="shared" si="260"/>
        <v>0</v>
      </c>
      <c r="AY314" s="12" t="s">
        <v>392</v>
      </c>
      <c r="AZ314" s="12" t="s">
        <v>383</v>
      </c>
      <c r="BA314" s="40" t="s">
        <v>647</v>
      </c>
      <c r="BC314" s="11">
        <f t="shared" si="261"/>
        <v>0</v>
      </c>
      <c r="BD314" s="11">
        <f t="shared" si="262"/>
        <v>0</v>
      </c>
      <c r="BE314" s="11">
        <v>0</v>
      </c>
      <c r="BF314" s="11">
        <f>322</f>
        <v>322</v>
      </c>
      <c r="BH314" s="11">
        <f t="shared" si="263"/>
        <v>0</v>
      </c>
      <c r="BI314" s="11">
        <f t="shared" si="264"/>
        <v>0</v>
      </c>
      <c r="BJ314" s="11">
        <f t="shared" si="265"/>
        <v>0</v>
      </c>
      <c r="BK314" s="11"/>
      <c r="BL314" s="11">
        <v>781</v>
      </c>
    </row>
    <row r="315" spans="1:64" ht="15" customHeight="1">
      <c r="A315" s="9" t="s">
        <v>439</v>
      </c>
      <c r="B315" s="10" t="s">
        <v>123</v>
      </c>
      <c r="C315" s="366" t="s">
        <v>295</v>
      </c>
      <c r="D315" s="366"/>
      <c r="E315" s="366"/>
      <c r="F315" s="366"/>
      <c r="G315" s="10" t="s">
        <v>700</v>
      </c>
      <c r="H315" s="11">
        <v>9.9</v>
      </c>
      <c r="I315" s="11">
        <v>0</v>
      </c>
      <c r="J315" s="11">
        <f t="shared" si="244"/>
        <v>0</v>
      </c>
      <c r="K315" s="11">
        <f t="shared" si="245"/>
        <v>0</v>
      </c>
      <c r="L315" s="11">
        <f t="shared" si="246"/>
        <v>0</v>
      </c>
      <c r="M315" s="52" t="s">
        <v>575</v>
      </c>
      <c r="Z315" s="11">
        <f t="shared" si="247"/>
        <v>0</v>
      </c>
      <c r="AB315" s="11">
        <f t="shared" si="248"/>
        <v>0</v>
      </c>
      <c r="AC315" s="11">
        <f t="shared" si="249"/>
        <v>0</v>
      </c>
      <c r="AD315" s="11">
        <f t="shared" si="250"/>
        <v>0</v>
      </c>
      <c r="AE315" s="11">
        <f t="shared" si="251"/>
        <v>0</v>
      </c>
      <c r="AF315" s="11">
        <f t="shared" si="252"/>
        <v>0</v>
      </c>
      <c r="AG315" s="11">
        <f t="shared" si="253"/>
        <v>0</v>
      </c>
      <c r="AH315" s="11">
        <f t="shared" si="254"/>
        <v>0</v>
      </c>
      <c r="AI315" s="40" t="s">
        <v>586</v>
      </c>
      <c r="AJ315" s="11">
        <f t="shared" si="255"/>
        <v>0</v>
      </c>
      <c r="AK315" s="11">
        <f t="shared" si="256"/>
        <v>0</v>
      </c>
      <c r="AL315" s="11">
        <f t="shared" si="257"/>
        <v>0</v>
      </c>
      <c r="AN315" s="11">
        <v>21</v>
      </c>
      <c r="AO315" s="11">
        <f>I315*0.405476475967889</f>
        <v>0</v>
      </c>
      <c r="AP315" s="11">
        <f>I315*(1-0.405476475967889)</f>
        <v>0</v>
      </c>
      <c r="AQ315" s="12" t="s">
        <v>845</v>
      </c>
      <c r="AV315" s="11">
        <f t="shared" si="258"/>
        <v>0</v>
      </c>
      <c r="AW315" s="11">
        <f t="shared" si="259"/>
        <v>0</v>
      </c>
      <c r="AX315" s="11">
        <f t="shared" si="260"/>
        <v>0</v>
      </c>
      <c r="AY315" s="12" t="s">
        <v>392</v>
      </c>
      <c r="AZ315" s="12" t="s">
        <v>383</v>
      </c>
      <c r="BA315" s="40" t="s">
        <v>647</v>
      </c>
      <c r="BC315" s="11">
        <f t="shared" si="261"/>
        <v>0</v>
      </c>
      <c r="BD315" s="11">
        <f t="shared" si="262"/>
        <v>0</v>
      </c>
      <c r="BE315" s="11">
        <v>0</v>
      </c>
      <c r="BF315" s="11">
        <f>323</f>
        <v>323</v>
      </c>
      <c r="BH315" s="11">
        <f t="shared" si="263"/>
        <v>0</v>
      </c>
      <c r="BI315" s="11">
        <f t="shared" si="264"/>
        <v>0</v>
      </c>
      <c r="BJ315" s="11">
        <f t="shared" si="265"/>
        <v>0</v>
      </c>
      <c r="BK315" s="11"/>
      <c r="BL315" s="11">
        <v>781</v>
      </c>
    </row>
    <row r="316" spans="1:64" ht="15" customHeight="1">
      <c r="A316" s="9" t="s">
        <v>625</v>
      </c>
      <c r="B316" s="10" t="s">
        <v>37</v>
      </c>
      <c r="C316" s="366" t="s">
        <v>38</v>
      </c>
      <c r="D316" s="366"/>
      <c r="E316" s="366"/>
      <c r="F316" s="366"/>
      <c r="G316" s="10" t="s">
        <v>401</v>
      </c>
      <c r="H316" s="11">
        <v>3.746</v>
      </c>
      <c r="I316" s="11">
        <v>0</v>
      </c>
      <c r="J316" s="11">
        <f t="shared" si="244"/>
        <v>0</v>
      </c>
      <c r="K316" s="11">
        <f t="shared" si="245"/>
        <v>0</v>
      </c>
      <c r="L316" s="11">
        <f t="shared" si="246"/>
        <v>0</v>
      </c>
      <c r="M316" s="52" t="s">
        <v>575</v>
      </c>
      <c r="Z316" s="11">
        <f t="shared" si="247"/>
        <v>0</v>
      </c>
      <c r="AB316" s="11">
        <f t="shared" si="248"/>
        <v>0</v>
      </c>
      <c r="AC316" s="11">
        <f t="shared" si="249"/>
        <v>0</v>
      </c>
      <c r="AD316" s="11">
        <f t="shared" si="250"/>
        <v>0</v>
      </c>
      <c r="AE316" s="11">
        <f t="shared" si="251"/>
        <v>0</v>
      </c>
      <c r="AF316" s="11">
        <f t="shared" si="252"/>
        <v>0</v>
      </c>
      <c r="AG316" s="11">
        <f t="shared" si="253"/>
        <v>0</v>
      </c>
      <c r="AH316" s="11">
        <f t="shared" si="254"/>
        <v>0</v>
      </c>
      <c r="AI316" s="40" t="s">
        <v>586</v>
      </c>
      <c r="AJ316" s="11">
        <f t="shared" si="255"/>
        <v>0</v>
      </c>
      <c r="AK316" s="11">
        <f t="shared" si="256"/>
        <v>0</v>
      </c>
      <c r="AL316" s="11">
        <f t="shared" si="257"/>
        <v>0</v>
      </c>
      <c r="AN316" s="11">
        <v>21</v>
      </c>
      <c r="AO316" s="11">
        <f>I316*0</f>
        <v>0</v>
      </c>
      <c r="AP316" s="11">
        <f>I316*(1-0)</f>
        <v>0</v>
      </c>
      <c r="AQ316" s="12" t="s">
        <v>454</v>
      </c>
      <c r="AV316" s="11">
        <f t="shared" si="258"/>
        <v>0</v>
      </c>
      <c r="AW316" s="11">
        <f t="shared" si="259"/>
        <v>0</v>
      </c>
      <c r="AX316" s="11">
        <f t="shared" si="260"/>
        <v>0</v>
      </c>
      <c r="AY316" s="12" t="s">
        <v>392</v>
      </c>
      <c r="AZ316" s="12" t="s">
        <v>383</v>
      </c>
      <c r="BA316" s="40" t="s">
        <v>647</v>
      </c>
      <c r="BC316" s="11">
        <f t="shared" si="261"/>
        <v>0</v>
      </c>
      <c r="BD316" s="11">
        <f t="shared" si="262"/>
        <v>0</v>
      </c>
      <c r="BE316" s="11">
        <v>0</v>
      </c>
      <c r="BF316" s="11">
        <f>324</f>
        <v>324</v>
      </c>
      <c r="BH316" s="11">
        <f t="shared" si="263"/>
        <v>0</v>
      </c>
      <c r="BI316" s="11">
        <f t="shared" si="264"/>
        <v>0</v>
      </c>
      <c r="BJ316" s="11">
        <f t="shared" si="265"/>
        <v>0</v>
      </c>
      <c r="BK316" s="11"/>
      <c r="BL316" s="11">
        <v>781</v>
      </c>
    </row>
    <row r="317" spans="1:64" ht="15" customHeight="1">
      <c r="A317" s="48" t="s">
        <v>586</v>
      </c>
      <c r="B317" s="49" t="s">
        <v>489</v>
      </c>
      <c r="C317" s="392" t="s">
        <v>672</v>
      </c>
      <c r="D317" s="392"/>
      <c r="E317" s="392"/>
      <c r="F317" s="392"/>
      <c r="G317" s="50" t="s">
        <v>783</v>
      </c>
      <c r="H317" s="50" t="s">
        <v>783</v>
      </c>
      <c r="I317" s="50" t="s">
        <v>783</v>
      </c>
      <c r="J317" s="36">
        <f>SUM(J318:J324)</f>
        <v>0</v>
      </c>
      <c r="K317" s="36">
        <f>SUM(K318:K324)</f>
        <v>0</v>
      </c>
      <c r="L317" s="36">
        <f>SUM(L318:L324)</f>
        <v>0</v>
      </c>
      <c r="M317" s="51" t="s">
        <v>586</v>
      </c>
      <c r="AI317" s="40" t="s">
        <v>586</v>
      </c>
      <c r="AS317" s="36">
        <f>SUM(AJ318:AJ324)</f>
        <v>0</v>
      </c>
      <c r="AT317" s="36">
        <f>SUM(AK318:AK324)</f>
        <v>0</v>
      </c>
      <c r="AU317" s="36">
        <f>SUM(AL318:AL324)</f>
        <v>0</v>
      </c>
    </row>
    <row r="318" spans="1:64" ht="15" customHeight="1">
      <c r="A318" s="9" t="s">
        <v>105</v>
      </c>
      <c r="B318" s="10" t="s">
        <v>298</v>
      </c>
      <c r="C318" s="366" t="s">
        <v>458</v>
      </c>
      <c r="D318" s="366"/>
      <c r="E318" s="366"/>
      <c r="F318" s="366"/>
      <c r="G318" s="10" t="s">
        <v>700</v>
      </c>
      <c r="H318" s="11">
        <v>34</v>
      </c>
      <c r="I318" s="11">
        <v>0</v>
      </c>
      <c r="J318" s="11">
        <f>H318*AO318</f>
        <v>0</v>
      </c>
      <c r="K318" s="11">
        <f>H318*AP318</f>
        <v>0</v>
      </c>
      <c r="L318" s="11">
        <f>H318*I318</f>
        <v>0</v>
      </c>
      <c r="M318" s="52" t="s">
        <v>575</v>
      </c>
      <c r="Z318" s="11">
        <f>IF(AQ318="5",BJ318,0)</f>
        <v>0</v>
      </c>
      <c r="AB318" s="11">
        <f>IF(AQ318="1",BH318,0)</f>
        <v>0</v>
      </c>
      <c r="AC318" s="11">
        <f>IF(AQ318="1",BI318,0)</f>
        <v>0</v>
      </c>
      <c r="AD318" s="11">
        <f>IF(AQ318="7",BH318,0)</f>
        <v>0</v>
      </c>
      <c r="AE318" s="11">
        <f>IF(AQ318="7",BI318,0)</f>
        <v>0</v>
      </c>
      <c r="AF318" s="11">
        <f>IF(AQ318="2",BH318,0)</f>
        <v>0</v>
      </c>
      <c r="AG318" s="11">
        <f>IF(AQ318="2",BI318,0)</f>
        <v>0</v>
      </c>
      <c r="AH318" s="11">
        <f>IF(AQ318="0",BJ318,0)</f>
        <v>0</v>
      </c>
      <c r="AI318" s="40" t="s">
        <v>586</v>
      </c>
      <c r="AJ318" s="11">
        <f>IF(AN318=0,L318,0)</f>
        <v>0</v>
      </c>
      <c r="AK318" s="11">
        <f>IF(AN318=15,L318,0)</f>
        <v>0</v>
      </c>
      <c r="AL318" s="11">
        <f>IF(AN318=21,L318,0)</f>
        <v>0</v>
      </c>
      <c r="AN318" s="11">
        <v>21</v>
      </c>
      <c r="AO318" s="11">
        <f>I318*0.105747126436782</f>
        <v>0</v>
      </c>
      <c r="AP318" s="11">
        <f>I318*(1-0.105747126436782)</f>
        <v>0</v>
      </c>
      <c r="AQ318" s="12" t="s">
        <v>845</v>
      </c>
      <c r="AV318" s="11">
        <f>AW318+AX318</f>
        <v>0</v>
      </c>
      <c r="AW318" s="11">
        <f>H318*AO318</f>
        <v>0</v>
      </c>
      <c r="AX318" s="11">
        <f>H318*AP318</f>
        <v>0</v>
      </c>
      <c r="AY318" s="12" t="s">
        <v>202</v>
      </c>
      <c r="AZ318" s="12" t="s">
        <v>383</v>
      </c>
      <c r="BA318" s="40" t="s">
        <v>647</v>
      </c>
      <c r="BC318" s="11">
        <f>AW318+AX318</f>
        <v>0</v>
      </c>
      <c r="BD318" s="11">
        <f>I318/(100-BE318)*100</f>
        <v>0</v>
      </c>
      <c r="BE318" s="11">
        <v>0</v>
      </c>
      <c r="BF318" s="11">
        <f>326</f>
        <v>326</v>
      </c>
      <c r="BH318" s="11">
        <f>H318*AO318</f>
        <v>0</v>
      </c>
      <c r="BI318" s="11">
        <f>H318*AP318</f>
        <v>0</v>
      </c>
      <c r="BJ318" s="11">
        <f>H318*I318</f>
        <v>0</v>
      </c>
      <c r="BK318" s="11"/>
      <c r="BL318" s="11">
        <v>783</v>
      </c>
    </row>
    <row r="319" spans="1:64" ht="15" customHeight="1">
      <c r="A319" s="9" t="s">
        <v>847</v>
      </c>
      <c r="B319" s="10" t="s">
        <v>802</v>
      </c>
      <c r="C319" s="366" t="s">
        <v>882</v>
      </c>
      <c r="D319" s="366"/>
      <c r="E319" s="366"/>
      <c r="F319" s="366"/>
      <c r="G319" s="10" t="s">
        <v>700</v>
      </c>
      <c r="H319" s="11">
        <v>34</v>
      </c>
      <c r="I319" s="11">
        <v>0</v>
      </c>
      <c r="J319" s="11">
        <f>H319*AO319</f>
        <v>0</v>
      </c>
      <c r="K319" s="11">
        <f>H319*AP319</f>
        <v>0</v>
      </c>
      <c r="L319" s="11">
        <f>H319*I319</f>
        <v>0</v>
      </c>
      <c r="M319" s="52" t="s">
        <v>575</v>
      </c>
      <c r="Z319" s="11">
        <f>IF(AQ319="5",BJ319,0)</f>
        <v>0</v>
      </c>
      <c r="AB319" s="11">
        <f>IF(AQ319="1",BH319,0)</f>
        <v>0</v>
      </c>
      <c r="AC319" s="11">
        <f>IF(AQ319="1",BI319,0)</f>
        <v>0</v>
      </c>
      <c r="AD319" s="11">
        <f>IF(AQ319="7",BH319,0)</f>
        <v>0</v>
      </c>
      <c r="AE319" s="11">
        <f>IF(AQ319="7",BI319,0)</f>
        <v>0</v>
      </c>
      <c r="AF319" s="11">
        <f>IF(AQ319="2",BH319,0)</f>
        <v>0</v>
      </c>
      <c r="AG319" s="11">
        <f>IF(AQ319="2",BI319,0)</f>
        <v>0</v>
      </c>
      <c r="AH319" s="11">
        <f>IF(AQ319="0",BJ319,0)</f>
        <v>0</v>
      </c>
      <c r="AI319" s="40" t="s">
        <v>586</v>
      </c>
      <c r="AJ319" s="11">
        <f>IF(AN319=0,L319,0)</f>
        <v>0</v>
      </c>
      <c r="AK319" s="11">
        <f>IF(AN319=15,L319,0)</f>
        <v>0</v>
      </c>
      <c r="AL319" s="11">
        <f>IF(AN319=21,L319,0)</f>
        <v>0</v>
      </c>
      <c r="AN319" s="11">
        <v>21</v>
      </c>
      <c r="AO319" s="11">
        <f>I319*0.230328867235079</f>
        <v>0</v>
      </c>
      <c r="AP319" s="11">
        <f>I319*(1-0.230328867235079)</f>
        <v>0</v>
      </c>
      <c r="AQ319" s="12" t="s">
        <v>845</v>
      </c>
      <c r="AV319" s="11">
        <f>AW319+AX319</f>
        <v>0</v>
      </c>
      <c r="AW319" s="11">
        <f>H319*AO319</f>
        <v>0</v>
      </c>
      <c r="AX319" s="11">
        <f>H319*AP319</f>
        <v>0</v>
      </c>
      <c r="AY319" s="12" t="s">
        <v>202</v>
      </c>
      <c r="AZ319" s="12" t="s">
        <v>383</v>
      </c>
      <c r="BA319" s="40" t="s">
        <v>647</v>
      </c>
      <c r="BC319" s="11">
        <f>AW319+AX319</f>
        <v>0</v>
      </c>
      <c r="BD319" s="11">
        <f>I319/(100-BE319)*100</f>
        <v>0</v>
      </c>
      <c r="BE319" s="11">
        <v>0</v>
      </c>
      <c r="BF319" s="11">
        <f>327</f>
        <v>327</v>
      </c>
      <c r="BH319" s="11">
        <f>H319*AO319</f>
        <v>0</v>
      </c>
      <c r="BI319" s="11">
        <f>H319*AP319</f>
        <v>0</v>
      </c>
      <c r="BJ319" s="11">
        <f>H319*I319</f>
        <v>0</v>
      </c>
      <c r="BK319" s="11"/>
      <c r="BL319" s="11">
        <v>783</v>
      </c>
    </row>
    <row r="320" spans="1:64" ht="15" customHeight="1">
      <c r="A320" s="9" t="s">
        <v>39</v>
      </c>
      <c r="B320" s="10" t="s">
        <v>335</v>
      </c>
      <c r="C320" s="366" t="s">
        <v>558</v>
      </c>
      <c r="D320" s="366"/>
      <c r="E320" s="366"/>
      <c r="F320" s="366"/>
      <c r="G320" s="10" t="s">
        <v>830</v>
      </c>
      <c r="H320" s="11">
        <v>46.87</v>
      </c>
      <c r="I320" s="11">
        <v>0</v>
      </c>
      <c r="J320" s="11">
        <f>H320*AO320</f>
        <v>0</v>
      </c>
      <c r="K320" s="11">
        <f>H320*AP320</f>
        <v>0</v>
      </c>
      <c r="L320" s="11">
        <f>H320*I320</f>
        <v>0</v>
      </c>
      <c r="M320" s="52" t="s">
        <v>575</v>
      </c>
      <c r="Z320" s="11">
        <f>IF(AQ320="5",BJ320,0)</f>
        <v>0</v>
      </c>
      <c r="AB320" s="11">
        <f>IF(AQ320="1",BH320,0)</f>
        <v>0</v>
      </c>
      <c r="AC320" s="11">
        <f>IF(AQ320="1",BI320,0)</f>
        <v>0</v>
      </c>
      <c r="AD320" s="11">
        <f>IF(AQ320="7",BH320,0)</f>
        <v>0</v>
      </c>
      <c r="AE320" s="11">
        <f>IF(AQ320="7",BI320,0)</f>
        <v>0</v>
      </c>
      <c r="AF320" s="11">
        <f>IF(AQ320="2",BH320,0)</f>
        <v>0</v>
      </c>
      <c r="AG320" s="11">
        <f>IF(AQ320="2",BI320,0)</f>
        <v>0</v>
      </c>
      <c r="AH320" s="11">
        <f>IF(AQ320="0",BJ320,0)</f>
        <v>0</v>
      </c>
      <c r="AI320" s="40" t="s">
        <v>586</v>
      </c>
      <c r="AJ320" s="11">
        <f>IF(AN320=0,L320,0)</f>
        <v>0</v>
      </c>
      <c r="AK320" s="11">
        <f>IF(AN320=15,L320,0)</f>
        <v>0</v>
      </c>
      <c r="AL320" s="11">
        <f>IF(AN320=21,L320,0)</f>
        <v>0</v>
      </c>
      <c r="AN320" s="11">
        <v>21</v>
      </c>
      <c r="AO320" s="11">
        <f>I320*0.141500552760185</f>
        <v>0</v>
      </c>
      <c r="AP320" s="11">
        <f>I320*(1-0.141500552760185)</f>
        <v>0</v>
      </c>
      <c r="AQ320" s="12" t="s">
        <v>845</v>
      </c>
      <c r="AV320" s="11">
        <f>AW320+AX320</f>
        <v>0</v>
      </c>
      <c r="AW320" s="11">
        <f>H320*AO320</f>
        <v>0</v>
      </c>
      <c r="AX320" s="11">
        <f>H320*AP320</f>
        <v>0</v>
      </c>
      <c r="AY320" s="12" t="s">
        <v>202</v>
      </c>
      <c r="AZ320" s="12" t="s">
        <v>383</v>
      </c>
      <c r="BA320" s="40" t="s">
        <v>647</v>
      </c>
      <c r="BC320" s="11">
        <f>AW320+AX320</f>
        <v>0</v>
      </c>
      <c r="BD320" s="11">
        <f>I320/(100-BE320)*100</f>
        <v>0</v>
      </c>
      <c r="BE320" s="11">
        <v>0</v>
      </c>
      <c r="BF320" s="11">
        <f>328</f>
        <v>328</v>
      </c>
      <c r="BH320" s="11">
        <f>H320*AO320</f>
        <v>0</v>
      </c>
      <c r="BI320" s="11">
        <f>H320*AP320</f>
        <v>0</v>
      </c>
      <c r="BJ320" s="11">
        <f>H320*I320</f>
        <v>0</v>
      </c>
      <c r="BK320" s="11"/>
      <c r="BL320" s="11">
        <v>783</v>
      </c>
    </row>
    <row r="321" spans="1:64" ht="13.5" customHeight="1">
      <c r="A321" s="53"/>
      <c r="B321" s="54" t="s">
        <v>440</v>
      </c>
      <c r="C321" s="394" t="s">
        <v>637</v>
      </c>
      <c r="D321" s="395"/>
      <c r="E321" s="395"/>
      <c r="F321" s="395"/>
      <c r="G321" s="395"/>
      <c r="H321" s="395"/>
      <c r="I321" s="395"/>
      <c r="J321" s="395"/>
      <c r="K321" s="395"/>
      <c r="L321" s="395"/>
      <c r="M321" s="396"/>
    </row>
    <row r="322" spans="1:64" ht="15" customHeight="1">
      <c r="A322" s="9" t="s">
        <v>478</v>
      </c>
      <c r="B322" s="10" t="s">
        <v>752</v>
      </c>
      <c r="C322" s="366" t="s">
        <v>657</v>
      </c>
      <c r="D322" s="366"/>
      <c r="E322" s="366"/>
      <c r="F322" s="366"/>
      <c r="G322" s="10" t="s">
        <v>830</v>
      </c>
      <c r="H322" s="11">
        <v>46.87</v>
      </c>
      <c r="I322" s="11">
        <v>0</v>
      </c>
      <c r="J322" s="11">
        <f>H322*AO322</f>
        <v>0</v>
      </c>
      <c r="K322" s="11">
        <f>H322*AP322</f>
        <v>0</v>
      </c>
      <c r="L322" s="11">
        <f>H322*I322</f>
        <v>0</v>
      </c>
      <c r="M322" s="52" t="s">
        <v>575</v>
      </c>
      <c r="Z322" s="11">
        <f>IF(AQ322="5",BJ322,0)</f>
        <v>0</v>
      </c>
      <c r="AB322" s="11">
        <f>IF(AQ322="1",BH322,0)</f>
        <v>0</v>
      </c>
      <c r="AC322" s="11">
        <f>IF(AQ322="1",BI322,0)</f>
        <v>0</v>
      </c>
      <c r="AD322" s="11">
        <f>IF(AQ322="7",BH322,0)</f>
        <v>0</v>
      </c>
      <c r="AE322" s="11">
        <f>IF(AQ322="7",BI322,0)</f>
        <v>0</v>
      </c>
      <c r="AF322" s="11">
        <f>IF(AQ322="2",BH322,0)</f>
        <v>0</v>
      </c>
      <c r="AG322" s="11">
        <f>IF(AQ322="2",BI322,0)</f>
        <v>0</v>
      </c>
      <c r="AH322" s="11">
        <f>IF(AQ322="0",BJ322,0)</f>
        <v>0</v>
      </c>
      <c r="AI322" s="40" t="s">
        <v>586</v>
      </c>
      <c r="AJ322" s="11">
        <f>IF(AN322=0,L322,0)</f>
        <v>0</v>
      </c>
      <c r="AK322" s="11">
        <f>IF(AN322=15,L322,0)</f>
        <v>0</v>
      </c>
      <c r="AL322" s="11">
        <f>IF(AN322=21,L322,0)</f>
        <v>0</v>
      </c>
      <c r="AN322" s="11">
        <v>21</v>
      </c>
      <c r="AO322" s="11">
        <f>I322*0.457321575810094</f>
        <v>0</v>
      </c>
      <c r="AP322" s="11">
        <f>I322*(1-0.457321575810094)</f>
        <v>0</v>
      </c>
      <c r="AQ322" s="12" t="s">
        <v>845</v>
      </c>
      <c r="AV322" s="11">
        <f>AW322+AX322</f>
        <v>0</v>
      </c>
      <c r="AW322" s="11">
        <f>H322*AO322</f>
        <v>0</v>
      </c>
      <c r="AX322" s="11">
        <f>H322*AP322</f>
        <v>0</v>
      </c>
      <c r="AY322" s="12" t="s">
        <v>202</v>
      </c>
      <c r="AZ322" s="12" t="s">
        <v>383</v>
      </c>
      <c r="BA322" s="40" t="s">
        <v>647</v>
      </c>
      <c r="BC322" s="11">
        <f>AW322+AX322</f>
        <v>0</v>
      </c>
      <c r="BD322" s="11">
        <f>I322/(100-BE322)*100</f>
        <v>0</v>
      </c>
      <c r="BE322" s="11">
        <v>0</v>
      </c>
      <c r="BF322" s="11">
        <f>330</f>
        <v>330</v>
      </c>
      <c r="BH322" s="11">
        <f>H322*AO322</f>
        <v>0</v>
      </c>
      <c r="BI322" s="11">
        <f>H322*AP322</f>
        <v>0</v>
      </c>
      <c r="BJ322" s="11">
        <f>H322*I322</f>
        <v>0</v>
      </c>
      <c r="BK322" s="11"/>
      <c r="BL322" s="11">
        <v>783</v>
      </c>
    </row>
    <row r="323" spans="1:64" ht="15" customHeight="1">
      <c r="A323" s="9" t="s">
        <v>916</v>
      </c>
      <c r="B323" s="10" t="s">
        <v>574</v>
      </c>
      <c r="C323" s="366" t="s">
        <v>518</v>
      </c>
      <c r="D323" s="366"/>
      <c r="E323" s="366"/>
      <c r="F323" s="366"/>
      <c r="G323" s="10" t="s">
        <v>700</v>
      </c>
      <c r="H323" s="11">
        <v>20</v>
      </c>
      <c r="I323" s="11">
        <v>0</v>
      </c>
      <c r="J323" s="11">
        <f>H323*AO323</f>
        <v>0</v>
      </c>
      <c r="K323" s="11">
        <f>H323*AP323</f>
        <v>0</v>
      </c>
      <c r="L323" s="11">
        <f>H323*I323</f>
        <v>0</v>
      </c>
      <c r="M323" s="52" t="s">
        <v>575</v>
      </c>
      <c r="Z323" s="11">
        <f>IF(AQ323="5",BJ323,0)</f>
        <v>0</v>
      </c>
      <c r="AB323" s="11">
        <f>IF(AQ323="1",BH323,0)</f>
        <v>0</v>
      </c>
      <c r="AC323" s="11">
        <f>IF(AQ323="1",BI323,0)</f>
        <v>0</v>
      </c>
      <c r="AD323" s="11">
        <f>IF(AQ323="7",BH323,0)</f>
        <v>0</v>
      </c>
      <c r="AE323" s="11">
        <f>IF(AQ323="7",BI323,0)</f>
        <v>0</v>
      </c>
      <c r="AF323" s="11">
        <f>IF(AQ323="2",BH323,0)</f>
        <v>0</v>
      </c>
      <c r="AG323" s="11">
        <f>IF(AQ323="2",BI323,0)</f>
        <v>0</v>
      </c>
      <c r="AH323" s="11">
        <f>IF(AQ323="0",BJ323,0)</f>
        <v>0</v>
      </c>
      <c r="AI323" s="40" t="s">
        <v>586</v>
      </c>
      <c r="AJ323" s="11">
        <f>IF(AN323=0,L323,0)</f>
        <v>0</v>
      </c>
      <c r="AK323" s="11">
        <f>IF(AN323=15,L323,0)</f>
        <v>0</v>
      </c>
      <c r="AL323" s="11">
        <f>IF(AN323=21,L323,0)</f>
        <v>0</v>
      </c>
      <c r="AN323" s="11">
        <v>21</v>
      </c>
      <c r="AO323" s="11">
        <f>I323*0.0808435852372584</f>
        <v>0</v>
      </c>
      <c r="AP323" s="11">
        <f>I323*(1-0.0808435852372584)</f>
        <v>0</v>
      </c>
      <c r="AQ323" s="12" t="s">
        <v>845</v>
      </c>
      <c r="AV323" s="11">
        <f>AW323+AX323</f>
        <v>0</v>
      </c>
      <c r="AW323" s="11">
        <f>H323*AO323</f>
        <v>0</v>
      </c>
      <c r="AX323" s="11">
        <f>H323*AP323</f>
        <v>0</v>
      </c>
      <c r="AY323" s="12" t="s">
        <v>202</v>
      </c>
      <c r="AZ323" s="12" t="s">
        <v>383</v>
      </c>
      <c r="BA323" s="40" t="s">
        <v>647</v>
      </c>
      <c r="BC323" s="11">
        <f>AW323+AX323</f>
        <v>0</v>
      </c>
      <c r="BD323" s="11">
        <f>I323/(100-BE323)*100</f>
        <v>0</v>
      </c>
      <c r="BE323" s="11">
        <v>0</v>
      </c>
      <c r="BF323" s="11">
        <f>331</f>
        <v>331</v>
      </c>
      <c r="BH323" s="11">
        <f>H323*AO323</f>
        <v>0</v>
      </c>
      <c r="BI323" s="11">
        <f>H323*AP323</f>
        <v>0</v>
      </c>
      <c r="BJ323" s="11">
        <f>H323*I323</f>
        <v>0</v>
      </c>
      <c r="BK323" s="11"/>
      <c r="BL323" s="11">
        <v>783</v>
      </c>
    </row>
    <row r="324" spans="1:64" ht="15" customHeight="1">
      <c r="A324" s="9" t="s">
        <v>711</v>
      </c>
      <c r="B324" s="10" t="s">
        <v>341</v>
      </c>
      <c r="C324" s="366" t="s">
        <v>730</v>
      </c>
      <c r="D324" s="366"/>
      <c r="E324" s="366"/>
      <c r="F324" s="366"/>
      <c r="G324" s="10" t="s">
        <v>700</v>
      </c>
      <c r="H324" s="11">
        <v>20</v>
      </c>
      <c r="I324" s="11">
        <v>0</v>
      </c>
      <c r="J324" s="11">
        <f>H324*AO324</f>
        <v>0</v>
      </c>
      <c r="K324" s="11">
        <f>H324*AP324</f>
        <v>0</v>
      </c>
      <c r="L324" s="11">
        <f>H324*I324</f>
        <v>0</v>
      </c>
      <c r="M324" s="52" t="s">
        <v>575</v>
      </c>
      <c r="Z324" s="11">
        <f>IF(AQ324="5",BJ324,0)</f>
        <v>0</v>
      </c>
      <c r="AB324" s="11">
        <f>IF(AQ324="1",BH324,0)</f>
        <v>0</v>
      </c>
      <c r="AC324" s="11">
        <f>IF(AQ324="1",BI324,0)</f>
        <v>0</v>
      </c>
      <c r="AD324" s="11">
        <f>IF(AQ324="7",BH324,0)</f>
        <v>0</v>
      </c>
      <c r="AE324" s="11">
        <f>IF(AQ324="7",BI324,0)</f>
        <v>0</v>
      </c>
      <c r="AF324" s="11">
        <f>IF(AQ324="2",BH324,0)</f>
        <v>0</v>
      </c>
      <c r="AG324" s="11">
        <f>IF(AQ324="2",BI324,0)</f>
        <v>0</v>
      </c>
      <c r="AH324" s="11">
        <f>IF(AQ324="0",BJ324,0)</f>
        <v>0</v>
      </c>
      <c r="AI324" s="40" t="s">
        <v>586</v>
      </c>
      <c r="AJ324" s="11">
        <f>IF(AN324=0,L324,0)</f>
        <v>0</v>
      </c>
      <c r="AK324" s="11">
        <f>IF(AN324=15,L324,0)</f>
        <v>0</v>
      </c>
      <c r="AL324" s="11">
        <f>IF(AN324=21,L324,0)</f>
        <v>0</v>
      </c>
      <c r="AN324" s="11">
        <v>21</v>
      </c>
      <c r="AO324" s="11">
        <f>I324*0.245666235446313</f>
        <v>0</v>
      </c>
      <c r="AP324" s="11">
        <f>I324*(1-0.245666235446313)</f>
        <v>0</v>
      </c>
      <c r="AQ324" s="12" t="s">
        <v>845</v>
      </c>
      <c r="AV324" s="11">
        <f>AW324+AX324</f>
        <v>0</v>
      </c>
      <c r="AW324" s="11">
        <f>H324*AO324</f>
        <v>0</v>
      </c>
      <c r="AX324" s="11">
        <f>H324*AP324</f>
        <v>0</v>
      </c>
      <c r="AY324" s="12" t="s">
        <v>202</v>
      </c>
      <c r="AZ324" s="12" t="s">
        <v>383</v>
      </c>
      <c r="BA324" s="40" t="s">
        <v>647</v>
      </c>
      <c r="BC324" s="11">
        <f>AW324+AX324</f>
        <v>0</v>
      </c>
      <c r="BD324" s="11">
        <f>I324/(100-BE324)*100</f>
        <v>0</v>
      </c>
      <c r="BE324" s="11">
        <v>0</v>
      </c>
      <c r="BF324" s="11">
        <f>332</f>
        <v>332</v>
      </c>
      <c r="BH324" s="11">
        <f>H324*AO324</f>
        <v>0</v>
      </c>
      <c r="BI324" s="11">
        <f>H324*AP324</f>
        <v>0</v>
      </c>
      <c r="BJ324" s="11">
        <f>H324*I324</f>
        <v>0</v>
      </c>
      <c r="BK324" s="11"/>
      <c r="BL324" s="11">
        <v>783</v>
      </c>
    </row>
    <row r="325" spans="1:64" ht="15" customHeight="1">
      <c r="A325" s="48" t="s">
        <v>586</v>
      </c>
      <c r="B325" s="49" t="s">
        <v>475</v>
      </c>
      <c r="C325" s="392" t="s">
        <v>13</v>
      </c>
      <c r="D325" s="392"/>
      <c r="E325" s="392"/>
      <c r="F325" s="392"/>
      <c r="G325" s="50" t="s">
        <v>783</v>
      </c>
      <c r="H325" s="50" t="s">
        <v>783</v>
      </c>
      <c r="I325" s="50" t="s">
        <v>783</v>
      </c>
      <c r="J325" s="36">
        <f>SUM(J326:J328)</f>
        <v>0</v>
      </c>
      <c r="K325" s="36">
        <f>SUM(K326:K328)</f>
        <v>0</v>
      </c>
      <c r="L325" s="36">
        <f>SUM(L326:L328)</f>
        <v>0</v>
      </c>
      <c r="M325" s="51" t="s">
        <v>586</v>
      </c>
      <c r="AI325" s="40" t="s">
        <v>586</v>
      </c>
      <c r="AS325" s="36">
        <f>SUM(AJ326:AJ328)</f>
        <v>0</v>
      </c>
      <c r="AT325" s="36">
        <f>SUM(AK326:AK328)</f>
        <v>0</v>
      </c>
      <c r="AU325" s="36">
        <f>SUM(AL326:AL328)</f>
        <v>0</v>
      </c>
    </row>
    <row r="326" spans="1:64" ht="15" customHeight="1">
      <c r="A326" s="9" t="s">
        <v>546</v>
      </c>
      <c r="B326" s="10" t="s">
        <v>285</v>
      </c>
      <c r="C326" s="366" t="s">
        <v>104</v>
      </c>
      <c r="D326" s="366"/>
      <c r="E326" s="366"/>
      <c r="F326" s="366"/>
      <c r="G326" s="10" t="s">
        <v>830</v>
      </c>
      <c r="H326" s="11">
        <v>784.77</v>
      </c>
      <c r="I326" s="11">
        <v>0</v>
      </c>
      <c r="J326" s="11">
        <f>H326*AO326</f>
        <v>0</v>
      </c>
      <c r="K326" s="11">
        <f>H326*AP326</f>
        <v>0</v>
      </c>
      <c r="L326" s="11">
        <f>H326*I326</f>
        <v>0</v>
      </c>
      <c r="M326" s="52" t="s">
        <v>575</v>
      </c>
      <c r="Z326" s="11">
        <f>IF(AQ326="5",BJ326,0)</f>
        <v>0</v>
      </c>
      <c r="AB326" s="11">
        <f>IF(AQ326="1",BH326,0)</f>
        <v>0</v>
      </c>
      <c r="AC326" s="11">
        <f>IF(AQ326="1",BI326,0)</f>
        <v>0</v>
      </c>
      <c r="AD326" s="11">
        <f>IF(AQ326="7",BH326,0)</f>
        <v>0</v>
      </c>
      <c r="AE326" s="11">
        <f>IF(AQ326="7",BI326,0)</f>
        <v>0</v>
      </c>
      <c r="AF326" s="11">
        <f>IF(AQ326="2",BH326,0)</f>
        <v>0</v>
      </c>
      <c r="AG326" s="11">
        <f>IF(AQ326="2",BI326,0)</f>
        <v>0</v>
      </c>
      <c r="AH326" s="11">
        <f>IF(AQ326="0",BJ326,0)</f>
        <v>0</v>
      </c>
      <c r="AI326" s="40" t="s">
        <v>586</v>
      </c>
      <c r="AJ326" s="11">
        <f>IF(AN326=0,L326,0)</f>
        <v>0</v>
      </c>
      <c r="AK326" s="11">
        <f>IF(AN326=15,L326,0)</f>
        <v>0</v>
      </c>
      <c r="AL326" s="11">
        <f>IF(AN326=21,L326,0)</f>
        <v>0</v>
      </c>
      <c r="AN326" s="11">
        <v>21</v>
      </c>
      <c r="AO326" s="11">
        <f>I326*0.240343886552439</f>
        <v>0</v>
      </c>
      <c r="AP326" s="11">
        <f>I326*(1-0.240343886552439)</f>
        <v>0</v>
      </c>
      <c r="AQ326" s="12" t="s">
        <v>845</v>
      </c>
      <c r="AV326" s="11">
        <f>AW326+AX326</f>
        <v>0</v>
      </c>
      <c r="AW326" s="11">
        <f>H326*AO326</f>
        <v>0</v>
      </c>
      <c r="AX326" s="11">
        <f>H326*AP326</f>
        <v>0</v>
      </c>
      <c r="AY326" s="12" t="s">
        <v>746</v>
      </c>
      <c r="AZ326" s="12" t="s">
        <v>383</v>
      </c>
      <c r="BA326" s="40" t="s">
        <v>647</v>
      </c>
      <c r="BC326" s="11">
        <f>AW326+AX326</f>
        <v>0</v>
      </c>
      <c r="BD326" s="11">
        <f>I326/(100-BE326)*100</f>
        <v>0</v>
      </c>
      <c r="BE326" s="11">
        <v>0</v>
      </c>
      <c r="BF326" s="11">
        <f>334</f>
        <v>334</v>
      </c>
      <c r="BH326" s="11">
        <f>H326*AO326</f>
        <v>0</v>
      </c>
      <c r="BI326" s="11">
        <f>H326*AP326</f>
        <v>0</v>
      </c>
      <c r="BJ326" s="11">
        <f>H326*I326</f>
        <v>0</v>
      </c>
      <c r="BK326" s="11"/>
      <c r="BL326" s="11">
        <v>784</v>
      </c>
    </row>
    <row r="327" spans="1:64" ht="15" customHeight="1">
      <c r="A327" s="9" t="s">
        <v>134</v>
      </c>
      <c r="B327" s="10" t="s">
        <v>925</v>
      </c>
      <c r="C327" s="366" t="s">
        <v>719</v>
      </c>
      <c r="D327" s="366"/>
      <c r="E327" s="366"/>
      <c r="F327" s="366"/>
      <c r="G327" s="10" t="s">
        <v>830</v>
      </c>
      <c r="H327" s="11">
        <v>784.77</v>
      </c>
      <c r="I327" s="11">
        <v>0</v>
      </c>
      <c r="J327" s="11">
        <f>H327*AO327</f>
        <v>0</v>
      </c>
      <c r="K327" s="11">
        <f>H327*AP327</f>
        <v>0</v>
      </c>
      <c r="L327" s="11">
        <f>H327*I327</f>
        <v>0</v>
      </c>
      <c r="M327" s="52" t="s">
        <v>575</v>
      </c>
      <c r="Z327" s="11">
        <f>IF(AQ327="5",BJ327,0)</f>
        <v>0</v>
      </c>
      <c r="AB327" s="11">
        <f>IF(AQ327="1",BH327,0)</f>
        <v>0</v>
      </c>
      <c r="AC327" s="11">
        <f>IF(AQ327="1",BI327,0)</f>
        <v>0</v>
      </c>
      <c r="AD327" s="11">
        <f>IF(AQ327="7",BH327,0)</f>
        <v>0</v>
      </c>
      <c r="AE327" s="11">
        <f>IF(AQ327="7",BI327,0)</f>
        <v>0</v>
      </c>
      <c r="AF327" s="11">
        <f>IF(AQ327="2",BH327,0)</f>
        <v>0</v>
      </c>
      <c r="AG327" s="11">
        <f>IF(AQ327="2",BI327,0)</f>
        <v>0</v>
      </c>
      <c r="AH327" s="11">
        <f>IF(AQ327="0",BJ327,0)</f>
        <v>0</v>
      </c>
      <c r="AI327" s="40" t="s">
        <v>586</v>
      </c>
      <c r="AJ327" s="11">
        <f>IF(AN327=0,L327,0)</f>
        <v>0</v>
      </c>
      <c r="AK327" s="11">
        <f>IF(AN327=15,L327,0)</f>
        <v>0</v>
      </c>
      <c r="AL327" s="11">
        <f>IF(AN327=21,L327,0)</f>
        <v>0</v>
      </c>
      <c r="AN327" s="11">
        <v>21</v>
      </c>
      <c r="AO327" s="11">
        <f>I327*0.107877800244608</f>
        <v>0</v>
      </c>
      <c r="AP327" s="11">
        <f>I327*(1-0.107877800244608)</f>
        <v>0</v>
      </c>
      <c r="AQ327" s="12" t="s">
        <v>845</v>
      </c>
      <c r="AV327" s="11">
        <f>AW327+AX327</f>
        <v>0</v>
      </c>
      <c r="AW327" s="11">
        <f>H327*AO327</f>
        <v>0</v>
      </c>
      <c r="AX327" s="11">
        <f>H327*AP327</f>
        <v>0</v>
      </c>
      <c r="AY327" s="12" t="s">
        <v>746</v>
      </c>
      <c r="AZ327" s="12" t="s">
        <v>383</v>
      </c>
      <c r="BA327" s="40" t="s">
        <v>647</v>
      </c>
      <c r="BC327" s="11">
        <f>AW327+AX327</f>
        <v>0</v>
      </c>
      <c r="BD327" s="11">
        <f>I327/(100-BE327)*100</f>
        <v>0</v>
      </c>
      <c r="BE327" s="11">
        <v>0</v>
      </c>
      <c r="BF327" s="11">
        <f>335</f>
        <v>335</v>
      </c>
      <c r="BH327" s="11">
        <f>H327*AO327</f>
        <v>0</v>
      </c>
      <c r="BI327" s="11">
        <f>H327*AP327</f>
        <v>0</v>
      </c>
      <c r="BJ327" s="11">
        <f>H327*I327</f>
        <v>0</v>
      </c>
      <c r="BK327" s="11"/>
      <c r="BL327" s="11">
        <v>784</v>
      </c>
    </row>
    <row r="328" spans="1:64" ht="15" customHeight="1">
      <c r="A328" s="9" t="s">
        <v>414</v>
      </c>
      <c r="B328" s="10" t="s">
        <v>189</v>
      </c>
      <c r="C328" s="366" t="s">
        <v>253</v>
      </c>
      <c r="D328" s="366"/>
      <c r="E328" s="366"/>
      <c r="F328" s="366"/>
      <c r="G328" s="10" t="s">
        <v>830</v>
      </c>
      <c r="H328" s="11">
        <v>105.548</v>
      </c>
      <c r="I328" s="11">
        <v>0</v>
      </c>
      <c r="J328" s="11">
        <f>H328*AO328</f>
        <v>0</v>
      </c>
      <c r="K328" s="11">
        <f>H328*AP328</f>
        <v>0</v>
      </c>
      <c r="L328" s="11">
        <f>H328*I328</f>
        <v>0</v>
      </c>
      <c r="M328" s="52" t="s">
        <v>575</v>
      </c>
      <c r="Z328" s="11">
        <f>IF(AQ328="5",BJ328,0)</f>
        <v>0</v>
      </c>
      <c r="AB328" s="11">
        <f>IF(AQ328="1",BH328,0)</f>
        <v>0</v>
      </c>
      <c r="AC328" s="11">
        <f>IF(AQ328="1",BI328,0)</f>
        <v>0</v>
      </c>
      <c r="AD328" s="11">
        <f>IF(AQ328="7",BH328,0)</f>
        <v>0</v>
      </c>
      <c r="AE328" s="11">
        <f>IF(AQ328="7",BI328,0)</f>
        <v>0</v>
      </c>
      <c r="AF328" s="11">
        <f>IF(AQ328="2",BH328,0)</f>
        <v>0</v>
      </c>
      <c r="AG328" s="11">
        <f>IF(AQ328="2",BI328,0)</f>
        <v>0</v>
      </c>
      <c r="AH328" s="11">
        <f>IF(AQ328="0",BJ328,0)</f>
        <v>0</v>
      </c>
      <c r="AI328" s="40" t="s">
        <v>586</v>
      </c>
      <c r="AJ328" s="11">
        <f>IF(AN328=0,L328,0)</f>
        <v>0</v>
      </c>
      <c r="AK328" s="11">
        <f>IF(AN328=15,L328,0)</f>
        <v>0</v>
      </c>
      <c r="AL328" s="11">
        <f>IF(AN328=21,L328,0)</f>
        <v>0</v>
      </c>
      <c r="AN328" s="11">
        <v>21</v>
      </c>
      <c r="AO328" s="11">
        <f>I328*0.0706859109068024</f>
        <v>0</v>
      </c>
      <c r="AP328" s="11">
        <f>I328*(1-0.0706859109068024)</f>
        <v>0</v>
      </c>
      <c r="AQ328" s="12" t="s">
        <v>845</v>
      </c>
      <c r="AV328" s="11">
        <f>AW328+AX328</f>
        <v>0</v>
      </c>
      <c r="AW328" s="11">
        <f>H328*AO328</f>
        <v>0</v>
      </c>
      <c r="AX328" s="11">
        <f>H328*AP328</f>
        <v>0</v>
      </c>
      <c r="AY328" s="12" t="s">
        <v>746</v>
      </c>
      <c r="AZ328" s="12" t="s">
        <v>383</v>
      </c>
      <c r="BA328" s="40" t="s">
        <v>647</v>
      </c>
      <c r="BC328" s="11">
        <f>AW328+AX328</f>
        <v>0</v>
      </c>
      <c r="BD328" s="11">
        <f>I328/(100-BE328)*100</f>
        <v>0</v>
      </c>
      <c r="BE328" s="11">
        <v>0</v>
      </c>
      <c r="BF328" s="11">
        <f>336</f>
        <v>336</v>
      </c>
      <c r="BH328" s="11">
        <f>H328*AO328</f>
        <v>0</v>
      </c>
      <c r="BI328" s="11">
        <f>H328*AP328</f>
        <v>0</v>
      </c>
      <c r="BJ328" s="11">
        <f>H328*I328</f>
        <v>0</v>
      </c>
      <c r="BK328" s="11"/>
      <c r="BL328" s="11">
        <v>784</v>
      </c>
    </row>
    <row r="329" spans="1:64" ht="13.5" customHeight="1">
      <c r="A329" s="53"/>
      <c r="B329" s="54" t="s">
        <v>440</v>
      </c>
      <c r="C329" s="394" t="s">
        <v>771</v>
      </c>
      <c r="D329" s="395"/>
      <c r="E329" s="395"/>
      <c r="F329" s="395"/>
      <c r="G329" s="395"/>
      <c r="H329" s="395"/>
      <c r="I329" s="395"/>
      <c r="J329" s="395"/>
      <c r="K329" s="395"/>
      <c r="L329" s="395"/>
      <c r="M329" s="396"/>
    </row>
    <row r="330" spans="1:64" ht="15" customHeight="1">
      <c r="J330" s="393" t="s">
        <v>670</v>
      </c>
      <c r="K330" s="393"/>
      <c r="L330" s="13">
        <f>SUM(L4+L6+L9+L14+L24+L36+L44+L47+L50+L53+L66+L71+L81+L90++L93+L95+L97+L101+L103+L128+L144+L155+L158+L161+L169+L189+L230+L236+L241+L249+L258+L280+L289+L307+L317+L325)</f>
        <v>0</v>
      </c>
    </row>
    <row r="331" spans="1:64" ht="15" customHeight="1">
      <c r="A331" s="35" t="s">
        <v>67</v>
      </c>
    </row>
    <row r="332" spans="1:64" ht="12.75" customHeight="1">
      <c r="A332" s="365" t="s">
        <v>586</v>
      </c>
      <c r="B332" s="366"/>
      <c r="C332" s="366"/>
      <c r="D332" s="366"/>
      <c r="E332" s="366"/>
      <c r="F332" s="366"/>
      <c r="G332" s="366"/>
      <c r="H332" s="366"/>
      <c r="I332" s="366"/>
      <c r="J332" s="366"/>
      <c r="K332" s="366"/>
      <c r="L332" s="366"/>
      <c r="M332" s="366"/>
    </row>
  </sheetData>
  <mergeCells count="332">
    <mergeCell ref="A1:M1"/>
    <mergeCell ref="C2:F2"/>
    <mergeCell ref="C3:F3"/>
    <mergeCell ref="J2:L2"/>
    <mergeCell ref="C4:F4"/>
    <mergeCell ref="C5:F5"/>
    <mergeCell ref="C6:F6"/>
    <mergeCell ref="C7:F7"/>
    <mergeCell ref="C8:M8"/>
    <mergeCell ref="C9:F9"/>
    <mergeCell ref="C10:F10"/>
    <mergeCell ref="C11:F11"/>
    <mergeCell ref="C12:F12"/>
    <mergeCell ref="C13:M13"/>
    <mergeCell ref="C14:F14"/>
    <mergeCell ref="C15:F15"/>
    <mergeCell ref="C16:F16"/>
    <mergeCell ref="C17:F17"/>
    <mergeCell ref="C18:F18"/>
    <mergeCell ref="C19:M19"/>
    <mergeCell ref="C20:F20"/>
    <mergeCell ref="C21:F21"/>
    <mergeCell ref="C22:F22"/>
    <mergeCell ref="C23:M23"/>
    <mergeCell ref="C24:F24"/>
    <mergeCell ref="C25:F25"/>
    <mergeCell ref="C26:M26"/>
    <mergeCell ref="C27:F27"/>
    <mergeCell ref="C28:F28"/>
    <mergeCell ref="C29:M29"/>
    <mergeCell ref="C30:F30"/>
    <mergeCell ref="C31:M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M46"/>
    <mergeCell ref="C47:F47"/>
    <mergeCell ref="C48:F48"/>
    <mergeCell ref="C49:F49"/>
    <mergeCell ref="C50:F50"/>
    <mergeCell ref="C51:F51"/>
    <mergeCell ref="C52:F52"/>
    <mergeCell ref="C53:F53"/>
    <mergeCell ref="C54:F54"/>
    <mergeCell ref="C55:M55"/>
    <mergeCell ref="C56:F56"/>
    <mergeCell ref="C57:M57"/>
    <mergeCell ref="C58:F58"/>
    <mergeCell ref="C59:M59"/>
    <mergeCell ref="C60:F60"/>
    <mergeCell ref="C61:M61"/>
    <mergeCell ref="C62:F62"/>
    <mergeCell ref="C63:F63"/>
    <mergeCell ref="C64:F64"/>
    <mergeCell ref="C65:F65"/>
    <mergeCell ref="C66:F66"/>
    <mergeCell ref="C67:F67"/>
    <mergeCell ref="C68:F68"/>
    <mergeCell ref="C69:F69"/>
    <mergeCell ref="C70:F70"/>
    <mergeCell ref="C71:F71"/>
    <mergeCell ref="C72:F72"/>
    <mergeCell ref="C73:M73"/>
    <mergeCell ref="C74:F74"/>
    <mergeCell ref="C75:F75"/>
    <mergeCell ref="C76:M76"/>
    <mergeCell ref="C77:F77"/>
    <mergeCell ref="C78:M78"/>
    <mergeCell ref="C79:F79"/>
    <mergeCell ref="C80:M80"/>
    <mergeCell ref="C81:F81"/>
    <mergeCell ref="C82:F82"/>
    <mergeCell ref="C83:M83"/>
    <mergeCell ref="C84:F84"/>
    <mergeCell ref="C85:M85"/>
    <mergeCell ref="C86:F86"/>
    <mergeCell ref="C87:F87"/>
    <mergeCell ref="C88:F88"/>
    <mergeCell ref="C89:M89"/>
    <mergeCell ref="C90:F90"/>
    <mergeCell ref="C91:F91"/>
    <mergeCell ref="C92:M92"/>
    <mergeCell ref="C93:F93"/>
    <mergeCell ref="C94:F94"/>
    <mergeCell ref="C95:F95"/>
    <mergeCell ref="C96:F96"/>
    <mergeCell ref="C97:F97"/>
    <mergeCell ref="C98:F98"/>
    <mergeCell ref="C99:F99"/>
    <mergeCell ref="C100:M100"/>
    <mergeCell ref="C101:F101"/>
    <mergeCell ref="C102:F102"/>
    <mergeCell ref="C103:F103"/>
    <mergeCell ref="C104:F104"/>
    <mergeCell ref="C105:M105"/>
    <mergeCell ref="C106:F106"/>
    <mergeCell ref="C107:F107"/>
    <mergeCell ref="C108:F108"/>
    <mergeCell ref="C109:F109"/>
    <mergeCell ref="C110:F110"/>
    <mergeCell ref="C111:F111"/>
    <mergeCell ref="C112:M112"/>
    <mergeCell ref="C113:F113"/>
    <mergeCell ref="C114:F114"/>
    <mergeCell ref="C115:F115"/>
    <mergeCell ref="C116:F116"/>
    <mergeCell ref="C117:F117"/>
    <mergeCell ref="C118:F118"/>
    <mergeCell ref="C119:F119"/>
    <mergeCell ref="C120:F120"/>
    <mergeCell ref="C121:F121"/>
    <mergeCell ref="C122:M122"/>
    <mergeCell ref="C123:F123"/>
    <mergeCell ref="C124:F124"/>
    <mergeCell ref="C125:M125"/>
    <mergeCell ref="C126:F126"/>
    <mergeCell ref="C127:M127"/>
    <mergeCell ref="C128:F128"/>
    <mergeCell ref="C129:F129"/>
    <mergeCell ref="C130:F130"/>
    <mergeCell ref="C131:F131"/>
    <mergeCell ref="C132:F132"/>
    <mergeCell ref="C133:F133"/>
    <mergeCell ref="C134:F134"/>
    <mergeCell ref="C135:F135"/>
    <mergeCell ref="C136:F136"/>
    <mergeCell ref="C137:F137"/>
    <mergeCell ref="C138:F138"/>
    <mergeCell ref="C139:F139"/>
    <mergeCell ref="C140:F140"/>
    <mergeCell ref="C141:F141"/>
    <mergeCell ref="C142:F142"/>
    <mergeCell ref="C143:M143"/>
    <mergeCell ref="C144:F144"/>
    <mergeCell ref="C145:F145"/>
    <mergeCell ref="C146:F146"/>
    <mergeCell ref="C147:F147"/>
    <mergeCell ref="C148:M148"/>
    <mergeCell ref="C149:F149"/>
    <mergeCell ref="C150:F150"/>
    <mergeCell ref="C151:F151"/>
    <mergeCell ref="C152:F152"/>
    <mergeCell ref="C153:F153"/>
    <mergeCell ref="C154:F154"/>
    <mergeCell ref="C155:F155"/>
    <mergeCell ref="C156:F156"/>
    <mergeCell ref="C157:M157"/>
    <mergeCell ref="C158:F158"/>
    <mergeCell ref="C159:F159"/>
    <mergeCell ref="C160:M160"/>
    <mergeCell ref="C161:F161"/>
    <mergeCell ref="C162:F162"/>
    <mergeCell ref="C163:M163"/>
    <mergeCell ref="C164:F164"/>
    <mergeCell ref="C165:M165"/>
    <mergeCell ref="C166:F166"/>
    <mergeCell ref="C167:M167"/>
    <mergeCell ref="C168:F168"/>
    <mergeCell ref="C169:F169"/>
    <mergeCell ref="C170:F170"/>
    <mergeCell ref="C171:F171"/>
    <mergeCell ref="C172:F172"/>
    <mergeCell ref="C173:F173"/>
    <mergeCell ref="C174:F174"/>
    <mergeCell ref="C175:F175"/>
    <mergeCell ref="C176:F176"/>
    <mergeCell ref="C177:F177"/>
    <mergeCell ref="C178:F178"/>
    <mergeCell ref="C179:M179"/>
    <mergeCell ref="C180:F180"/>
    <mergeCell ref="C181:F181"/>
    <mergeCell ref="C182:F182"/>
    <mergeCell ref="C183:F183"/>
    <mergeCell ref="C184:F184"/>
    <mergeCell ref="C185:F185"/>
    <mergeCell ref="C186:F186"/>
    <mergeCell ref="C187:F187"/>
    <mergeCell ref="C188:F188"/>
    <mergeCell ref="C189:F189"/>
    <mergeCell ref="C190:F190"/>
    <mergeCell ref="C191:M191"/>
    <mergeCell ref="C192:F192"/>
    <mergeCell ref="C193:M193"/>
    <mergeCell ref="C194:F194"/>
    <mergeCell ref="C195:M195"/>
    <mergeCell ref="C196:F196"/>
    <mergeCell ref="C197:F197"/>
    <mergeCell ref="C198:F198"/>
    <mergeCell ref="C199:F199"/>
    <mergeCell ref="C200:F200"/>
    <mergeCell ref="C201:F201"/>
    <mergeCell ref="C202:F202"/>
    <mergeCell ref="C203:F203"/>
    <mergeCell ref="C204:F204"/>
    <mergeCell ref="C205:F205"/>
    <mergeCell ref="C206:F206"/>
    <mergeCell ref="C207:F207"/>
    <mergeCell ref="C208:F208"/>
    <mergeCell ref="C209:F209"/>
    <mergeCell ref="C210:F210"/>
    <mergeCell ref="C211:F211"/>
    <mergeCell ref="C212:F212"/>
    <mergeCell ref="C213:F213"/>
    <mergeCell ref="C214:F214"/>
    <mergeCell ref="C215:F215"/>
    <mergeCell ref="C216:F216"/>
    <mergeCell ref="C217:F217"/>
    <mergeCell ref="C218:F218"/>
    <mergeCell ref="C219:F219"/>
    <mergeCell ref="C220:F220"/>
    <mergeCell ref="C221:F221"/>
    <mergeCell ref="C222:F222"/>
    <mergeCell ref="C223:F223"/>
    <mergeCell ref="C224:F224"/>
    <mergeCell ref="C225:F225"/>
    <mergeCell ref="C226:F226"/>
    <mergeCell ref="C227:F227"/>
    <mergeCell ref="C228:F228"/>
    <mergeCell ref="C229:F229"/>
    <mergeCell ref="C230:F230"/>
    <mergeCell ref="C231:F231"/>
    <mergeCell ref="C232:F232"/>
    <mergeCell ref="C233:F233"/>
    <mergeCell ref="C234:M234"/>
    <mergeCell ref="C235:F235"/>
    <mergeCell ref="C236:F236"/>
    <mergeCell ref="C237:F237"/>
    <mergeCell ref="C238:F238"/>
    <mergeCell ref="C239:F239"/>
    <mergeCell ref="C240:F240"/>
    <mergeCell ref="C241:F241"/>
    <mergeCell ref="C242:F242"/>
    <mergeCell ref="C243:F243"/>
    <mergeCell ref="C244:F244"/>
    <mergeCell ref="C245:F245"/>
    <mergeCell ref="C246:F246"/>
    <mergeCell ref="C247:F247"/>
    <mergeCell ref="C248:F248"/>
    <mergeCell ref="C249:F249"/>
    <mergeCell ref="C250:F250"/>
    <mergeCell ref="C251:F251"/>
    <mergeCell ref="C252:F252"/>
    <mergeCell ref="C253:F253"/>
    <mergeCell ref="C254:F254"/>
    <mergeCell ref="C255:F255"/>
    <mergeCell ref="C256:F256"/>
    <mergeCell ref="C257:F257"/>
    <mergeCell ref="C258:F258"/>
    <mergeCell ref="C259:F259"/>
    <mergeCell ref="C260:F260"/>
    <mergeCell ref="C261:F261"/>
    <mergeCell ref="C262:F262"/>
    <mergeCell ref="C263:F263"/>
    <mergeCell ref="C264:F264"/>
    <mergeCell ref="C265:F265"/>
    <mergeCell ref="C266:F266"/>
    <mergeCell ref="C267:F267"/>
    <mergeCell ref="C268:F268"/>
    <mergeCell ref="C269:F269"/>
    <mergeCell ref="C270:F270"/>
    <mergeCell ref="C271:F271"/>
    <mergeCell ref="C272:F272"/>
    <mergeCell ref="C273:F273"/>
    <mergeCell ref="C274:F274"/>
    <mergeCell ref="C275:F275"/>
    <mergeCell ref="C276:F276"/>
    <mergeCell ref="C277:F277"/>
    <mergeCell ref="C278:F278"/>
    <mergeCell ref="C279:F279"/>
    <mergeCell ref="C280:F280"/>
    <mergeCell ref="C281:F281"/>
    <mergeCell ref="C282:F282"/>
    <mergeCell ref="C283:M283"/>
    <mergeCell ref="C284:F284"/>
    <mergeCell ref="C285:M285"/>
    <mergeCell ref="C286:F286"/>
    <mergeCell ref="C287:M287"/>
    <mergeCell ref="C288:F288"/>
    <mergeCell ref="C289:F289"/>
    <mergeCell ref="C290:F290"/>
    <mergeCell ref="C291:M291"/>
    <mergeCell ref="C292:F292"/>
    <mergeCell ref="C293:F293"/>
    <mergeCell ref="C294:F294"/>
    <mergeCell ref="C295:F295"/>
    <mergeCell ref="C296:M296"/>
    <mergeCell ref="C297:F297"/>
    <mergeCell ref="C298:F298"/>
    <mergeCell ref="C299:F299"/>
    <mergeCell ref="C300:F300"/>
    <mergeCell ref="C301:M301"/>
    <mergeCell ref="C302:F302"/>
    <mergeCell ref="C303:F303"/>
    <mergeCell ref="C304:F304"/>
    <mergeCell ref="C305:F305"/>
    <mergeCell ref="C306:F306"/>
    <mergeCell ref="C307:F307"/>
    <mergeCell ref="C308:F308"/>
    <mergeCell ref="C309:M309"/>
    <mergeCell ref="C310:F310"/>
    <mergeCell ref="C311:F311"/>
    <mergeCell ref="C312:F312"/>
    <mergeCell ref="C313:F313"/>
    <mergeCell ref="C314:F314"/>
    <mergeCell ref="C315:F315"/>
    <mergeCell ref="C316:F316"/>
    <mergeCell ref="C317:F317"/>
    <mergeCell ref="C318:F318"/>
    <mergeCell ref="C319:F319"/>
    <mergeCell ref="C320:F320"/>
    <mergeCell ref="A332:M332"/>
    <mergeCell ref="J330:K330"/>
    <mergeCell ref="C321:M321"/>
    <mergeCell ref="C322:F322"/>
    <mergeCell ref="C323:F323"/>
    <mergeCell ref="C324:F324"/>
    <mergeCell ref="C325:F325"/>
    <mergeCell ref="C326:F326"/>
    <mergeCell ref="C327:F327"/>
    <mergeCell ref="C328:F328"/>
    <mergeCell ref="C329:M329"/>
  </mergeCells>
  <pageMargins left="0.39400000000000002" right="0.39400000000000002" top="0.59099999999999997" bottom="0.59099999999999997" header="0" footer="0"/>
  <pageSetup paperSize="0" firstPageNumber="0" fitToHeight="0" orientation="landscape" useFirstPageNumber="1"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L136"/>
  <sheetViews>
    <sheetView topLeftCell="A107" workbookViewId="0">
      <selection activeCell="Q137" sqref="Q137"/>
    </sheetView>
  </sheetViews>
  <sheetFormatPr defaultColWidth="9.33203125" defaultRowHeight="15"/>
  <cols>
    <col min="1" max="1" width="5.1640625" style="1" customWidth="1"/>
    <col min="2" max="2" width="46.33203125" style="1" customWidth="1"/>
    <col min="3" max="3" width="19.83203125" style="1" customWidth="1"/>
    <col min="4" max="4" width="11.33203125" style="1" customWidth="1"/>
    <col min="5" max="5" width="9.33203125" style="1"/>
    <col min="6" max="6" width="10.6640625" style="1" bestFit="1" customWidth="1"/>
    <col min="7" max="7" width="13.6640625" style="1" bestFit="1" customWidth="1"/>
    <col min="8" max="8" width="10.6640625" style="1" bestFit="1" customWidth="1"/>
    <col min="9" max="9" width="15.5" style="1" customWidth="1"/>
    <col min="10" max="16384" width="9.33203125" style="1"/>
  </cols>
  <sheetData>
    <row r="1" spans="1:9" ht="18.75">
      <c r="A1" s="57"/>
      <c r="B1" s="132" t="s">
        <v>1164</v>
      </c>
      <c r="C1" s="58"/>
      <c r="D1" s="57"/>
      <c r="E1" s="57"/>
    </row>
    <row r="2" spans="1:9" ht="28.5" customHeight="1">
      <c r="A2" s="59" t="s">
        <v>959</v>
      </c>
      <c r="B2" s="60" t="s">
        <v>960</v>
      </c>
      <c r="C2" s="61"/>
      <c r="D2" s="59" t="s">
        <v>514</v>
      </c>
      <c r="E2" s="59"/>
      <c r="F2" s="59" t="s">
        <v>961</v>
      </c>
      <c r="G2" s="59" t="s">
        <v>962</v>
      </c>
      <c r="H2" s="59" t="s">
        <v>963</v>
      </c>
      <c r="I2" s="59" t="s">
        <v>964</v>
      </c>
    </row>
    <row r="3" spans="1:9">
      <c r="A3" s="57"/>
      <c r="B3" s="62"/>
      <c r="C3" s="63"/>
      <c r="D3" s="64"/>
      <c r="E3" s="64"/>
    </row>
    <row r="4" spans="1:9">
      <c r="A4" s="65" t="s">
        <v>965</v>
      </c>
      <c r="B4" s="65" t="s">
        <v>966</v>
      </c>
      <c r="C4" s="66"/>
      <c r="D4" s="64"/>
      <c r="E4" s="64"/>
    </row>
    <row r="5" spans="1:9">
      <c r="A5" s="60" t="s">
        <v>967</v>
      </c>
      <c r="B5" s="67" t="s">
        <v>968</v>
      </c>
      <c r="C5" s="68"/>
      <c r="D5" s="69"/>
      <c r="E5" s="70"/>
      <c r="F5" s="71"/>
      <c r="G5" s="71"/>
      <c r="H5" s="71"/>
      <c r="I5" s="72"/>
    </row>
    <row r="6" spans="1:9" ht="15" customHeight="1">
      <c r="A6" s="73"/>
      <c r="B6" s="74" t="s">
        <v>969</v>
      </c>
      <c r="C6" s="75"/>
      <c r="D6" s="76">
        <v>1</v>
      </c>
      <c r="E6" s="77" t="s">
        <v>590</v>
      </c>
      <c r="F6" s="78">
        <v>0</v>
      </c>
      <c r="G6" s="79">
        <v>0</v>
      </c>
      <c r="H6" s="79">
        <f t="shared" ref="H6:H9" si="0">F6+G6</f>
        <v>0</v>
      </c>
      <c r="I6" s="79">
        <f t="shared" ref="I6:I8" si="1">D6*H6</f>
        <v>0</v>
      </c>
    </row>
    <row r="7" spans="1:9" ht="15" customHeight="1">
      <c r="A7" s="73"/>
      <c r="B7" s="80" t="s">
        <v>970</v>
      </c>
      <c r="C7" s="75"/>
      <c r="D7" s="76">
        <v>1</v>
      </c>
      <c r="E7" s="77" t="s">
        <v>590</v>
      </c>
      <c r="F7" s="78">
        <v>0</v>
      </c>
      <c r="G7" s="79">
        <v>0</v>
      </c>
      <c r="H7" s="79">
        <f t="shared" si="0"/>
        <v>0</v>
      </c>
      <c r="I7" s="79">
        <f t="shared" si="1"/>
        <v>0</v>
      </c>
    </row>
    <row r="8" spans="1:9" ht="15" customHeight="1">
      <c r="A8" s="4"/>
      <c r="B8" s="80" t="s">
        <v>971</v>
      </c>
      <c r="C8" s="81"/>
      <c r="D8" s="76">
        <v>1</v>
      </c>
      <c r="E8" s="77" t="s">
        <v>648</v>
      </c>
      <c r="F8" s="78">
        <v>0</v>
      </c>
      <c r="G8" s="79">
        <v>0</v>
      </c>
      <c r="H8" s="79">
        <f t="shared" si="0"/>
        <v>0</v>
      </c>
      <c r="I8" s="82">
        <f t="shared" si="1"/>
        <v>0</v>
      </c>
    </row>
    <row r="9" spans="1:9" ht="15" customHeight="1">
      <c r="A9" s="4"/>
      <c r="B9" s="6" t="s">
        <v>972</v>
      </c>
      <c r="C9" s="83"/>
      <c r="D9" s="76">
        <v>1</v>
      </c>
      <c r="E9" s="77" t="s">
        <v>648</v>
      </c>
      <c r="F9" s="84">
        <v>0</v>
      </c>
      <c r="G9" s="79">
        <v>0</v>
      </c>
      <c r="H9" s="84">
        <f t="shared" si="0"/>
        <v>0</v>
      </c>
      <c r="I9" s="82">
        <f>D9*H9</f>
        <v>0</v>
      </c>
    </row>
    <row r="10" spans="1:9" ht="15" customHeight="1" thickBot="1">
      <c r="A10" s="4"/>
      <c r="B10" s="85"/>
      <c r="C10" s="86"/>
      <c r="D10" s="76"/>
      <c r="E10" s="77"/>
      <c r="F10" s="78"/>
      <c r="G10" s="79"/>
      <c r="H10" s="79"/>
      <c r="I10" s="82"/>
    </row>
    <row r="11" spans="1:9" ht="15" customHeight="1" thickBot="1">
      <c r="A11" s="87"/>
      <c r="B11" s="88" t="s">
        <v>81</v>
      </c>
      <c r="C11" s="89"/>
      <c r="D11" s="90"/>
      <c r="E11" s="91"/>
      <c r="F11" s="92"/>
      <c r="G11" s="92"/>
      <c r="H11" s="92"/>
      <c r="I11" s="93">
        <f>CEILING(SUM(I6:I10),1)</f>
        <v>0</v>
      </c>
    </row>
    <row r="12" spans="1:9" ht="15" customHeight="1">
      <c r="A12" s="57"/>
      <c r="B12" s="94"/>
      <c r="C12" s="66"/>
      <c r="D12" s="76"/>
      <c r="E12" s="64"/>
      <c r="I12" s="95"/>
    </row>
    <row r="13" spans="1:9" ht="15" customHeight="1">
      <c r="A13" s="60" t="s">
        <v>973</v>
      </c>
      <c r="B13" s="67" t="s">
        <v>974</v>
      </c>
      <c r="C13" s="68"/>
      <c r="D13" s="69"/>
      <c r="E13" s="70"/>
      <c r="F13" s="71"/>
      <c r="G13" s="71"/>
      <c r="H13" s="71"/>
      <c r="I13" s="72"/>
    </row>
    <row r="14" spans="1:9" ht="15" customHeight="1">
      <c r="A14" s="73"/>
      <c r="B14" s="74" t="s">
        <v>975</v>
      </c>
      <c r="C14" s="75"/>
      <c r="D14" s="76">
        <v>2</v>
      </c>
      <c r="E14" s="77" t="s">
        <v>590</v>
      </c>
      <c r="F14" s="78">
        <v>0</v>
      </c>
      <c r="G14" s="79">
        <v>0</v>
      </c>
      <c r="H14" s="79">
        <f t="shared" ref="H14:H34" si="2">F14+G14</f>
        <v>0</v>
      </c>
      <c r="I14" s="79">
        <f t="shared" ref="I14:I33" si="3">D14*H14</f>
        <v>0</v>
      </c>
    </row>
    <row r="15" spans="1:9" ht="15" customHeight="1">
      <c r="A15" s="73"/>
      <c r="B15" s="405" t="s">
        <v>976</v>
      </c>
      <c r="C15" s="406"/>
      <c r="D15" s="76">
        <v>1</v>
      </c>
      <c r="E15" s="77" t="s">
        <v>590</v>
      </c>
      <c r="F15" s="78">
        <v>0</v>
      </c>
      <c r="G15" s="79">
        <v>0</v>
      </c>
      <c r="H15" s="79">
        <f t="shared" si="2"/>
        <v>0</v>
      </c>
      <c r="I15" s="79">
        <f t="shared" si="3"/>
        <v>0</v>
      </c>
    </row>
    <row r="16" spans="1:9" ht="15" customHeight="1">
      <c r="A16" s="73"/>
      <c r="B16" s="405" t="s">
        <v>977</v>
      </c>
      <c r="C16" s="406"/>
      <c r="D16" s="76">
        <v>2</v>
      </c>
      <c r="E16" s="77" t="s">
        <v>590</v>
      </c>
      <c r="F16" s="78">
        <v>0</v>
      </c>
      <c r="G16" s="79">
        <v>0</v>
      </c>
      <c r="H16" s="79">
        <f t="shared" si="2"/>
        <v>0</v>
      </c>
      <c r="I16" s="79">
        <f t="shared" si="3"/>
        <v>0</v>
      </c>
    </row>
    <row r="17" spans="1:9" ht="15" customHeight="1">
      <c r="A17" s="4"/>
      <c r="B17" s="80" t="s">
        <v>978</v>
      </c>
      <c r="C17" s="81"/>
      <c r="D17" s="76">
        <v>2</v>
      </c>
      <c r="E17" s="77" t="s">
        <v>590</v>
      </c>
      <c r="F17" s="78">
        <v>0</v>
      </c>
      <c r="G17" s="79">
        <v>0</v>
      </c>
      <c r="H17" s="79">
        <f t="shared" si="2"/>
        <v>0</v>
      </c>
      <c r="I17" s="82">
        <f t="shared" si="3"/>
        <v>0</v>
      </c>
    </row>
    <row r="18" spans="1:9" ht="15" customHeight="1">
      <c r="A18" s="4" t="s">
        <v>783</v>
      </c>
      <c r="B18" s="80" t="s">
        <v>979</v>
      </c>
      <c r="C18" s="81"/>
      <c r="D18" s="76">
        <v>15</v>
      </c>
      <c r="E18" s="77" t="s">
        <v>590</v>
      </c>
      <c r="F18" s="78">
        <v>0</v>
      </c>
      <c r="G18" s="79">
        <v>0</v>
      </c>
      <c r="H18" s="79">
        <f t="shared" si="2"/>
        <v>0</v>
      </c>
      <c r="I18" s="82">
        <f t="shared" si="3"/>
        <v>0</v>
      </c>
    </row>
    <row r="19" spans="1:9" ht="15" customHeight="1">
      <c r="A19" s="4"/>
      <c r="B19" s="80" t="s">
        <v>980</v>
      </c>
      <c r="C19" s="81"/>
      <c r="D19" s="76">
        <v>2</v>
      </c>
      <c r="E19" s="77" t="s">
        <v>590</v>
      </c>
      <c r="F19" s="78">
        <v>0</v>
      </c>
      <c r="G19" s="79">
        <v>0</v>
      </c>
      <c r="H19" s="79">
        <f t="shared" si="2"/>
        <v>0</v>
      </c>
      <c r="I19" s="82">
        <f t="shared" si="3"/>
        <v>0</v>
      </c>
    </row>
    <row r="20" spans="1:9" ht="15" customHeight="1">
      <c r="A20" s="4"/>
      <c r="B20" s="80" t="s">
        <v>981</v>
      </c>
      <c r="C20" s="81"/>
      <c r="D20" s="76">
        <v>2</v>
      </c>
      <c r="E20" s="77" t="s">
        <v>590</v>
      </c>
      <c r="F20" s="78">
        <v>0</v>
      </c>
      <c r="G20" s="79">
        <v>0</v>
      </c>
      <c r="H20" s="79">
        <f t="shared" si="2"/>
        <v>0</v>
      </c>
      <c r="I20" s="82">
        <f t="shared" si="3"/>
        <v>0</v>
      </c>
    </row>
    <row r="21" spans="1:9" ht="15" customHeight="1">
      <c r="A21" s="4"/>
      <c r="B21" s="80" t="s">
        <v>982</v>
      </c>
      <c r="C21" s="81"/>
      <c r="D21" s="76">
        <v>1</v>
      </c>
      <c r="E21" s="77" t="s">
        <v>590</v>
      </c>
      <c r="F21" s="78">
        <v>0</v>
      </c>
      <c r="G21" s="79">
        <v>0</v>
      </c>
      <c r="H21" s="79">
        <f t="shared" si="2"/>
        <v>0</v>
      </c>
      <c r="I21" s="82">
        <f t="shared" si="3"/>
        <v>0</v>
      </c>
    </row>
    <row r="22" spans="1:9" ht="15" customHeight="1">
      <c r="A22" s="4"/>
      <c r="B22" s="80" t="s">
        <v>983</v>
      </c>
      <c r="C22" s="81"/>
      <c r="D22" s="76">
        <v>2</v>
      </c>
      <c r="E22" s="77" t="s">
        <v>590</v>
      </c>
      <c r="F22" s="78">
        <v>0</v>
      </c>
      <c r="G22" s="79">
        <v>0</v>
      </c>
      <c r="H22" s="79">
        <f t="shared" si="2"/>
        <v>0</v>
      </c>
      <c r="I22" s="82">
        <f t="shared" si="3"/>
        <v>0</v>
      </c>
    </row>
    <row r="23" spans="1:9" ht="15" customHeight="1">
      <c r="A23" s="4"/>
      <c r="B23" s="80" t="s">
        <v>984</v>
      </c>
      <c r="C23" s="81"/>
      <c r="D23" s="76">
        <v>2</v>
      </c>
      <c r="E23" s="77" t="s">
        <v>590</v>
      </c>
      <c r="F23" s="78">
        <v>0</v>
      </c>
      <c r="G23" s="79">
        <v>0</v>
      </c>
      <c r="H23" s="79">
        <f t="shared" si="2"/>
        <v>0</v>
      </c>
      <c r="I23" s="82">
        <f t="shared" si="3"/>
        <v>0</v>
      </c>
    </row>
    <row r="24" spans="1:9" ht="15" customHeight="1">
      <c r="A24" s="4"/>
      <c r="B24" s="80" t="s">
        <v>985</v>
      </c>
      <c r="C24" s="81"/>
      <c r="D24" s="76">
        <v>2</v>
      </c>
      <c r="E24" s="77" t="s">
        <v>590</v>
      </c>
      <c r="F24" s="78">
        <v>0</v>
      </c>
      <c r="G24" s="79">
        <v>0</v>
      </c>
      <c r="H24" s="79">
        <f t="shared" si="2"/>
        <v>0</v>
      </c>
      <c r="I24" s="82">
        <f t="shared" si="3"/>
        <v>0</v>
      </c>
    </row>
    <row r="25" spans="1:9" ht="15" customHeight="1">
      <c r="A25" s="4"/>
      <c r="B25" s="80" t="s">
        <v>986</v>
      </c>
      <c r="C25" s="81"/>
      <c r="D25" s="76">
        <v>2</v>
      </c>
      <c r="E25" s="77" t="s">
        <v>590</v>
      </c>
      <c r="F25" s="78">
        <v>0</v>
      </c>
      <c r="G25" s="79">
        <v>0</v>
      </c>
      <c r="H25" s="79">
        <f t="shared" si="2"/>
        <v>0</v>
      </c>
      <c r="I25" s="82">
        <f t="shared" si="3"/>
        <v>0</v>
      </c>
    </row>
    <row r="26" spans="1:9" ht="15" customHeight="1">
      <c r="A26" s="4"/>
      <c r="B26" s="80" t="s">
        <v>987</v>
      </c>
      <c r="C26" s="81"/>
      <c r="D26" s="76">
        <v>3</v>
      </c>
      <c r="E26" s="77" t="s">
        <v>590</v>
      </c>
      <c r="F26" s="78">
        <v>0</v>
      </c>
      <c r="G26" s="79">
        <v>0</v>
      </c>
      <c r="H26" s="79">
        <f t="shared" si="2"/>
        <v>0</v>
      </c>
      <c r="I26" s="82">
        <f t="shared" si="3"/>
        <v>0</v>
      </c>
    </row>
    <row r="27" spans="1:9" ht="15" customHeight="1">
      <c r="A27" s="4"/>
      <c r="B27" s="80" t="s">
        <v>988</v>
      </c>
      <c r="C27" s="81"/>
      <c r="D27" s="76">
        <v>4</v>
      </c>
      <c r="E27" s="77" t="s">
        <v>590</v>
      </c>
      <c r="F27" s="78">
        <v>0</v>
      </c>
      <c r="G27" s="79">
        <v>0</v>
      </c>
      <c r="H27" s="79">
        <f t="shared" si="2"/>
        <v>0</v>
      </c>
      <c r="I27" s="82">
        <f t="shared" si="3"/>
        <v>0</v>
      </c>
    </row>
    <row r="28" spans="1:9" ht="15" customHeight="1">
      <c r="A28" s="4"/>
      <c r="B28" s="80" t="s">
        <v>989</v>
      </c>
      <c r="C28" s="81"/>
      <c r="D28" s="76">
        <v>3</v>
      </c>
      <c r="E28" s="77" t="s">
        <v>590</v>
      </c>
      <c r="F28" s="78">
        <v>0</v>
      </c>
      <c r="G28" s="79">
        <v>0</v>
      </c>
      <c r="H28" s="79">
        <f t="shared" si="2"/>
        <v>0</v>
      </c>
      <c r="I28" s="82">
        <f t="shared" si="3"/>
        <v>0</v>
      </c>
    </row>
    <row r="29" spans="1:9" ht="15" customHeight="1">
      <c r="A29" s="4"/>
      <c r="B29" s="80" t="s">
        <v>990</v>
      </c>
      <c r="C29" s="81"/>
      <c r="D29" s="76">
        <v>6</v>
      </c>
      <c r="E29" s="77" t="s">
        <v>590</v>
      </c>
      <c r="F29" s="78">
        <v>0</v>
      </c>
      <c r="G29" s="79">
        <v>0</v>
      </c>
      <c r="H29" s="79">
        <f t="shared" si="2"/>
        <v>0</v>
      </c>
      <c r="I29" s="82">
        <f t="shared" si="3"/>
        <v>0</v>
      </c>
    </row>
    <row r="30" spans="1:9" ht="15" customHeight="1">
      <c r="A30" s="4"/>
      <c r="B30" s="80" t="s">
        <v>991</v>
      </c>
      <c r="C30" s="81"/>
      <c r="D30" s="76">
        <v>3</v>
      </c>
      <c r="E30" s="77" t="s">
        <v>590</v>
      </c>
      <c r="F30" s="78">
        <v>0</v>
      </c>
      <c r="G30" s="79">
        <v>0</v>
      </c>
      <c r="H30" s="79">
        <f t="shared" si="2"/>
        <v>0</v>
      </c>
      <c r="I30" s="82">
        <f t="shared" si="3"/>
        <v>0</v>
      </c>
    </row>
    <row r="31" spans="1:9" ht="15" customHeight="1">
      <c r="A31" s="4"/>
      <c r="B31" s="80" t="s">
        <v>992</v>
      </c>
      <c r="C31" s="81"/>
      <c r="D31" s="76">
        <v>4</v>
      </c>
      <c r="E31" s="77" t="s">
        <v>590</v>
      </c>
      <c r="F31" s="78">
        <v>0</v>
      </c>
      <c r="G31" s="79">
        <v>0</v>
      </c>
      <c r="H31" s="79">
        <f t="shared" si="2"/>
        <v>0</v>
      </c>
      <c r="I31" s="82">
        <f t="shared" si="3"/>
        <v>0</v>
      </c>
    </row>
    <row r="32" spans="1:9" ht="15" customHeight="1">
      <c r="A32" s="4"/>
      <c r="B32" s="80" t="s">
        <v>993</v>
      </c>
      <c r="C32" s="81"/>
      <c r="D32" s="76">
        <v>5</v>
      </c>
      <c r="E32" s="77" t="s">
        <v>590</v>
      </c>
      <c r="F32" s="78">
        <v>0</v>
      </c>
      <c r="G32" s="79">
        <v>0</v>
      </c>
      <c r="H32" s="79">
        <f t="shared" si="2"/>
        <v>0</v>
      </c>
      <c r="I32" s="82">
        <f t="shared" si="3"/>
        <v>0</v>
      </c>
    </row>
    <row r="33" spans="1:9" ht="15" customHeight="1">
      <c r="A33" s="4"/>
      <c r="B33" s="80" t="s">
        <v>994</v>
      </c>
      <c r="C33" s="81"/>
      <c r="D33" s="76">
        <v>2</v>
      </c>
      <c r="E33" s="77" t="s">
        <v>590</v>
      </c>
      <c r="F33" s="78">
        <v>0</v>
      </c>
      <c r="G33" s="79">
        <v>0</v>
      </c>
      <c r="H33" s="79">
        <f t="shared" si="2"/>
        <v>0</v>
      </c>
      <c r="I33" s="82">
        <f t="shared" si="3"/>
        <v>0</v>
      </c>
    </row>
    <row r="34" spans="1:9" ht="15" customHeight="1">
      <c r="A34" s="4"/>
      <c r="B34" s="6" t="s">
        <v>972</v>
      </c>
      <c r="C34" s="83"/>
      <c r="D34" s="76">
        <v>1</v>
      </c>
      <c r="E34" s="77" t="s">
        <v>648</v>
      </c>
      <c r="F34" s="78">
        <v>0</v>
      </c>
      <c r="G34" s="79">
        <v>0</v>
      </c>
      <c r="H34" s="84">
        <f t="shared" si="2"/>
        <v>0</v>
      </c>
      <c r="I34" s="82">
        <f>D34*H34</f>
        <v>0</v>
      </c>
    </row>
    <row r="35" spans="1:9" ht="15" customHeight="1" thickBot="1">
      <c r="A35" s="4"/>
      <c r="B35" s="85"/>
      <c r="C35" s="86"/>
      <c r="D35" s="76"/>
      <c r="E35" s="77"/>
      <c r="F35" s="78"/>
      <c r="G35" s="79"/>
      <c r="H35" s="79"/>
      <c r="I35" s="82"/>
    </row>
    <row r="36" spans="1:9" ht="15" customHeight="1" thickBot="1">
      <c r="A36" s="87"/>
      <c r="B36" s="88" t="s">
        <v>81</v>
      </c>
      <c r="C36" s="89"/>
      <c r="D36" s="90"/>
      <c r="E36" s="91"/>
      <c r="F36" s="92"/>
      <c r="G36" s="92"/>
      <c r="H36" s="92"/>
      <c r="I36" s="93">
        <f>CEILING(SUM(I14:I35),1)</f>
        <v>0</v>
      </c>
    </row>
    <row r="37" spans="1:9" ht="15" customHeight="1">
      <c r="A37" s="57"/>
      <c r="B37" s="94"/>
      <c r="C37" s="66"/>
      <c r="D37" s="76"/>
      <c r="E37" s="64"/>
      <c r="I37" s="95"/>
    </row>
    <row r="38" spans="1:9">
      <c r="A38" s="65"/>
      <c r="B38" s="65"/>
      <c r="C38" s="66"/>
      <c r="D38" s="64"/>
      <c r="E38" s="64"/>
      <c r="I38" s="82"/>
    </row>
    <row r="39" spans="1:9">
      <c r="A39" s="60" t="s">
        <v>995</v>
      </c>
      <c r="B39" s="67" t="s">
        <v>996</v>
      </c>
      <c r="C39" s="68"/>
      <c r="D39" s="67"/>
      <c r="E39" s="70"/>
      <c r="F39" s="71"/>
      <c r="G39" s="71"/>
      <c r="H39" s="71"/>
      <c r="I39" s="71"/>
    </row>
    <row r="40" spans="1:9" ht="13.5" customHeight="1">
      <c r="A40" s="96"/>
      <c r="B40" s="5" t="s">
        <v>997</v>
      </c>
      <c r="C40" s="97"/>
      <c r="D40" s="76">
        <v>1</v>
      </c>
      <c r="E40" s="77" t="s">
        <v>648</v>
      </c>
      <c r="F40" s="84">
        <v>0</v>
      </c>
      <c r="G40" s="84">
        <v>0</v>
      </c>
      <c r="H40" s="84">
        <f t="shared" ref="H40:H48" si="4">F40+G40</f>
        <v>0</v>
      </c>
      <c r="I40" s="84">
        <f t="shared" ref="I40:I48" si="5">H40*D40</f>
        <v>0</v>
      </c>
    </row>
    <row r="41" spans="1:9">
      <c r="A41" s="96"/>
      <c r="B41" s="1" t="s">
        <v>998</v>
      </c>
      <c r="C41" s="63"/>
      <c r="D41" s="57">
        <v>1</v>
      </c>
      <c r="E41" s="77" t="s">
        <v>590</v>
      </c>
      <c r="F41" s="84">
        <v>0</v>
      </c>
      <c r="G41" s="84">
        <v>0</v>
      </c>
      <c r="H41" s="84">
        <f t="shared" si="4"/>
        <v>0</v>
      </c>
      <c r="I41" s="84">
        <f t="shared" si="5"/>
        <v>0</v>
      </c>
    </row>
    <row r="42" spans="1:9">
      <c r="A42" s="96"/>
      <c r="B42" s="1" t="s">
        <v>999</v>
      </c>
      <c r="C42" s="63"/>
      <c r="D42" s="57">
        <v>1</v>
      </c>
      <c r="E42" s="77" t="s">
        <v>590</v>
      </c>
      <c r="F42" s="84">
        <v>0</v>
      </c>
      <c r="G42" s="84">
        <v>0</v>
      </c>
      <c r="H42" s="84">
        <f t="shared" si="4"/>
        <v>0</v>
      </c>
      <c r="I42" s="84">
        <f t="shared" si="5"/>
        <v>0</v>
      </c>
    </row>
    <row r="43" spans="1:9">
      <c r="A43" s="57"/>
      <c r="B43" s="1" t="s">
        <v>1000</v>
      </c>
      <c r="C43" s="63"/>
      <c r="D43" s="57">
        <v>1</v>
      </c>
      <c r="E43" s="57" t="s">
        <v>590</v>
      </c>
      <c r="F43" s="84">
        <v>0</v>
      </c>
      <c r="G43" s="84">
        <v>0</v>
      </c>
      <c r="H43" s="82">
        <f>F43+G43</f>
        <v>0</v>
      </c>
      <c r="I43" s="82">
        <f>H43*D43</f>
        <v>0</v>
      </c>
    </row>
    <row r="44" spans="1:9">
      <c r="A44" s="4"/>
      <c r="B44" s="80" t="s">
        <v>989</v>
      </c>
      <c r="C44" s="81"/>
      <c r="D44" s="76">
        <v>6</v>
      </c>
      <c r="E44" s="77" t="s">
        <v>590</v>
      </c>
      <c r="F44" s="84">
        <v>0</v>
      </c>
      <c r="G44" s="84">
        <v>0</v>
      </c>
      <c r="H44" s="79">
        <f t="shared" ref="H44:H46" si="6">F44+G44</f>
        <v>0</v>
      </c>
      <c r="I44" s="82">
        <f>H44*D44</f>
        <v>0</v>
      </c>
    </row>
    <row r="45" spans="1:9">
      <c r="A45" s="4"/>
      <c r="B45" s="80" t="s">
        <v>982</v>
      </c>
      <c r="C45" s="81"/>
      <c r="D45" s="76">
        <v>5</v>
      </c>
      <c r="E45" s="77" t="s">
        <v>590</v>
      </c>
      <c r="F45" s="84">
        <v>0</v>
      </c>
      <c r="G45" s="84">
        <v>0</v>
      </c>
      <c r="H45" s="79">
        <f t="shared" si="6"/>
        <v>0</v>
      </c>
      <c r="I45" s="82">
        <f>H45*D45</f>
        <v>0</v>
      </c>
    </row>
    <row r="46" spans="1:9">
      <c r="A46" s="4"/>
      <c r="B46" s="80" t="s">
        <v>979</v>
      </c>
      <c r="C46" s="81"/>
      <c r="D46" s="76">
        <v>2</v>
      </c>
      <c r="E46" s="77" t="s">
        <v>590</v>
      </c>
      <c r="F46" s="84">
        <v>0</v>
      </c>
      <c r="G46" s="84">
        <v>0</v>
      </c>
      <c r="H46" s="79">
        <f t="shared" si="6"/>
        <v>0</v>
      </c>
      <c r="I46" s="82">
        <f>H46*D46</f>
        <v>0</v>
      </c>
    </row>
    <row r="47" spans="1:9">
      <c r="A47" s="4"/>
      <c r="B47" s="6" t="s">
        <v>972</v>
      </c>
      <c r="C47" s="83"/>
      <c r="D47" s="76">
        <v>1</v>
      </c>
      <c r="E47" s="77" t="s">
        <v>648</v>
      </c>
      <c r="F47" s="84">
        <v>0</v>
      </c>
      <c r="G47" s="84">
        <v>0</v>
      </c>
      <c r="H47" s="82">
        <f t="shared" si="4"/>
        <v>0</v>
      </c>
      <c r="I47" s="82">
        <f t="shared" si="5"/>
        <v>0</v>
      </c>
    </row>
    <row r="48" spans="1:9" ht="15.75" thickBot="1">
      <c r="A48" s="4"/>
      <c r="B48" s="85" t="s">
        <v>1001</v>
      </c>
      <c r="C48" s="86"/>
      <c r="D48" s="76">
        <v>1</v>
      </c>
      <c r="E48" s="77" t="s">
        <v>648</v>
      </c>
      <c r="F48" s="84">
        <v>0</v>
      </c>
      <c r="G48" s="84">
        <v>0</v>
      </c>
      <c r="H48" s="82">
        <f t="shared" si="4"/>
        <v>0</v>
      </c>
      <c r="I48" s="82">
        <f t="shared" si="5"/>
        <v>0</v>
      </c>
    </row>
    <row r="49" spans="1:12" ht="15.75" thickBot="1">
      <c r="A49" s="87"/>
      <c r="B49" s="88" t="s">
        <v>1002</v>
      </c>
      <c r="C49" s="89"/>
      <c r="D49" s="90"/>
      <c r="E49" s="91"/>
      <c r="F49" s="92"/>
      <c r="G49" s="92"/>
      <c r="H49" s="92"/>
      <c r="I49" s="93">
        <f>CEILING(SUM(I40:I48),1)</f>
        <v>0</v>
      </c>
      <c r="L49" s="1" t="s">
        <v>783</v>
      </c>
    </row>
    <row r="50" spans="1:12">
      <c r="A50" s="57"/>
      <c r="B50" s="94"/>
      <c r="C50" s="66"/>
      <c r="D50" s="76"/>
      <c r="E50" s="64"/>
      <c r="I50" s="84"/>
    </row>
    <row r="51" spans="1:12">
      <c r="A51" s="57"/>
      <c r="B51" s="94"/>
      <c r="C51" s="66"/>
      <c r="D51" s="76"/>
      <c r="E51" s="64"/>
      <c r="I51" s="84"/>
    </row>
    <row r="52" spans="1:12">
      <c r="A52" s="98" t="s">
        <v>1003</v>
      </c>
      <c r="B52" s="67" t="s">
        <v>1004</v>
      </c>
      <c r="C52" s="99"/>
      <c r="D52" s="100"/>
      <c r="E52" s="70"/>
      <c r="F52" s="71"/>
      <c r="G52" s="71"/>
      <c r="H52" s="71"/>
      <c r="I52" s="71"/>
    </row>
    <row r="53" spans="1:12">
      <c r="A53" s="60" t="s">
        <v>1005</v>
      </c>
      <c r="B53" s="67" t="s">
        <v>1006</v>
      </c>
      <c r="C53" s="68"/>
      <c r="D53" s="67"/>
      <c r="E53" s="70"/>
      <c r="F53" s="71"/>
      <c r="G53" s="71"/>
      <c r="H53" s="71"/>
      <c r="I53" s="71"/>
    </row>
    <row r="54" spans="1:12">
      <c r="A54" s="57"/>
      <c r="B54" s="62" t="s">
        <v>1007</v>
      </c>
      <c r="C54" s="66"/>
      <c r="D54" s="4">
        <v>320</v>
      </c>
      <c r="E54" s="64" t="s">
        <v>700</v>
      </c>
      <c r="F54" s="101">
        <v>0</v>
      </c>
      <c r="G54" s="82">
        <v>0</v>
      </c>
      <c r="H54" s="82">
        <f t="shared" ref="H54:H61" si="7">F54+G54</f>
        <v>0</v>
      </c>
      <c r="I54" s="82">
        <f t="shared" ref="I54:I61" si="8">H54*D54</f>
        <v>0</v>
      </c>
    </row>
    <row r="55" spans="1:12">
      <c r="A55" s="57"/>
      <c r="B55" s="62" t="s">
        <v>1008</v>
      </c>
      <c r="C55" s="66"/>
      <c r="D55" s="4">
        <v>146</v>
      </c>
      <c r="E55" s="64" t="s">
        <v>700</v>
      </c>
      <c r="F55" s="101">
        <v>0</v>
      </c>
      <c r="G55" s="82">
        <v>0</v>
      </c>
      <c r="H55" s="82">
        <f t="shared" si="7"/>
        <v>0</v>
      </c>
      <c r="I55" s="82">
        <f t="shared" si="8"/>
        <v>0</v>
      </c>
    </row>
    <row r="56" spans="1:12">
      <c r="A56" s="57"/>
      <c r="B56" s="62" t="s">
        <v>1009</v>
      </c>
      <c r="C56" s="66"/>
      <c r="D56" s="4">
        <v>146</v>
      </c>
      <c r="E56" s="64" t="s">
        <v>700</v>
      </c>
      <c r="F56" s="101">
        <v>0</v>
      </c>
      <c r="G56" s="82">
        <v>0</v>
      </c>
      <c r="H56" s="82">
        <f t="shared" si="7"/>
        <v>0</v>
      </c>
      <c r="I56" s="82">
        <f t="shared" si="8"/>
        <v>0</v>
      </c>
    </row>
    <row r="57" spans="1:12">
      <c r="A57" s="57"/>
      <c r="B57" s="62" t="s">
        <v>1010</v>
      </c>
      <c r="C57" s="66"/>
      <c r="D57" s="4">
        <v>10</v>
      </c>
      <c r="E57" s="64" t="s">
        <v>590</v>
      </c>
      <c r="F57" s="101">
        <v>0</v>
      </c>
      <c r="G57" s="82">
        <v>0</v>
      </c>
      <c r="H57" s="82">
        <f t="shared" si="7"/>
        <v>0</v>
      </c>
      <c r="I57" s="82">
        <f t="shared" si="8"/>
        <v>0</v>
      </c>
    </row>
    <row r="58" spans="1:12">
      <c r="A58" s="57"/>
      <c r="B58" s="62" t="s">
        <v>1011</v>
      </c>
      <c r="C58" s="66"/>
      <c r="D58" s="4">
        <v>310</v>
      </c>
      <c r="E58" s="64" t="s">
        <v>590</v>
      </c>
      <c r="F58" s="101">
        <v>0</v>
      </c>
      <c r="G58" s="82">
        <v>0</v>
      </c>
      <c r="H58" s="82">
        <f t="shared" si="7"/>
        <v>0</v>
      </c>
      <c r="I58" s="82">
        <f t="shared" si="8"/>
        <v>0</v>
      </c>
    </row>
    <row r="59" spans="1:12">
      <c r="A59" s="57"/>
      <c r="B59" s="62" t="s">
        <v>1012</v>
      </c>
      <c r="C59" s="66"/>
      <c r="D59" s="4">
        <v>1</v>
      </c>
      <c r="E59" s="64" t="s">
        <v>648</v>
      </c>
      <c r="F59" s="101">
        <v>0</v>
      </c>
      <c r="G59" s="82">
        <v>0</v>
      </c>
      <c r="H59" s="82">
        <f t="shared" si="7"/>
        <v>0</v>
      </c>
      <c r="I59" s="82">
        <f t="shared" si="8"/>
        <v>0</v>
      </c>
    </row>
    <row r="60" spans="1:12">
      <c r="A60" s="57"/>
      <c r="B60" s="62" t="s">
        <v>1013</v>
      </c>
      <c r="C60" s="66"/>
      <c r="D60" s="4">
        <v>50</v>
      </c>
      <c r="E60" s="64" t="s">
        <v>700</v>
      </c>
      <c r="F60" s="101">
        <v>0</v>
      </c>
      <c r="G60" s="82">
        <v>0</v>
      </c>
      <c r="H60" s="82">
        <f t="shared" si="7"/>
        <v>0</v>
      </c>
      <c r="I60" s="82">
        <f t="shared" si="8"/>
        <v>0</v>
      </c>
    </row>
    <row r="61" spans="1:12">
      <c r="A61" s="57"/>
      <c r="B61" s="405" t="s">
        <v>1001</v>
      </c>
      <c r="C61" s="407"/>
      <c r="D61" s="102">
        <v>1</v>
      </c>
      <c r="E61" s="57" t="s">
        <v>590</v>
      </c>
      <c r="F61" s="101">
        <v>0</v>
      </c>
      <c r="G61" s="82">
        <v>0</v>
      </c>
      <c r="H61" s="82">
        <f t="shared" si="7"/>
        <v>0</v>
      </c>
      <c r="I61" s="82">
        <f t="shared" si="8"/>
        <v>0</v>
      </c>
    </row>
    <row r="62" spans="1:12" ht="15.75" thickBot="1">
      <c r="A62" s="57"/>
      <c r="B62" s="80"/>
      <c r="C62" s="103"/>
      <c r="D62" s="102"/>
      <c r="E62" s="57"/>
      <c r="F62" s="101"/>
      <c r="G62" s="82"/>
      <c r="H62" s="82"/>
      <c r="I62" s="82"/>
    </row>
    <row r="63" spans="1:12" ht="15.75" thickBot="1">
      <c r="A63" s="87"/>
      <c r="B63" s="88" t="s">
        <v>1014</v>
      </c>
      <c r="C63" s="89"/>
      <c r="D63" s="90"/>
      <c r="E63" s="91"/>
      <c r="F63" s="92"/>
      <c r="G63" s="92"/>
      <c r="H63" s="92"/>
      <c r="I63" s="93">
        <f>CEILING(SUM(I54:I62),1)</f>
        <v>0</v>
      </c>
    </row>
    <row r="64" spans="1:12">
      <c r="A64" s="57"/>
      <c r="B64" s="94"/>
      <c r="C64" s="66"/>
      <c r="D64" s="76"/>
      <c r="E64" s="64"/>
      <c r="I64" s="95"/>
    </row>
    <row r="65" spans="1:9">
      <c r="A65" s="57"/>
      <c r="B65" s="62"/>
      <c r="C65" s="66"/>
      <c r="D65" s="4"/>
      <c r="E65" s="64"/>
      <c r="G65" s="82"/>
      <c r="H65" s="82"/>
      <c r="I65" s="82"/>
    </row>
    <row r="66" spans="1:9">
      <c r="A66" s="60" t="s">
        <v>1015</v>
      </c>
      <c r="B66" s="67" t="s">
        <v>1016</v>
      </c>
      <c r="C66" s="68"/>
      <c r="D66" s="67"/>
      <c r="E66" s="70"/>
      <c r="F66" s="71"/>
      <c r="G66" s="71"/>
      <c r="H66" s="71"/>
      <c r="I66" s="71"/>
    </row>
    <row r="67" spans="1:9">
      <c r="A67" s="4"/>
      <c r="B67" s="62" t="s">
        <v>1017</v>
      </c>
      <c r="C67" s="63"/>
      <c r="D67" s="102">
        <v>5</v>
      </c>
      <c r="E67" s="64" t="s">
        <v>590</v>
      </c>
      <c r="F67" s="104">
        <v>0</v>
      </c>
      <c r="G67" s="82">
        <v>0</v>
      </c>
      <c r="H67" s="82">
        <f t="shared" ref="H67:H87" si="9">F67+G67</f>
        <v>0</v>
      </c>
      <c r="I67" s="82">
        <f t="shared" ref="I67:I102" si="10">H67*D67</f>
        <v>0</v>
      </c>
    </row>
    <row r="68" spans="1:9">
      <c r="A68" s="4"/>
      <c r="B68" s="62" t="s">
        <v>1018</v>
      </c>
      <c r="C68" s="63"/>
      <c r="D68" s="102">
        <v>5</v>
      </c>
      <c r="E68" s="64" t="s">
        <v>590</v>
      </c>
      <c r="F68" s="104">
        <v>0</v>
      </c>
      <c r="G68" s="82">
        <v>0</v>
      </c>
      <c r="H68" s="82">
        <f t="shared" si="9"/>
        <v>0</v>
      </c>
      <c r="I68" s="82">
        <f t="shared" si="10"/>
        <v>0</v>
      </c>
    </row>
    <row r="69" spans="1:9">
      <c r="A69" s="4" t="s">
        <v>783</v>
      </c>
      <c r="B69" s="62" t="s">
        <v>1019</v>
      </c>
      <c r="C69" s="63"/>
      <c r="D69" s="102">
        <v>5</v>
      </c>
      <c r="E69" s="64" t="s">
        <v>590</v>
      </c>
      <c r="F69" s="104">
        <v>0</v>
      </c>
      <c r="G69" s="82">
        <v>0</v>
      </c>
      <c r="H69" s="82">
        <f t="shared" si="9"/>
        <v>0</v>
      </c>
      <c r="I69" s="82">
        <f t="shared" si="10"/>
        <v>0</v>
      </c>
    </row>
    <row r="70" spans="1:9">
      <c r="A70" s="4"/>
      <c r="B70" s="62" t="s">
        <v>1020</v>
      </c>
      <c r="C70" s="63"/>
      <c r="D70" s="102">
        <v>5</v>
      </c>
      <c r="E70" s="64" t="s">
        <v>590</v>
      </c>
      <c r="F70" s="104">
        <v>0</v>
      </c>
      <c r="G70" s="82">
        <v>0</v>
      </c>
      <c r="H70" s="82">
        <v>0</v>
      </c>
      <c r="I70" s="147">
        <f t="shared" si="10"/>
        <v>0</v>
      </c>
    </row>
    <row r="71" spans="1:9">
      <c r="A71" s="4"/>
      <c r="B71" s="62" t="s">
        <v>1021</v>
      </c>
      <c r="D71" s="76">
        <v>4</v>
      </c>
      <c r="E71" s="77" t="s">
        <v>590</v>
      </c>
      <c r="F71" s="104">
        <v>0</v>
      </c>
      <c r="G71" s="82">
        <v>0</v>
      </c>
      <c r="H71" s="79">
        <f t="shared" ref="H71:H77" si="11">F71+G71</f>
        <v>0</v>
      </c>
      <c r="I71" s="79">
        <f t="shared" si="10"/>
        <v>0</v>
      </c>
    </row>
    <row r="72" spans="1:9">
      <c r="A72" s="4"/>
      <c r="B72" s="62" t="s">
        <v>1022</v>
      </c>
      <c r="D72" s="76">
        <v>1</v>
      </c>
      <c r="E72" s="77" t="s">
        <v>590</v>
      </c>
      <c r="F72" s="104">
        <v>0</v>
      </c>
      <c r="G72" s="82">
        <v>0</v>
      </c>
      <c r="H72" s="79">
        <f t="shared" si="11"/>
        <v>0</v>
      </c>
      <c r="I72" s="79">
        <f t="shared" si="10"/>
        <v>0</v>
      </c>
    </row>
    <row r="73" spans="1:9">
      <c r="A73" s="4"/>
      <c r="B73" s="62" t="s">
        <v>1023</v>
      </c>
      <c r="D73" s="76">
        <v>4</v>
      </c>
      <c r="E73" s="77" t="s">
        <v>590</v>
      </c>
      <c r="F73" s="104">
        <v>0</v>
      </c>
      <c r="G73" s="82">
        <v>0</v>
      </c>
      <c r="H73" s="79">
        <f t="shared" si="11"/>
        <v>0</v>
      </c>
      <c r="I73" s="79">
        <f t="shared" si="10"/>
        <v>0</v>
      </c>
    </row>
    <row r="74" spans="1:9">
      <c r="A74" s="4"/>
      <c r="B74" s="80" t="s">
        <v>1024</v>
      </c>
      <c r="D74" s="76">
        <v>8</v>
      </c>
      <c r="E74" s="77" t="s">
        <v>590</v>
      </c>
      <c r="F74" s="104">
        <v>0</v>
      </c>
      <c r="G74" s="82">
        <v>0</v>
      </c>
      <c r="H74" s="79">
        <f t="shared" si="11"/>
        <v>0</v>
      </c>
      <c r="I74" s="79">
        <f t="shared" si="10"/>
        <v>0</v>
      </c>
    </row>
    <row r="75" spans="1:9">
      <c r="A75" s="4"/>
      <c r="B75" s="80" t="s">
        <v>1025</v>
      </c>
      <c r="D75" s="76">
        <v>1</v>
      </c>
      <c r="E75" s="77" t="s">
        <v>590</v>
      </c>
      <c r="F75" s="104">
        <v>0</v>
      </c>
      <c r="G75" s="82">
        <v>0</v>
      </c>
      <c r="H75" s="79">
        <f t="shared" si="11"/>
        <v>0</v>
      </c>
      <c r="I75" s="79">
        <f t="shared" si="10"/>
        <v>0</v>
      </c>
    </row>
    <row r="76" spans="1:9">
      <c r="A76" s="4"/>
      <c r="B76" s="80" t="s">
        <v>1026</v>
      </c>
      <c r="D76" s="76">
        <v>9</v>
      </c>
      <c r="E76" s="77" t="s">
        <v>590</v>
      </c>
      <c r="F76" s="104">
        <v>0</v>
      </c>
      <c r="G76" s="82">
        <v>0</v>
      </c>
      <c r="H76" s="79">
        <f t="shared" si="11"/>
        <v>0</v>
      </c>
      <c r="I76" s="79">
        <f t="shared" si="10"/>
        <v>0</v>
      </c>
    </row>
    <row r="77" spans="1:9">
      <c r="A77" s="4"/>
      <c r="B77" s="62" t="s">
        <v>1027</v>
      </c>
      <c r="C77" s="63"/>
      <c r="D77" s="102">
        <v>4</v>
      </c>
      <c r="E77" s="64" t="s">
        <v>590</v>
      </c>
      <c r="F77" s="104">
        <v>0</v>
      </c>
      <c r="G77" s="82">
        <v>0</v>
      </c>
      <c r="H77" s="82">
        <f t="shared" si="11"/>
        <v>0</v>
      </c>
      <c r="I77" s="82">
        <f t="shared" si="10"/>
        <v>0</v>
      </c>
    </row>
    <row r="78" spans="1:9" ht="12.75" customHeight="1">
      <c r="A78" s="4"/>
      <c r="B78" s="80" t="s">
        <v>1028</v>
      </c>
      <c r="C78" s="63"/>
      <c r="D78" s="102">
        <v>30</v>
      </c>
      <c r="E78" s="64" t="s">
        <v>590</v>
      </c>
      <c r="F78" s="104">
        <v>0</v>
      </c>
      <c r="G78" s="82">
        <v>0</v>
      </c>
      <c r="H78" s="82">
        <f t="shared" si="9"/>
        <v>0</v>
      </c>
      <c r="I78" s="82">
        <f t="shared" si="10"/>
        <v>0</v>
      </c>
    </row>
    <row r="79" spans="1:9" ht="12.75" customHeight="1">
      <c r="A79" s="4"/>
      <c r="B79" s="80" t="s">
        <v>1029</v>
      </c>
      <c r="C79" s="63"/>
      <c r="D79" s="102">
        <v>45</v>
      </c>
      <c r="E79" s="64" t="s">
        <v>590</v>
      </c>
      <c r="F79" s="104">
        <v>0</v>
      </c>
      <c r="G79" s="82">
        <v>0</v>
      </c>
      <c r="H79" s="82">
        <f t="shared" si="9"/>
        <v>0</v>
      </c>
      <c r="I79" s="82">
        <f t="shared" si="10"/>
        <v>0</v>
      </c>
    </row>
    <row r="80" spans="1:9">
      <c r="A80" s="4"/>
      <c r="B80" s="105" t="s">
        <v>1030</v>
      </c>
      <c r="C80" s="106"/>
      <c r="D80" s="102">
        <v>250</v>
      </c>
      <c r="E80" s="64" t="s">
        <v>700</v>
      </c>
      <c r="F80" s="104">
        <v>0</v>
      </c>
      <c r="G80" s="82">
        <v>0</v>
      </c>
      <c r="H80" s="82">
        <f t="shared" si="9"/>
        <v>0</v>
      </c>
      <c r="I80" s="82">
        <f t="shared" si="10"/>
        <v>0</v>
      </c>
    </row>
    <row r="81" spans="1:9">
      <c r="A81" s="4"/>
      <c r="B81" s="105" t="s">
        <v>1031</v>
      </c>
      <c r="C81" s="106"/>
      <c r="D81" s="102">
        <v>750</v>
      </c>
      <c r="E81" s="64" t="s">
        <v>700</v>
      </c>
      <c r="F81" s="104">
        <v>0</v>
      </c>
      <c r="G81" s="82">
        <v>0</v>
      </c>
      <c r="H81" s="82">
        <f t="shared" si="9"/>
        <v>0</v>
      </c>
      <c r="I81" s="82">
        <f t="shared" si="10"/>
        <v>0</v>
      </c>
    </row>
    <row r="82" spans="1:9">
      <c r="A82" s="4"/>
      <c r="B82" s="105" t="s">
        <v>1032</v>
      </c>
      <c r="C82" s="106"/>
      <c r="D82" s="102">
        <v>200</v>
      </c>
      <c r="E82" s="64" t="s">
        <v>700</v>
      </c>
      <c r="F82" s="104">
        <v>0</v>
      </c>
      <c r="G82" s="82">
        <v>0</v>
      </c>
      <c r="H82" s="82">
        <f t="shared" si="9"/>
        <v>0</v>
      </c>
      <c r="I82" s="82">
        <f t="shared" si="10"/>
        <v>0</v>
      </c>
    </row>
    <row r="83" spans="1:9">
      <c r="A83" s="4"/>
      <c r="B83" s="105" t="s">
        <v>1033</v>
      </c>
      <c r="C83" s="106"/>
      <c r="D83" s="102">
        <v>20</v>
      </c>
      <c r="E83" s="64" t="s">
        <v>700</v>
      </c>
      <c r="F83" s="104">
        <v>0</v>
      </c>
      <c r="G83" s="82">
        <v>0</v>
      </c>
      <c r="H83" s="82">
        <f t="shared" si="9"/>
        <v>0</v>
      </c>
      <c r="I83" s="82">
        <f t="shared" si="10"/>
        <v>0</v>
      </c>
    </row>
    <row r="84" spans="1:9">
      <c r="A84" s="4"/>
      <c r="B84" s="105" t="s">
        <v>1034</v>
      </c>
      <c r="C84" s="106"/>
      <c r="D84" s="102">
        <v>30</v>
      </c>
      <c r="E84" s="64" t="s">
        <v>700</v>
      </c>
      <c r="F84" s="104">
        <v>0</v>
      </c>
      <c r="G84" s="82">
        <v>0</v>
      </c>
      <c r="H84" s="82">
        <f t="shared" si="9"/>
        <v>0</v>
      </c>
      <c r="I84" s="82">
        <f t="shared" si="10"/>
        <v>0</v>
      </c>
    </row>
    <row r="85" spans="1:9">
      <c r="A85" s="4"/>
      <c r="B85" s="105" t="s">
        <v>1035</v>
      </c>
      <c r="C85" s="106"/>
      <c r="D85" s="102">
        <v>70</v>
      </c>
      <c r="E85" s="64" t="s">
        <v>700</v>
      </c>
      <c r="F85" s="104">
        <v>0</v>
      </c>
      <c r="G85" s="82">
        <v>0</v>
      </c>
      <c r="H85" s="82">
        <f t="shared" si="9"/>
        <v>0</v>
      </c>
      <c r="I85" s="82">
        <f t="shared" si="10"/>
        <v>0</v>
      </c>
    </row>
    <row r="86" spans="1:9">
      <c r="A86" s="4"/>
      <c r="B86" s="105" t="s">
        <v>1036</v>
      </c>
      <c r="C86" s="106"/>
      <c r="D86" s="102">
        <v>60</v>
      </c>
      <c r="E86" s="64" t="s">
        <v>700</v>
      </c>
      <c r="F86" s="104">
        <v>0</v>
      </c>
      <c r="G86" s="82">
        <v>0</v>
      </c>
      <c r="H86" s="82">
        <f t="shared" si="9"/>
        <v>0</v>
      </c>
      <c r="I86" s="82">
        <f t="shared" si="10"/>
        <v>0</v>
      </c>
    </row>
    <row r="87" spans="1:9">
      <c r="A87" s="4"/>
      <c r="B87" s="105" t="s">
        <v>1037</v>
      </c>
      <c r="C87" s="106"/>
      <c r="D87" s="102">
        <v>150</v>
      </c>
      <c r="E87" s="64" t="s">
        <v>700</v>
      </c>
      <c r="F87" s="104">
        <v>0</v>
      </c>
      <c r="G87" s="82">
        <v>0</v>
      </c>
      <c r="H87" s="147">
        <f t="shared" si="9"/>
        <v>0</v>
      </c>
      <c r="I87" s="147">
        <f t="shared" si="10"/>
        <v>0</v>
      </c>
    </row>
    <row r="88" spans="1:9">
      <c r="A88" s="57"/>
      <c r="B88" s="62" t="s">
        <v>1008</v>
      </c>
      <c r="C88" s="66"/>
      <c r="D88" s="4">
        <v>30</v>
      </c>
      <c r="E88" s="64" t="s">
        <v>700</v>
      </c>
      <c r="F88" s="104">
        <v>0</v>
      </c>
      <c r="G88" s="82">
        <v>0</v>
      </c>
      <c r="H88" s="82">
        <f t="shared" ref="H88:H94" si="12">F88+G88</f>
        <v>0</v>
      </c>
      <c r="I88" s="82">
        <f t="shared" ref="I88:I94" si="13">H88*D88</f>
        <v>0</v>
      </c>
    </row>
    <row r="89" spans="1:9">
      <c r="A89" s="57"/>
      <c r="B89" s="62" t="s">
        <v>1009</v>
      </c>
      <c r="C89" s="66"/>
      <c r="D89" s="4">
        <v>30</v>
      </c>
      <c r="E89" s="64" t="s">
        <v>700</v>
      </c>
      <c r="F89" s="104">
        <v>0</v>
      </c>
      <c r="G89" s="82">
        <v>0</v>
      </c>
      <c r="H89" s="82">
        <f t="shared" si="12"/>
        <v>0</v>
      </c>
      <c r="I89" s="82">
        <f t="shared" si="13"/>
        <v>0</v>
      </c>
    </row>
    <row r="90" spans="1:9">
      <c r="A90" s="57"/>
      <c r="B90" s="62" t="s">
        <v>1010</v>
      </c>
      <c r="C90" s="66"/>
      <c r="D90" s="4">
        <v>6</v>
      </c>
      <c r="E90" s="64" t="s">
        <v>590</v>
      </c>
      <c r="F90" s="104">
        <v>0</v>
      </c>
      <c r="G90" s="82">
        <v>0</v>
      </c>
      <c r="H90" s="82">
        <f t="shared" si="12"/>
        <v>0</v>
      </c>
      <c r="I90" s="82">
        <f t="shared" si="13"/>
        <v>0</v>
      </c>
    </row>
    <row r="91" spans="1:9">
      <c r="A91" s="57"/>
      <c r="B91" s="62" t="s">
        <v>1011</v>
      </c>
      <c r="C91" s="66"/>
      <c r="D91" s="4">
        <v>60</v>
      </c>
      <c r="E91" s="64" t="s">
        <v>590</v>
      </c>
      <c r="F91" s="104">
        <v>0</v>
      </c>
      <c r="G91" s="82">
        <v>0</v>
      </c>
      <c r="H91" s="82">
        <f t="shared" si="12"/>
        <v>0</v>
      </c>
      <c r="I91" s="82">
        <f t="shared" si="13"/>
        <v>0</v>
      </c>
    </row>
    <row r="92" spans="1:9">
      <c r="A92" s="57"/>
      <c r="B92" s="62" t="s">
        <v>1012</v>
      </c>
      <c r="C92" s="66"/>
      <c r="D92" s="4">
        <v>1</v>
      </c>
      <c r="E92" s="64" t="s">
        <v>648</v>
      </c>
      <c r="F92" s="104">
        <v>0</v>
      </c>
      <c r="G92" s="82">
        <v>0</v>
      </c>
      <c r="H92" s="82">
        <f t="shared" si="12"/>
        <v>0</v>
      </c>
      <c r="I92" s="82">
        <f t="shared" si="13"/>
        <v>0</v>
      </c>
    </row>
    <row r="93" spans="1:9">
      <c r="A93" s="57"/>
      <c r="B93" s="62" t="s">
        <v>1013</v>
      </c>
      <c r="C93" s="66"/>
      <c r="D93" s="4">
        <v>100</v>
      </c>
      <c r="E93" s="64" t="s">
        <v>700</v>
      </c>
      <c r="F93" s="104">
        <v>0</v>
      </c>
      <c r="G93" s="82">
        <v>0</v>
      </c>
      <c r="H93" s="82">
        <f t="shared" si="12"/>
        <v>0</v>
      </c>
      <c r="I93" s="82">
        <f t="shared" si="13"/>
        <v>0</v>
      </c>
    </row>
    <row r="94" spans="1:9">
      <c r="A94" s="4"/>
      <c r="B94" s="105" t="s">
        <v>1038</v>
      </c>
      <c r="C94" s="106"/>
      <c r="D94" s="102">
        <v>90</v>
      </c>
      <c r="E94" s="64" t="s">
        <v>700</v>
      </c>
      <c r="F94" s="104">
        <v>0</v>
      </c>
      <c r="G94" s="82">
        <v>0</v>
      </c>
      <c r="H94" s="82">
        <f t="shared" si="12"/>
        <v>0</v>
      </c>
      <c r="I94" s="82">
        <f t="shared" si="13"/>
        <v>0</v>
      </c>
    </row>
    <row r="95" spans="1:9">
      <c r="A95" s="4"/>
      <c r="B95" s="105"/>
      <c r="C95" s="106"/>
      <c r="D95" s="102"/>
      <c r="E95" s="64"/>
      <c r="F95" s="104"/>
      <c r="G95" s="82"/>
      <c r="H95" s="82"/>
      <c r="I95" s="82"/>
    </row>
    <row r="96" spans="1:9">
      <c r="A96" s="4"/>
      <c r="B96" s="105" t="s">
        <v>1039</v>
      </c>
      <c r="C96" s="106"/>
      <c r="D96" s="102"/>
      <c r="E96" s="64"/>
      <c r="F96" s="104"/>
      <c r="G96" s="82"/>
      <c r="H96" s="82"/>
      <c r="I96" s="82"/>
    </row>
    <row r="97" spans="1:9">
      <c r="A97" s="4"/>
      <c r="B97" s="105" t="s">
        <v>1040</v>
      </c>
      <c r="C97" s="106"/>
      <c r="D97" s="102">
        <v>22</v>
      </c>
      <c r="E97" s="64" t="s">
        <v>590</v>
      </c>
      <c r="F97" s="104">
        <v>0</v>
      </c>
      <c r="G97" s="82">
        <v>0</v>
      </c>
      <c r="H97" s="82">
        <f t="shared" ref="H97:H102" si="14">F97+G97</f>
        <v>0</v>
      </c>
      <c r="I97" s="82">
        <f t="shared" si="10"/>
        <v>0</v>
      </c>
    </row>
    <row r="98" spans="1:9">
      <c r="A98" s="4"/>
      <c r="B98" s="105" t="s">
        <v>1041</v>
      </c>
      <c r="C98" s="106"/>
      <c r="D98" s="102">
        <v>7</v>
      </c>
      <c r="E98" s="64" t="s">
        <v>590</v>
      </c>
      <c r="F98" s="104">
        <v>0</v>
      </c>
      <c r="G98" s="82">
        <v>0</v>
      </c>
      <c r="H98" s="82">
        <f t="shared" si="14"/>
        <v>0</v>
      </c>
      <c r="I98" s="82">
        <f t="shared" si="10"/>
        <v>0</v>
      </c>
    </row>
    <row r="99" spans="1:9">
      <c r="A99" s="4"/>
      <c r="B99" s="105" t="s">
        <v>1042</v>
      </c>
      <c r="C99" s="106"/>
      <c r="D99" s="102">
        <v>2</v>
      </c>
      <c r="E99" s="64" t="s">
        <v>590</v>
      </c>
      <c r="F99" s="104">
        <v>0</v>
      </c>
      <c r="G99" s="82">
        <v>0</v>
      </c>
      <c r="H99" s="82">
        <f t="shared" si="14"/>
        <v>0</v>
      </c>
      <c r="I99" s="82">
        <f t="shared" si="10"/>
        <v>0</v>
      </c>
    </row>
    <row r="100" spans="1:9">
      <c r="A100" s="4"/>
      <c r="B100" s="105" t="s">
        <v>1043</v>
      </c>
      <c r="C100" s="106"/>
      <c r="D100" s="102">
        <v>1</v>
      </c>
      <c r="E100" s="64" t="s">
        <v>590</v>
      </c>
      <c r="F100" s="104">
        <v>0</v>
      </c>
      <c r="G100" s="82">
        <v>0</v>
      </c>
      <c r="H100" s="82">
        <f t="shared" si="14"/>
        <v>0</v>
      </c>
      <c r="I100" s="82">
        <f t="shared" si="10"/>
        <v>0</v>
      </c>
    </row>
    <row r="101" spans="1:9">
      <c r="A101" s="4"/>
      <c r="B101" s="62" t="s">
        <v>1044</v>
      </c>
      <c r="C101" s="63"/>
      <c r="D101" s="102">
        <v>1</v>
      </c>
      <c r="E101" s="64" t="s">
        <v>648</v>
      </c>
      <c r="F101" s="104">
        <v>0</v>
      </c>
      <c r="G101" s="82">
        <v>0</v>
      </c>
      <c r="H101" s="82">
        <f t="shared" si="14"/>
        <v>0</v>
      </c>
      <c r="I101" s="82">
        <f t="shared" si="10"/>
        <v>0</v>
      </c>
    </row>
    <row r="102" spans="1:9">
      <c r="A102" s="4"/>
      <c r="B102" s="62" t="s">
        <v>1045</v>
      </c>
      <c r="C102" s="63"/>
      <c r="D102" s="102">
        <v>1</v>
      </c>
      <c r="E102" s="64" t="s">
        <v>648</v>
      </c>
      <c r="F102" s="104">
        <v>0</v>
      </c>
      <c r="G102" s="82">
        <v>0</v>
      </c>
      <c r="H102" s="82">
        <f t="shared" si="14"/>
        <v>0</v>
      </c>
      <c r="I102" s="82">
        <f t="shared" si="10"/>
        <v>0</v>
      </c>
    </row>
    <row r="103" spans="1:9" ht="15.75" thickBot="1">
      <c r="A103" s="4"/>
      <c r="C103" s="107"/>
      <c r="D103" s="102"/>
      <c r="E103" s="57"/>
      <c r="F103" s="101"/>
      <c r="G103" s="82"/>
      <c r="H103" s="82"/>
      <c r="I103" s="82"/>
    </row>
    <row r="104" spans="1:9" ht="15.75" thickBot="1">
      <c r="A104" s="108"/>
      <c r="B104" s="88" t="s">
        <v>1046</v>
      </c>
      <c r="C104" s="89"/>
      <c r="D104" s="109"/>
      <c r="E104" s="91"/>
      <c r="F104" s="92"/>
      <c r="G104" s="92"/>
      <c r="H104" s="92"/>
      <c r="I104" s="93">
        <f>CEILING(SUM(I67:I103),10)</f>
        <v>0</v>
      </c>
    </row>
    <row r="105" spans="1:9">
      <c r="A105" s="4"/>
      <c r="B105" s="94"/>
      <c r="C105" s="66"/>
      <c r="D105" s="102"/>
      <c r="E105" s="64"/>
      <c r="I105" s="95"/>
    </row>
    <row r="106" spans="1:9">
      <c r="A106" s="57"/>
      <c r="B106" s="94"/>
      <c r="C106" s="66"/>
      <c r="D106" s="102"/>
      <c r="E106" s="64"/>
      <c r="I106" s="95"/>
    </row>
    <row r="107" spans="1:9">
      <c r="A107" s="98" t="s">
        <v>1047</v>
      </c>
      <c r="B107" s="110" t="s">
        <v>1048</v>
      </c>
      <c r="C107" s="99"/>
      <c r="D107" s="111"/>
      <c r="E107" s="60"/>
      <c r="F107" s="100"/>
      <c r="G107" s="112"/>
      <c r="H107" s="112"/>
      <c r="I107" s="112"/>
    </row>
    <row r="108" spans="1:9" ht="26.45" customHeight="1">
      <c r="A108" s="4"/>
      <c r="B108" s="80" t="s">
        <v>1049</v>
      </c>
      <c r="C108" s="113"/>
      <c r="D108" s="102">
        <v>1</v>
      </c>
      <c r="E108" s="57" t="s">
        <v>648</v>
      </c>
      <c r="F108" s="101">
        <v>0</v>
      </c>
      <c r="G108" s="82">
        <v>0</v>
      </c>
      <c r="H108" s="82">
        <f t="shared" ref="H108:H121" si="15">F108+G108</f>
        <v>0</v>
      </c>
      <c r="I108" s="82">
        <f t="shared" ref="I108:I115" si="16">D108*H108</f>
        <v>0</v>
      </c>
    </row>
    <row r="109" spans="1:9">
      <c r="A109" s="4"/>
      <c r="B109" s="1" t="s">
        <v>1050</v>
      </c>
      <c r="C109" s="113"/>
      <c r="D109" s="57">
        <v>1</v>
      </c>
      <c r="E109" s="57" t="s">
        <v>648</v>
      </c>
      <c r="F109" s="101">
        <v>0</v>
      </c>
      <c r="G109" s="82">
        <v>0</v>
      </c>
      <c r="H109" s="82">
        <f t="shared" si="15"/>
        <v>0</v>
      </c>
      <c r="I109" s="82">
        <f t="shared" si="16"/>
        <v>0</v>
      </c>
    </row>
    <row r="110" spans="1:9">
      <c r="A110" s="4"/>
      <c r="B110" s="1" t="s">
        <v>1051</v>
      </c>
      <c r="C110" s="113"/>
      <c r="D110" s="57">
        <v>1</v>
      </c>
      <c r="E110" s="57" t="s">
        <v>648</v>
      </c>
      <c r="F110" s="101">
        <v>0</v>
      </c>
      <c r="G110" s="82">
        <v>0</v>
      </c>
      <c r="H110" s="82">
        <f t="shared" si="15"/>
        <v>0</v>
      </c>
      <c r="I110" s="82">
        <f t="shared" si="16"/>
        <v>0</v>
      </c>
    </row>
    <row r="111" spans="1:9">
      <c r="A111" s="4"/>
      <c r="B111" s="1" t="s">
        <v>1052</v>
      </c>
      <c r="C111" s="113"/>
      <c r="D111" s="57">
        <v>1</v>
      </c>
      <c r="E111" s="57" t="s">
        <v>648</v>
      </c>
      <c r="F111" s="101">
        <v>0</v>
      </c>
      <c r="G111" s="82">
        <v>0</v>
      </c>
      <c r="H111" s="82">
        <f t="shared" si="15"/>
        <v>0</v>
      </c>
      <c r="I111" s="82">
        <f t="shared" si="16"/>
        <v>0</v>
      </c>
    </row>
    <row r="112" spans="1:9">
      <c r="A112" s="4"/>
      <c r="B112" s="1" t="s">
        <v>1053</v>
      </c>
      <c r="C112" s="113"/>
      <c r="D112" s="57">
        <v>1</v>
      </c>
      <c r="E112" s="57" t="s">
        <v>648</v>
      </c>
      <c r="F112" s="101">
        <v>0</v>
      </c>
      <c r="G112" s="82">
        <v>0</v>
      </c>
      <c r="H112" s="82">
        <f t="shared" si="15"/>
        <v>0</v>
      </c>
      <c r="I112" s="82">
        <f t="shared" si="16"/>
        <v>0</v>
      </c>
    </row>
    <row r="113" spans="1:9" ht="14.25" customHeight="1">
      <c r="A113" s="4"/>
      <c r="B113" s="80" t="s">
        <v>1054</v>
      </c>
      <c r="C113" s="113"/>
      <c r="D113" s="57">
        <v>1</v>
      </c>
      <c r="E113" s="57" t="s">
        <v>648</v>
      </c>
      <c r="F113" s="101">
        <v>0</v>
      </c>
      <c r="G113" s="82">
        <v>0</v>
      </c>
      <c r="H113" s="82">
        <f t="shared" si="15"/>
        <v>0</v>
      </c>
      <c r="I113" s="82">
        <f t="shared" si="16"/>
        <v>0</v>
      </c>
    </row>
    <row r="114" spans="1:9">
      <c r="A114" s="4"/>
      <c r="B114" s="1" t="s">
        <v>1055</v>
      </c>
      <c r="C114" s="63"/>
      <c r="D114" s="57">
        <v>1</v>
      </c>
      <c r="E114" s="57" t="s">
        <v>648</v>
      </c>
      <c r="F114" s="101">
        <v>0</v>
      </c>
      <c r="G114" s="82">
        <v>0</v>
      </c>
      <c r="H114" s="82">
        <f t="shared" si="15"/>
        <v>0</v>
      </c>
      <c r="I114" s="82">
        <f t="shared" si="16"/>
        <v>0</v>
      </c>
    </row>
    <row r="115" spans="1:9">
      <c r="A115" s="4"/>
      <c r="B115" s="1" t="s">
        <v>1056</v>
      </c>
      <c r="C115" s="113"/>
      <c r="D115" s="57">
        <v>1</v>
      </c>
      <c r="E115" s="57" t="s">
        <v>648</v>
      </c>
      <c r="F115" s="101">
        <v>0</v>
      </c>
      <c r="G115" s="82">
        <v>0</v>
      </c>
      <c r="H115" s="82">
        <f t="shared" si="15"/>
        <v>0</v>
      </c>
      <c r="I115" s="82">
        <f t="shared" si="16"/>
        <v>0</v>
      </c>
    </row>
    <row r="116" spans="1:9">
      <c r="A116" s="4"/>
      <c r="B116" s="1" t="s">
        <v>1057</v>
      </c>
      <c r="C116" s="63"/>
      <c r="D116" s="57">
        <v>24</v>
      </c>
      <c r="E116" s="57" t="s">
        <v>549</v>
      </c>
      <c r="F116" s="101">
        <v>0</v>
      </c>
      <c r="G116" s="82">
        <v>0</v>
      </c>
      <c r="H116" s="82">
        <f t="shared" si="15"/>
        <v>0</v>
      </c>
      <c r="I116" s="82">
        <f>D116*H116</f>
        <v>0</v>
      </c>
    </row>
    <row r="117" spans="1:9">
      <c r="A117" s="4"/>
      <c r="B117" s="1" t="s">
        <v>1058</v>
      </c>
      <c r="C117" s="63"/>
      <c r="D117" s="57">
        <v>36</v>
      </c>
      <c r="E117" s="57" t="s">
        <v>549</v>
      </c>
      <c r="F117" s="101">
        <v>0</v>
      </c>
      <c r="G117" s="82">
        <v>0</v>
      </c>
      <c r="H117" s="82">
        <f t="shared" si="15"/>
        <v>0</v>
      </c>
      <c r="I117" s="82">
        <f>D117*H117</f>
        <v>0</v>
      </c>
    </row>
    <row r="118" spans="1:9">
      <c r="A118" s="4"/>
      <c r="B118" s="1" t="s">
        <v>1059</v>
      </c>
      <c r="C118" s="63"/>
      <c r="D118" s="57">
        <v>1</v>
      </c>
      <c r="E118" s="57" t="s">
        <v>648</v>
      </c>
      <c r="F118" s="101">
        <v>0</v>
      </c>
      <c r="G118" s="82">
        <v>0</v>
      </c>
      <c r="H118" s="82">
        <f t="shared" si="15"/>
        <v>0</v>
      </c>
      <c r="I118" s="82">
        <f t="shared" ref="I118:I120" si="17">D118*H118</f>
        <v>0</v>
      </c>
    </row>
    <row r="119" spans="1:9">
      <c r="A119" s="4"/>
      <c r="B119" s="1" t="s">
        <v>1060</v>
      </c>
      <c r="C119" s="57"/>
      <c r="D119" s="57">
        <v>1</v>
      </c>
      <c r="E119" s="57" t="s">
        <v>648</v>
      </c>
      <c r="F119" s="101">
        <v>0</v>
      </c>
      <c r="G119" s="82">
        <v>0</v>
      </c>
      <c r="H119" s="82">
        <f t="shared" si="15"/>
        <v>0</v>
      </c>
      <c r="I119" s="82">
        <f t="shared" si="17"/>
        <v>0</v>
      </c>
    </row>
    <row r="120" spans="1:9">
      <c r="A120" s="4"/>
      <c r="B120" s="1" t="s">
        <v>1061</v>
      </c>
      <c r="C120" s="63"/>
      <c r="D120" s="57">
        <v>1</v>
      </c>
      <c r="E120" s="57" t="s">
        <v>648</v>
      </c>
      <c r="F120" s="101">
        <v>0</v>
      </c>
      <c r="G120" s="82">
        <v>0</v>
      </c>
      <c r="H120" s="82">
        <f t="shared" si="15"/>
        <v>0</v>
      </c>
      <c r="I120" s="82">
        <f t="shared" si="17"/>
        <v>0</v>
      </c>
    </row>
    <row r="121" spans="1:9" ht="15.75" thickBot="1">
      <c r="A121" s="4"/>
      <c r="B121" s="1" t="s">
        <v>1062</v>
      </c>
      <c r="C121" s="57"/>
      <c r="D121" s="57">
        <v>1</v>
      </c>
      <c r="E121" s="57" t="s">
        <v>648</v>
      </c>
      <c r="F121" s="101">
        <v>0</v>
      </c>
      <c r="G121" s="82">
        <v>0</v>
      </c>
      <c r="H121" s="82">
        <f t="shared" si="15"/>
        <v>0</v>
      </c>
      <c r="I121" s="82"/>
    </row>
    <row r="122" spans="1:9" ht="15.75" thickBot="1">
      <c r="A122" s="87"/>
      <c r="B122" s="88" t="s">
        <v>1063</v>
      </c>
      <c r="C122" s="89"/>
      <c r="D122" s="109"/>
      <c r="E122" s="91"/>
      <c r="F122" s="92"/>
      <c r="G122" s="92"/>
      <c r="H122" s="92"/>
      <c r="I122" s="93">
        <f>SUM(I108:I121)</f>
        <v>0</v>
      </c>
    </row>
    <row r="123" spans="1:9" ht="15.75" thickBot="1">
      <c r="A123" s="57"/>
      <c r="B123" s="114"/>
      <c r="C123" s="97"/>
      <c r="D123" s="57"/>
      <c r="E123" s="64"/>
      <c r="H123" s="115"/>
      <c r="I123" s="115"/>
    </row>
    <row r="124" spans="1:9">
      <c r="A124" s="116"/>
      <c r="B124" s="117" t="s">
        <v>1169</v>
      </c>
      <c r="C124" s="118"/>
      <c r="D124" s="119"/>
      <c r="E124" s="120"/>
      <c r="F124" s="121"/>
      <c r="G124" s="121"/>
      <c r="H124" s="121"/>
      <c r="I124" s="148">
        <f>I11+I36+I49+I63+I104+I122</f>
        <v>0</v>
      </c>
    </row>
    <row r="125" spans="1:9">
      <c r="A125" s="122"/>
      <c r="B125" s="94" t="s">
        <v>1064</v>
      </c>
      <c r="C125" s="66"/>
      <c r="D125" s="123">
        <v>0.21</v>
      </c>
      <c r="E125" s="64"/>
      <c r="I125" s="124">
        <f>I124*D125</f>
        <v>0</v>
      </c>
    </row>
    <row r="126" spans="1:9" ht="15.75" thickBot="1">
      <c r="A126" s="125"/>
      <c r="B126" s="126" t="s">
        <v>957</v>
      </c>
      <c r="C126" s="127"/>
      <c r="D126" s="128"/>
      <c r="E126" s="129"/>
      <c r="F126" s="130"/>
      <c r="G126" s="130"/>
      <c r="H126" s="130"/>
      <c r="I126" s="131">
        <f>SUM(I124:I125)</f>
        <v>0</v>
      </c>
    </row>
    <row r="128" spans="1:9">
      <c r="A128" s="408"/>
      <c r="B128" s="408"/>
      <c r="C128" s="408"/>
      <c r="D128" s="408"/>
      <c r="E128" s="408"/>
      <c r="F128" s="408"/>
      <c r="G128" s="408"/>
      <c r="H128" s="408"/>
      <c r="I128" s="408"/>
    </row>
    <row r="129" spans="1:9">
      <c r="A129" s="408"/>
      <c r="B129" s="408"/>
      <c r="C129" s="408"/>
      <c r="D129" s="408"/>
      <c r="E129" s="408"/>
      <c r="F129" s="408"/>
      <c r="G129" s="408"/>
      <c r="H129" s="408"/>
      <c r="I129" s="408"/>
    </row>
    <row r="130" spans="1:9">
      <c r="A130" s="408"/>
      <c r="B130" s="408"/>
      <c r="C130" s="408"/>
      <c r="D130" s="408"/>
      <c r="E130" s="408"/>
      <c r="F130" s="408"/>
      <c r="G130" s="408"/>
      <c r="H130" s="408"/>
      <c r="I130" s="408"/>
    </row>
    <row r="131" spans="1:9">
      <c r="A131" s="408"/>
      <c r="B131" s="408"/>
      <c r="C131" s="408"/>
      <c r="D131" s="408"/>
      <c r="E131" s="408"/>
      <c r="F131" s="408"/>
      <c r="G131" s="408"/>
      <c r="H131" s="408"/>
      <c r="I131" s="408"/>
    </row>
    <row r="132" spans="1:9">
      <c r="A132" s="408"/>
      <c r="B132" s="408"/>
      <c r="C132" s="408"/>
      <c r="D132" s="408"/>
      <c r="E132" s="408"/>
      <c r="F132" s="408"/>
      <c r="G132" s="408"/>
      <c r="H132" s="408"/>
      <c r="I132" s="408"/>
    </row>
    <row r="133" spans="1:9">
      <c r="A133" s="408"/>
      <c r="B133" s="408"/>
      <c r="C133" s="408"/>
      <c r="D133" s="408"/>
      <c r="E133" s="408"/>
      <c r="F133" s="408"/>
      <c r="G133" s="408"/>
      <c r="H133" s="408"/>
      <c r="I133" s="408"/>
    </row>
    <row r="134" spans="1:9">
      <c r="A134" s="408"/>
      <c r="B134" s="408"/>
      <c r="C134" s="408"/>
      <c r="D134" s="408"/>
      <c r="E134" s="408"/>
      <c r="F134" s="408"/>
      <c r="G134" s="408"/>
      <c r="H134" s="408"/>
      <c r="I134" s="408"/>
    </row>
    <row r="135" spans="1:9">
      <c r="A135" s="408"/>
      <c r="B135" s="408"/>
      <c r="C135" s="408"/>
      <c r="D135" s="408"/>
      <c r="E135" s="408"/>
      <c r="F135" s="408"/>
      <c r="G135" s="408"/>
      <c r="H135" s="408"/>
      <c r="I135" s="408"/>
    </row>
    <row r="136" spans="1:9">
      <c r="A136" s="408"/>
      <c r="B136" s="408"/>
      <c r="C136" s="408"/>
      <c r="D136" s="408"/>
      <c r="E136" s="408"/>
      <c r="F136" s="408"/>
      <c r="G136" s="408"/>
      <c r="H136" s="408"/>
      <c r="I136" s="408"/>
    </row>
  </sheetData>
  <mergeCells count="4">
    <mergeCell ref="B15:C15"/>
    <mergeCell ref="B16:C16"/>
    <mergeCell ref="B61:C61"/>
    <mergeCell ref="A128:I136"/>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IQ1048576"/>
  <sheetViews>
    <sheetView topLeftCell="A19" workbookViewId="0">
      <selection activeCell="K125" sqref="K124:K125"/>
    </sheetView>
  </sheetViews>
  <sheetFormatPr defaultColWidth="9.33203125" defaultRowHeight="12.75"/>
  <cols>
    <col min="1" max="1" width="12.5" style="155" customWidth="1"/>
    <col min="2" max="2" width="53.6640625" style="155" customWidth="1"/>
    <col min="3" max="10" width="11.5" style="155" customWidth="1"/>
    <col min="11" max="11" width="15.33203125" style="155" customWidth="1"/>
    <col min="12" max="12" width="0.83203125" style="155" customWidth="1"/>
    <col min="13" max="251" width="11.33203125" style="155" customWidth="1"/>
    <col min="252" max="16384" width="9.33203125" style="156"/>
  </cols>
  <sheetData>
    <row r="1" spans="1:11" ht="42" customHeight="1">
      <c r="A1" s="412" t="s">
        <v>1170</v>
      </c>
      <c r="B1" s="412"/>
      <c r="C1" s="412"/>
      <c r="D1" s="412"/>
      <c r="E1" s="412"/>
      <c r="F1" s="412"/>
      <c r="G1" s="412"/>
      <c r="H1" s="412"/>
      <c r="I1" s="412"/>
      <c r="J1" s="412"/>
      <c r="K1" s="412"/>
    </row>
    <row r="2" spans="1:11" ht="18.399999999999999" customHeight="1">
      <c r="A2" s="413" t="s">
        <v>1065</v>
      </c>
      <c r="B2" s="413"/>
      <c r="C2" s="413"/>
      <c r="D2" s="413"/>
      <c r="E2" s="413"/>
      <c r="F2" s="413"/>
      <c r="G2" s="413"/>
      <c r="H2" s="413"/>
      <c r="I2" s="413"/>
      <c r="J2" s="413"/>
      <c r="K2" s="413"/>
    </row>
    <row r="3" spans="1:11" ht="12" customHeight="1">
      <c r="A3" s="157" t="s">
        <v>1171</v>
      </c>
      <c r="B3" s="158"/>
    </row>
    <row r="4" spans="1:11" ht="12" customHeight="1">
      <c r="A4" s="157" t="s">
        <v>1172</v>
      </c>
      <c r="B4" s="159" t="s">
        <v>1173</v>
      </c>
    </row>
    <row r="5" spans="1:11" ht="12" customHeight="1">
      <c r="A5" s="157" t="s">
        <v>1174</v>
      </c>
      <c r="B5" s="160"/>
    </row>
    <row r="6" spans="1:11" ht="12" customHeight="1">
      <c r="A6" s="157" t="s">
        <v>1175</v>
      </c>
      <c r="B6" s="161" t="s">
        <v>1066</v>
      </c>
    </row>
    <row r="7" spans="1:11" ht="12" customHeight="1">
      <c r="A7" s="157" t="s">
        <v>1067</v>
      </c>
      <c r="B7" s="162"/>
    </row>
    <row r="8" spans="1:11" ht="12" customHeight="1">
      <c r="E8" s="409" t="s">
        <v>1068</v>
      </c>
      <c r="F8" s="409"/>
      <c r="G8" s="409"/>
      <c r="H8" s="409"/>
      <c r="I8" s="410">
        <f>+K12</f>
        <v>0</v>
      </c>
      <c r="J8" s="410"/>
      <c r="K8" s="410"/>
    </row>
    <row r="9" spans="1:11" ht="12" customHeight="1">
      <c r="E9" s="411" t="s">
        <v>1069</v>
      </c>
      <c r="F9" s="411"/>
      <c r="G9" s="411"/>
      <c r="H9" s="411"/>
      <c r="I9" s="410">
        <f>+K11</f>
        <v>0</v>
      </c>
      <c r="J9" s="410"/>
      <c r="K9" s="410"/>
    </row>
    <row r="10" spans="1:11" ht="12" customHeight="1">
      <c r="A10" s="163" t="s">
        <v>1070</v>
      </c>
      <c r="B10" s="164" t="s">
        <v>1071</v>
      </c>
      <c r="C10" s="165" t="s">
        <v>1072</v>
      </c>
      <c r="D10" s="166" t="s">
        <v>1073</v>
      </c>
      <c r="E10" s="167" t="s">
        <v>1074</v>
      </c>
      <c r="F10" s="167" t="s">
        <v>1075</v>
      </c>
      <c r="G10" s="167"/>
      <c r="H10" s="167"/>
      <c r="I10" s="167"/>
      <c r="J10" s="167" t="s">
        <v>1076</v>
      </c>
      <c r="K10" s="168" t="s">
        <v>1077</v>
      </c>
    </row>
    <row r="11" spans="1:11" ht="12" customHeight="1">
      <c r="A11" s="169"/>
      <c r="B11" s="170"/>
      <c r="C11" s="171"/>
      <c r="D11" s="171"/>
      <c r="E11" s="171"/>
      <c r="F11" s="171"/>
      <c r="G11" s="171"/>
      <c r="H11" s="171"/>
      <c r="I11" s="171"/>
      <c r="J11" s="171"/>
      <c r="K11" s="171"/>
    </row>
    <row r="12" spans="1:11" ht="12" customHeight="1">
      <c r="A12" s="172" t="s">
        <v>1078</v>
      </c>
      <c r="B12" s="172" t="s">
        <v>1079</v>
      </c>
      <c r="C12" s="173"/>
      <c r="D12" s="174"/>
      <c r="E12" s="175"/>
      <c r="F12" s="176"/>
      <c r="G12" s="175"/>
      <c r="H12" s="175"/>
      <c r="I12" s="177"/>
      <c r="J12" s="176"/>
      <c r="K12" s="176">
        <f>SUM(J13:J44)</f>
        <v>0</v>
      </c>
    </row>
    <row r="13" spans="1:11" ht="104.25" customHeight="1">
      <c r="A13" s="178" t="s">
        <v>1080</v>
      </c>
      <c r="B13" s="179" t="s">
        <v>1081</v>
      </c>
      <c r="C13" s="353" t="s">
        <v>590</v>
      </c>
      <c r="D13" s="181">
        <v>1</v>
      </c>
      <c r="E13" s="182"/>
      <c r="F13" s="183">
        <f>E13*D13</f>
        <v>0</v>
      </c>
      <c r="G13" s="203"/>
      <c r="H13" s="183"/>
      <c r="I13" s="184"/>
      <c r="J13" s="184">
        <f>F13+G13+H13+I13</f>
        <v>0</v>
      </c>
      <c r="K13" s="185"/>
    </row>
    <row r="14" spans="1:11" ht="47.25" customHeight="1">
      <c r="A14" s="178" t="s">
        <v>1082</v>
      </c>
      <c r="B14" s="179" t="s">
        <v>1083</v>
      </c>
      <c r="C14" s="180" t="s">
        <v>590</v>
      </c>
      <c r="D14" s="181">
        <v>1</v>
      </c>
      <c r="E14" s="182"/>
      <c r="F14" s="183">
        <f t="shared" ref="F14:F39" si="0">E14*D14</f>
        <v>0</v>
      </c>
      <c r="G14" s="203"/>
      <c r="H14" s="183"/>
      <c r="I14" s="184"/>
      <c r="J14" s="184">
        <f t="shared" ref="J14:J39" si="1">F14+G14+H14+I14</f>
        <v>0</v>
      </c>
      <c r="K14" s="185"/>
    </row>
    <row r="15" spans="1:11" ht="11.65" customHeight="1">
      <c r="A15" s="178" t="s">
        <v>1084</v>
      </c>
      <c r="B15" s="179" t="s">
        <v>1085</v>
      </c>
      <c r="C15" s="180" t="s">
        <v>700</v>
      </c>
      <c r="D15" s="186">
        <v>15</v>
      </c>
      <c r="E15" s="187"/>
      <c r="F15" s="183">
        <f t="shared" si="0"/>
        <v>0</v>
      </c>
      <c r="G15" s="203"/>
      <c r="H15" s="183"/>
      <c r="I15" s="184"/>
      <c r="J15" s="184">
        <f t="shared" si="1"/>
        <v>0</v>
      </c>
      <c r="K15" s="185"/>
    </row>
    <row r="16" spans="1:11" ht="12.2" customHeight="1">
      <c r="A16" s="178" t="s">
        <v>1086</v>
      </c>
      <c r="B16" s="179" t="s">
        <v>1087</v>
      </c>
      <c r="C16" s="180" t="s">
        <v>590</v>
      </c>
      <c r="D16" s="186">
        <v>1</v>
      </c>
      <c r="E16" s="187"/>
      <c r="F16" s="183">
        <f t="shared" si="0"/>
        <v>0</v>
      </c>
      <c r="G16" s="203"/>
      <c r="H16" s="183"/>
      <c r="I16" s="184"/>
      <c r="J16" s="184">
        <f t="shared" si="1"/>
        <v>0</v>
      </c>
      <c r="K16" s="185"/>
    </row>
    <row r="17" spans="1:15" ht="11.65" customHeight="1">
      <c r="A17" s="178" t="s">
        <v>1088</v>
      </c>
      <c r="B17" s="179" t="s">
        <v>1089</v>
      </c>
      <c r="C17" s="180" t="s">
        <v>590</v>
      </c>
      <c r="D17" s="186">
        <v>2</v>
      </c>
      <c r="E17" s="187"/>
      <c r="F17" s="183">
        <f t="shared" si="0"/>
        <v>0</v>
      </c>
      <c r="G17" s="203"/>
      <c r="H17" s="183"/>
      <c r="I17" s="184"/>
      <c r="J17" s="184">
        <f t="shared" si="1"/>
        <v>0</v>
      </c>
      <c r="K17" s="185"/>
    </row>
    <row r="18" spans="1:15" ht="31.15" customHeight="1">
      <c r="A18" s="188" t="s">
        <v>1090</v>
      </c>
      <c r="B18" s="179" t="s">
        <v>1091</v>
      </c>
      <c r="C18" s="180" t="s">
        <v>590</v>
      </c>
      <c r="D18" s="186">
        <v>2</v>
      </c>
      <c r="E18" s="187"/>
      <c r="F18" s="183">
        <f t="shared" si="0"/>
        <v>0</v>
      </c>
      <c r="G18" s="203"/>
      <c r="H18" s="183"/>
      <c r="I18" s="184"/>
      <c r="J18" s="184">
        <f t="shared" si="1"/>
        <v>0</v>
      </c>
      <c r="K18" s="185"/>
    </row>
    <row r="19" spans="1:15" ht="10.9" customHeight="1">
      <c r="A19" s="188" t="s">
        <v>1092</v>
      </c>
      <c r="B19" s="179" t="s">
        <v>1176</v>
      </c>
      <c r="C19" s="180" t="s">
        <v>590</v>
      </c>
      <c r="D19" s="186">
        <v>1</v>
      </c>
      <c r="E19" s="187"/>
      <c r="F19" s="183">
        <f t="shared" si="0"/>
        <v>0</v>
      </c>
      <c r="G19" s="203"/>
      <c r="H19" s="183"/>
      <c r="I19" s="184"/>
      <c r="J19" s="184">
        <f t="shared" si="1"/>
        <v>0</v>
      </c>
      <c r="K19" s="185"/>
    </row>
    <row r="20" spans="1:15" ht="12.2" customHeight="1">
      <c r="A20" s="188" t="s">
        <v>1093</v>
      </c>
      <c r="B20" s="179" t="s">
        <v>1177</v>
      </c>
      <c r="C20" s="180" t="s">
        <v>590</v>
      </c>
      <c r="D20" s="186">
        <v>1</v>
      </c>
      <c r="E20" s="187"/>
      <c r="F20" s="183">
        <f t="shared" si="0"/>
        <v>0</v>
      </c>
      <c r="G20" s="203"/>
      <c r="H20" s="183"/>
      <c r="I20" s="184"/>
      <c r="J20" s="184">
        <f t="shared" si="1"/>
        <v>0</v>
      </c>
      <c r="K20" s="185"/>
    </row>
    <row r="21" spans="1:15" ht="21.4" customHeight="1">
      <c r="A21" s="188" t="s">
        <v>1094</v>
      </c>
      <c r="B21" s="179" t="s">
        <v>1095</v>
      </c>
      <c r="C21" s="180" t="s">
        <v>590</v>
      </c>
      <c r="D21" s="186">
        <v>1</v>
      </c>
      <c r="E21" s="187"/>
      <c r="F21" s="183">
        <f t="shared" si="0"/>
        <v>0</v>
      </c>
      <c r="G21" s="203"/>
      <c r="H21" s="183"/>
      <c r="I21" s="184"/>
      <c r="J21" s="184">
        <f t="shared" si="1"/>
        <v>0</v>
      </c>
      <c r="K21" s="185"/>
    </row>
    <row r="22" spans="1:15" ht="21.4" customHeight="1">
      <c r="A22" s="188" t="s">
        <v>1096</v>
      </c>
      <c r="B22" s="179" t="s">
        <v>1097</v>
      </c>
      <c r="C22" s="180" t="s">
        <v>590</v>
      </c>
      <c r="D22" s="186">
        <v>1</v>
      </c>
      <c r="E22" s="187"/>
      <c r="F22" s="183">
        <f t="shared" si="0"/>
        <v>0</v>
      </c>
      <c r="G22" s="203"/>
      <c r="H22" s="183"/>
      <c r="I22" s="184"/>
      <c r="J22" s="184">
        <f t="shared" si="1"/>
        <v>0</v>
      </c>
      <c r="K22" s="185"/>
      <c r="O22" s="189"/>
    </row>
    <row r="23" spans="1:15" ht="23.25" customHeight="1">
      <c r="A23" s="188" t="s">
        <v>1098</v>
      </c>
      <c r="B23" s="179" t="s">
        <v>1099</v>
      </c>
      <c r="C23" s="180" t="s">
        <v>590</v>
      </c>
      <c r="D23" s="186">
        <v>2</v>
      </c>
      <c r="E23" s="187"/>
      <c r="F23" s="183">
        <f t="shared" si="0"/>
        <v>0</v>
      </c>
      <c r="G23" s="203"/>
      <c r="H23" s="183"/>
      <c r="I23" s="184"/>
      <c r="J23" s="184">
        <f t="shared" si="1"/>
        <v>0</v>
      </c>
      <c r="K23" s="185"/>
    </row>
    <row r="24" spans="1:15" ht="13.15" customHeight="1">
      <c r="A24" s="188" t="s">
        <v>1100</v>
      </c>
      <c r="B24" s="179" t="s">
        <v>1101</v>
      </c>
      <c r="C24" s="180" t="s">
        <v>590</v>
      </c>
      <c r="D24" s="186">
        <v>2</v>
      </c>
      <c r="E24" s="187"/>
      <c r="F24" s="183">
        <f t="shared" si="0"/>
        <v>0</v>
      </c>
      <c r="G24" s="203"/>
      <c r="H24" s="183"/>
      <c r="I24" s="184"/>
      <c r="J24" s="184">
        <f t="shared" si="1"/>
        <v>0</v>
      </c>
      <c r="K24" s="185"/>
    </row>
    <row r="25" spans="1:15" ht="13.15" customHeight="1">
      <c r="A25" s="188" t="s">
        <v>1102</v>
      </c>
      <c r="B25" s="179" t="s">
        <v>1103</v>
      </c>
      <c r="C25" s="180" t="s">
        <v>590</v>
      </c>
      <c r="D25" s="186">
        <v>1</v>
      </c>
      <c r="E25" s="187"/>
      <c r="F25" s="183">
        <f t="shared" si="0"/>
        <v>0</v>
      </c>
      <c r="G25" s="203"/>
      <c r="H25" s="183"/>
      <c r="I25" s="184"/>
      <c r="J25" s="184">
        <f t="shared" si="1"/>
        <v>0</v>
      </c>
      <c r="K25" s="185"/>
    </row>
    <row r="26" spans="1:15" ht="13.15" customHeight="1">
      <c r="A26" s="188" t="s">
        <v>1104</v>
      </c>
      <c r="B26" s="179" t="s">
        <v>1105</v>
      </c>
      <c r="C26" s="180" t="s">
        <v>700</v>
      </c>
      <c r="D26" s="186">
        <v>20</v>
      </c>
      <c r="E26" s="187"/>
      <c r="F26" s="183">
        <f t="shared" si="0"/>
        <v>0</v>
      </c>
      <c r="G26" s="203"/>
      <c r="H26" s="183"/>
      <c r="I26" s="184"/>
      <c r="J26" s="184">
        <f t="shared" si="1"/>
        <v>0</v>
      </c>
      <c r="K26" s="185"/>
    </row>
    <row r="27" spans="1:15" ht="13.15" customHeight="1">
      <c r="A27" s="188" t="s">
        <v>1106</v>
      </c>
      <c r="B27" s="179" t="s">
        <v>1107</v>
      </c>
      <c r="C27" s="180" t="s">
        <v>700</v>
      </c>
      <c r="D27" s="186">
        <v>3</v>
      </c>
      <c r="E27" s="187"/>
      <c r="F27" s="183">
        <f t="shared" si="0"/>
        <v>0</v>
      </c>
      <c r="G27" s="203"/>
      <c r="H27" s="183"/>
      <c r="I27" s="184"/>
      <c r="J27" s="184">
        <f t="shared" si="1"/>
        <v>0</v>
      </c>
      <c r="K27" s="185"/>
    </row>
    <row r="28" spans="1:15" ht="13.15" customHeight="1">
      <c r="A28" s="188" t="s">
        <v>1108</v>
      </c>
      <c r="B28" s="179" t="s">
        <v>1109</v>
      </c>
      <c r="C28" s="180" t="s">
        <v>830</v>
      </c>
      <c r="D28" s="186">
        <f>16*4</f>
        <v>64</v>
      </c>
      <c r="E28" s="187"/>
      <c r="F28" s="183">
        <f t="shared" si="0"/>
        <v>0</v>
      </c>
      <c r="G28" s="203"/>
      <c r="H28" s="183"/>
      <c r="I28" s="184"/>
      <c r="J28" s="184">
        <f t="shared" si="1"/>
        <v>0</v>
      </c>
      <c r="K28" s="185"/>
    </row>
    <row r="29" spans="1:15" ht="13.15" customHeight="1">
      <c r="A29" s="188" t="s">
        <v>1110</v>
      </c>
      <c r="B29" s="179" t="s">
        <v>1111</v>
      </c>
      <c r="C29" s="180" t="s">
        <v>830</v>
      </c>
      <c r="D29" s="186">
        <v>59</v>
      </c>
      <c r="E29" s="187"/>
      <c r="F29" s="183">
        <f t="shared" si="0"/>
        <v>0</v>
      </c>
      <c r="G29" s="203"/>
      <c r="H29" s="183"/>
      <c r="I29" s="184"/>
      <c r="J29" s="184">
        <f t="shared" si="1"/>
        <v>0</v>
      </c>
      <c r="K29" s="185"/>
    </row>
    <row r="30" spans="1:15" ht="13.15" customHeight="1">
      <c r="A30" s="188" t="s">
        <v>1112</v>
      </c>
      <c r="B30" s="179" t="s">
        <v>1113</v>
      </c>
      <c r="C30" s="180" t="s">
        <v>590</v>
      </c>
      <c r="D30" s="186">
        <v>6</v>
      </c>
      <c r="E30" s="187"/>
      <c r="F30" s="183">
        <f t="shared" si="0"/>
        <v>0</v>
      </c>
      <c r="G30" s="203"/>
      <c r="H30" s="183"/>
      <c r="I30" s="184"/>
      <c r="J30" s="184">
        <f t="shared" si="1"/>
        <v>0</v>
      </c>
      <c r="K30" s="185"/>
    </row>
    <row r="31" spans="1:15" ht="13.15" customHeight="1">
      <c r="A31" s="188" t="s">
        <v>1114</v>
      </c>
      <c r="B31" s="179" t="s">
        <v>1115</v>
      </c>
      <c r="C31" s="180" t="s">
        <v>590</v>
      </c>
      <c r="D31" s="186">
        <v>6</v>
      </c>
      <c r="E31" s="187"/>
      <c r="F31" s="183">
        <f t="shared" si="0"/>
        <v>0</v>
      </c>
      <c r="G31" s="203"/>
      <c r="H31" s="183"/>
      <c r="I31" s="184"/>
      <c r="J31" s="184">
        <f t="shared" si="1"/>
        <v>0</v>
      </c>
      <c r="K31" s="185"/>
    </row>
    <row r="32" spans="1:15" ht="13.15" customHeight="1">
      <c r="A32" s="188" t="s">
        <v>1116</v>
      </c>
      <c r="B32" s="179" t="s">
        <v>1117</v>
      </c>
      <c r="C32" s="180" t="s">
        <v>590</v>
      </c>
      <c r="D32" s="186">
        <v>5</v>
      </c>
      <c r="E32" s="187"/>
      <c r="F32" s="183">
        <f t="shared" si="0"/>
        <v>0</v>
      </c>
      <c r="G32" s="203"/>
      <c r="H32" s="183"/>
      <c r="I32" s="184"/>
      <c r="J32" s="184">
        <f t="shared" si="1"/>
        <v>0</v>
      </c>
      <c r="K32" s="185"/>
    </row>
    <row r="33" spans="1:251" ht="13.15" customHeight="1">
      <c r="A33" s="188" t="s">
        <v>1118</v>
      </c>
      <c r="B33" s="179" t="s">
        <v>1119</v>
      </c>
      <c r="C33" s="180" t="s">
        <v>830</v>
      </c>
      <c r="D33" s="186">
        <v>20</v>
      </c>
      <c r="E33" s="187"/>
      <c r="F33" s="183">
        <f t="shared" si="0"/>
        <v>0</v>
      </c>
      <c r="G33" s="203"/>
      <c r="H33" s="183"/>
      <c r="I33" s="184"/>
      <c r="J33" s="184">
        <f t="shared" si="1"/>
        <v>0</v>
      </c>
      <c r="K33" s="185"/>
    </row>
    <row r="34" spans="1:251" ht="13.15" customHeight="1">
      <c r="A34" s="188" t="s">
        <v>1120</v>
      </c>
      <c r="B34" s="179" t="s">
        <v>1121</v>
      </c>
      <c r="C34" s="180" t="s">
        <v>830</v>
      </c>
      <c r="D34" s="186">
        <v>47</v>
      </c>
      <c r="E34" s="187"/>
      <c r="F34" s="183">
        <f t="shared" si="0"/>
        <v>0</v>
      </c>
      <c r="G34" s="203"/>
      <c r="H34" s="183"/>
      <c r="I34" s="184"/>
      <c r="J34" s="184">
        <f t="shared" si="1"/>
        <v>0</v>
      </c>
      <c r="K34" s="185"/>
    </row>
    <row r="35" spans="1:251" ht="13.15" customHeight="1">
      <c r="A35" s="188" t="s">
        <v>1122</v>
      </c>
      <c r="B35" s="179" t="s">
        <v>1123</v>
      </c>
      <c r="C35" s="180" t="s">
        <v>830</v>
      </c>
      <c r="D35" s="186">
        <v>32</v>
      </c>
      <c r="E35" s="187"/>
      <c r="F35" s="183">
        <f t="shared" si="0"/>
        <v>0</v>
      </c>
      <c r="G35" s="203"/>
      <c r="H35" s="183"/>
      <c r="I35" s="184"/>
      <c r="J35" s="184">
        <f t="shared" si="1"/>
        <v>0</v>
      </c>
      <c r="K35" s="185"/>
    </row>
    <row r="36" spans="1:251" ht="48.75" customHeight="1">
      <c r="A36" s="188" t="s">
        <v>1124</v>
      </c>
      <c r="B36" s="190" t="s">
        <v>1125</v>
      </c>
      <c r="C36" s="180" t="s">
        <v>796</v>
      </c>
      <c r="D36" s="186">
        <v>148</v>
      </c>
      <c r="E36" s="187"/>
      <c r="F36" s="183">
        <f t="shared" si="0"/>
        <v>0</v>
      </c>
      <c r="G36" s="203"/>
      <c r="H36" s="183"/>
      <c r="I36" s="184"/>
      <c r="J36" s="184">
        <f t="shared" si="1"/>
        <v>0</v>
      </c>
      <c r="K36" s="184"/>
    </row>
    <row r="37" spans="1:251" ht="12" customHeight="1">
      <c r="A37" s="188" t="s">
        <v>1126</v>
      </c>
      <c r="B37" s="179" t="s">
        <v>1127</v>
      </c>
      <c r="C37" s="180" t="s">
        <v>1128</v>
      </c>
      <c r="D37" s="186">
        <v>1</v>
      </c>
      <c r="E37" s="187"/>
      <c r="F37" s="183">
        <f>E37*D37</f>
        <v>0</v>
      </c>
      <c r="G37" s="203"/>
      <c r="H37" s="183"/>
      <c r="I37" s="184"/>
      <c r="J37" s="184">
        <f t="shared" si="1"/>
        <v>0</v>
      </c>
      <c r="K37" s="184"/>
    </row>
    <row r="38" spans="1:251" ht="26.25" customHeight="1">
      <c r="A38" s="188" t="s">
        <v>1129</v>
      </c>
      <c r="B38" s="179" t="s">
        <v>1130</v>
      </c>
      <c r="C38" s="180" t="s">
        <v>549</v>
      </c>
      <c r="D38" s="186">
        <v>24</v>
      </c>
      <c r="E38" s="187"/>
      <c r="F38" s="183">
        <f t="shared" si="0"/>
        <v>0</v>
      </c>
      <c r="G38" s="203"/>
      <c r="H38" s="183"/>
      <c r="I38" s="184"/>
      <c r="J38" s="184">
        <f t="shared" si="1"/>
        <v>0</v>
      </c>
      <c r="K38" s="184"/>
    </row>
    <row r="39" spans="1:251" ht="12" customHeight="1">
      <c r="A39" s="188" t="s">
        <v>1131</v>
      </c>
      <c r="B39" s="179" t="s">
        <v>1132</v>
      </c>
      <c r="C39" s="180" t="s">
        <v>549</v>
      </c>
      <c r="D39" s="186">
        <v>185</v>
      </c>
      <c r="E39" s="187"/>
      <c r="F39" s="183">
        <f t="shared" si="0"/>
        <v>0</v>
      </c>
      <c r="G39" s="203"/>
      <c r="H39" s="183"/>
      <c r="I39" s="184"/>
      <c r="J39" s="184">
        <f t="shared" si="1"/>
        <v>0</v>
      </c>
      <c r="K39" s="184"/>
    </row>
    <row r="40" spans="1:251" ht="12" customHeight="1">
      <c r="A40" s="188"/>
      <c r="B40" s="179"/>
      <c r="C40" s="180"/>
      <c r="D40" s="186"/>
      <c r="E40" s="187"/>
      <c r="F40" s="183"/>
      <c r="G40" s="203"/>
      <c r="H40" s="183"/>
      <c r="I40" s="184"/>
      <c r="J40" s="184"/>
      <c r="K40" s="184"/>
    </row>
    <row r="41" spans="1:251" ht="12" customHeight="1">
      <c r="A41" s="188" t="s">
        <v>1133</v>
      </c>
      <c r="B41" s="179" t="s">
        <v>1134</v>
      </c>
      <c r="C41" s="180" t="s">
        <v>1128</v>
      </c>
      <c r="D41" s="186">
        <v>2</v>
      </c>
      <c r="E41" s="187"/>
      <c r="F41" s="183">
        <f>D41*E41</f>
        <v>0</v>
      </c>
      <c r="G41" s="203"/>
      <c r="H41" s="183"/>
      <c r="I41" s="184"/>
      <c r="J41" s="184">
        <f>F41+G41+H41+I41</f>
        <v>0</v>
      </c>
      <c r="K41" s="184"/>
    </row>
    <row r="42" spans="1:251" ht="12" customHeight="1">
      <c r="A42" s="191"/>
      <c r="B42" s="179" t="s">
        <v>1135</v>
      </c>
      <c r="C42" s="180" t="s">
        <v>1128</v>
      </c>
      <c r="D42" s="186">
        <v>1</v>
      </c>
      <c r="E42" s="187"/>
      <c r="F42" s="183">
        <f>E42*D42</f>
        <v>0</v>
      </c>
      <c r="G42" s="203"/>
      <c r="H42" s="183"/>
      <c r="I42" s="184"/>
      <c r="J42" s="184">
        <f t="shared" ref="J42:J44" si="2">F42+G42+H42+I42</f>
        <v>0</v>
      </c>
      <c r="K42" s="184"/>
    </row>
    <row r="43" spans="1:251" ht="12" customHeight="1">
      <c r="A43" s="204"/>
      <c r="B43" s="205" t="s">
        <v>1136</v>
      </c>
      <c r="C43" s="206" t="s">
        <v>1128</v>
      </c>
      <c r="D43" s="207">
        <v>6</v>
      </c>
      <c r="E43" s="208"/>
      <c r="F43" s="209">
        <f>E43*D43</f>
        <v>0</v>
      </c>
      <c r="G43" s="210"/>
      <c r="H43" s="209"/>
      <c r="I43" s="211"/>
      <c r="J43" s="184">
        <f t="shared" si="2"/>
        <v>0</v>
      </c>
      <c r="K43" s="211"/>
    </row>
    <row r="44" spans="1:251" s="214" customFormat="1" ht="12" customHeight="1">
      <c r="A44" s="215"/>
      <c r="B44" s="212" t="s">
        <v>1224</v>
      </c>
      <c r="C44" s="213" t="s">
        <v>549</v>
      </c>
      <c r="D44" s="212"/>
      <c r="E44" s="217"/>
      <c r="F44" s="216">
        <f>E44*D44</f>
        <v>0</v>
      </c>
      <c r="G44" s="212"/>
      <c r="H44" s="212"/>
      <c r="I44" s="212"/>
      <c r="J44" s="184">
        <f t="shared" si="2"/>
        <v>0</v>
      </c>
      <c r="K44" s="212"/>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c r="EF44" s="157"/>
      <c r="EG44" s="157"/>
      <c r="EH44" s="157"/>
      <c r="EI44" s="157"/>
      <c r="EJ44" s="157"/>
      <c r="EK44" s="157"/>
      <c r="EL44" s="157"/>
      <c r="EM44" s="157"/>
      <c r="EN44" s="157"/>
      <c r="EO44" s="157"/>
      <c r="EP44" s="157"/>
      <c r="EQ44" s="157"/>
      <c r="ER44" s="157"/>
      <c r="ES44" s="157"/>
      <c r="ET44" s="157"/>
      <c r="EU44" s="157"/>
      <c r="EV44" s="157"/>
      <c r="EW44" s="157"/>
      <c r="EX44" s="157"/>
      <c r="EY44" s="157"/>
      <c r="EZ44" s="157"/>
      <c r="FA44" s="157"/>
      <c r="FB44" s="157"/>
      <c r="FC44" s="157"/>
      <c r="FD44" s="157"/>
      <c r="FE44" s="157"/>
      <c r="FF44" s="157"/>
      <c r="FG44" s="157"/>
      <c r="FH44" s="157"/>
      <c r="FI44" s="157"/>
      <c r="FJ44" s="157"/>
      <c r="FK44" s="157"/>
      <c r="FL44" s="157"/>
      <c r="FM44" s="157"/>
      <c r="FN44" s="157"/>
      <c r="FO44" s="157"/>
      <c r="FP44" s="157"/>
      <c r="FQ44" s="157"/>
      <c r="FR44" s="157"/>
      <c r="FS44" s="157"/>
      <c r="FT44" s="157"/>
      <c r="FU44" s="157"/>
      <c r="FV44" s="157"/>
      <c r="FW44" s="157"/>
      <c r="FX44" s="157"/>
      <c r="FY44" s="157"/>
      <c r="FZ44" s="157"/>
      <c r="GA44" s="157"/>
      <c r="GB44" s="157"/>
      <c r="GC44" s="157"/>
      <c r="GD44" s="157"/>
      <c r="GE44" s="157"/>
      <c r="GF44" s="157"/>
      <c r="GG44" s="157"/>
      <c r="GH44" s="157"/>
      <c r="GI44" s="157"/>
      <c r="GJ44" s="157"/>
      <c r="GK44" s="157"/>
      <c r="GL44" s="157"/>
      <c r="GM44" s="157"/>
      <c r="GN44" s="157"/>
      <c r="GO44" s="157"/>
      <c r="GP44" s="157"/>
      <c r="GQ44" s="157"/>
      <c r="GR44" s="157"/>
      <c r="GS44" s="157"/>
      <c r="GT44" s="157"/>
      <c r="GU44" s="157"/>
      <c r="GV44" s="157"/>
      <c r="GW44" s="157"/>
      <c r="GX44" s="157"/>
      <c r="GY44" s="157"/>
      <c r="GZ44" s="157"/>
      <c r="HA44" s="157"/>
      <c r="HB44" s="157"/>
      <c r="HC44" s="157"/>
      <c r="HD44" s="157"/>
      <c r="HE44" s="157"/>
      <c r="HF44" s="157"/>
      <c r="HG44" s="157"/>
      <c r="HH44" s="157"/>
      <c r="HI44" s="157"/>
      <c r="HJ44" s="157"/>
      <c r="HK44" s="157"/>
      <c r="HL44" s="157"/>
      <c r="HM44" s="157"/>
      <c r="HN44" s="157"/>
      <c r="HO44" s="157"/>
      <c r="HP44" s="157"/>
      <c r="HQ44" s="157"/>
      <c r="HR44" s="157"/>
      <c r="HS44" s="157"/>
      <c r="HT44" s="157"/>
      <c r="HU44" s="157"/>
      <c r="HV44" s="157"/>
      <c r="HW44" s="157"/>
      <c r="HX44" s="157"/>
      <c r="HY44" s="157"/>
      <c r="HZ44" s="157"/>
      <c r="IA44" s="157"/>
      <c r="IB44" s="157"/>
      <c r="IC44" s="157"/>
      <c r="ID44" s="157"/>
      <c r="IE44" s="157"/>
      <c r="IF44" s="157"/>
      <c r="IG44" s="157"/>
      <c r="IH44" s="157"/>
      <c r="II44" s="157"/>
      <c r="IJ44" s="157"/>
      <c r="IK44" s="157"/>
      <c r="IL44" s="157"/>
      <c r="IM44" s="157"/>
      <c r="IN44" s="157"/>
      <c r="IO44" s="157"/>
      <c r="IP44" s="157"/>
      <c r="IQ44" s="157"/>
    </row>
    <row r="45" spans="1:251" ht="12" customHeight="1">
      <c r="A45" s="192"/>
      <c r="E45" s="193"/>
      <c r="F45" s="193"/>
    </row>
    <row r="46" spans="1:251" ht="12" customHeight="1">
      <c r="B46" s="194"/>
      <c r="C46" s="194"/>
      <c r="D46" s="194"/>
      <c r="E46" s="157"/>
      <c r="F46" s="157"/>
      <c r="G46" s="157"/>
    </row>
    <row r="47" spans="1:251" ht="12" customHeight="1">
      <c r="A47" s="156"/>
      <c r="B47" s="156"/>
      <c r="C47" s="156"/>
      <c r="D47" s="156"/>
      <c r="E47" s="156"/>
      <c r="F47" s="156"/>
      <c r="G47" s="157"/>
    </row>
    <row r="48" spans="1:251" ht="12" hidden="1" customHeight="1">
      <c r="B48" s="195" t="s">
        <v>1178</v>
      </c>
      <c r="C48" s="196"/>
      <c r="D48" s="196"/>
      <c r="E48" s="157"/>
      <c r="F48" s="157"/>
      <c r="G48" s="157"/>
    </row>
    <row r="49" spans="2:251" s="156" customFormat="1" ht="12" hidden="1" customHeight="1">
      <c r="B49" s="197" t="s">
        <v>1179</v>
      </c>
      <c r="C49" s="196"/>
      <c r="D49" s="196"/>
      <c r="E49" s="157"/>
      <c r="F49" s="157"/>
      <c r="G49" s="157"/>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5"/>
      <c r="DY49" s="155"/>
      <c r="DZ49" s="155"/>
      <c r="EA49" s="155"/>
      <c r="EB49" s="155"/>
      <c r="EC49" s="155"/>
      <c r="ED49" s="155"/>
      <c r="EE49" s="155"/>
      <c r="EF49" s="155"/>
      <c r="EG49" s="155"/>
      <c r="EH49" s="155"/>
      <c r="EI49" s="155"/>
      <c r="EJ49" s="155"/>
      <c r="EK49" s="155"/>
      <c r="EL49" s="155"/>
      <c r="EM49" s="155"/>
      <c r="EN49" s="155"/>
      <c r="EO49" s="155"/>
      <c r="EP49" s="155"/>
      <c r="EQ49" s="155"/>
      <c r="ER49" s="155"/>
      <c r="ES49" s="155"/>
      <c r="ET49" s="155"/>
      <c r="EU49" s="155"/>
      <c r="EV49" s="155"/>
      <c r="EW49" s="155"/>
      <c r="EX49" s="155"/>
      <c r="EY49" s="155"/>
      <c r="EZ49" s="155"/>
      <c r="FA49" s="155"/>
      <c r="FB49" s="155"/>
      <c r="FC49" s="155"/>
      <c r="FD49" s="155"/>
      <c r="FE49" s="155"/>
      <c r="FF49" s="155"/>
      <c r="FG49" s="155"/>
      <c r="FH49" s="155"/>
      <c r="FI49" s="155"/>
      <c r="FJ49" s="155"/>
      <c r="FK49" s="155"/>
      <c r="FL49" s="155"/>
      <c r="FM49" s="155"/>
      <c r="FN49" s="155"/>
      <c r="FO49" s="155"/>
      <c r="FP49" s="155"/>
      <c r="FQ49" s="155"/>
      <c r="FR49" s="155"/>
      <c r="FS49" s="155"/>
      <c r="FT49" s="155"/>
      <c r="FU49" s="155"/>
      <c r="FV49" s="155"/>
      <c r="FW49" s="155"/>
      <c r="FX49" s="155"/>
      <c r="FY49" s="155"/>
      <c r="FZ49" s="155"/>
      <c r="GA49" s="155"/>
      <c r="GB49" s="155"/>
      <c r="GC49" s="155"/>
      <c r="GD49" s="155"/>
      <c r="GE49" s="155"/>
      <c r="GF49" s="155"/>
      <c r="GG49" s="155"/>
      <c r="GH49" s="155"/>
      <c r="GI49" s="155"/>
      <c r="GJ49" s="155"/>
      <c r="GK49" s="155"/>
      <c r="GL49" s="155"/>
      <c r="GM49" s="155"/>
      <c r="GN49" s="155"/>
      <c r="GO49" s="155"/>
      <c r="GP49" s="155"/>
      <c r="GQ49" s="155"/>
      <c r="GR49" s="155"/>
      <c r="GS49" s="155"/>
      <c r="GT49" s="155"/>
      <c r="GU49" s="155"/>
      <c r="GV49" s="155"/>
      <c r="GW49" s="155"/>
      <c r="GX49" s="155"/>
      <c r="GY49" s="155"/>
      <c r="GZ49" s="155"/>
      <c r="HA49" s="155"/>
      <c r="HB49" s="155"/>
      <c r="HC49" s="155"/>
      <c r="HD49" s="155"/>
      <c r="HE49" s="155"/>
      <c r="HF49" s="155"/>
      <c r="HG49" s="155"/>
      <c r="HH49" s="155"/>
      <c r="HI49" s="155"/>
      <c r="HJ49" s="155"/>
      <c r="HK49" s="155"/>
      <c r="HL49" s="155"/>
      <c r="HM49" s="155"/>
      <c r="HN49" s="155"/>
      <c r="HO49" s="155"/>
      <c r="HP49" s="155"/>
      <c r="HQ49" s="155"/>
      <c r="HR49" s="155"/>
      <c r="HS49" s="155"/>
      <c r="HT49" s="155"/>
      <c r="HU49" s="155"/>
      <c r="HV49" s="155"/>
      <c r="HW49" s="155"/>
      <c r="HX49" s="155"/>
      <c r="HY49" s="155"/>
      <c r="HZ49" s="155"/>
      <c r="IA49" s="155"/>
      <c r="IB49" s="155"/>
      <c r="IC49" s="155"/>
      <c r="ID49" s="155"/>
      <c r="IE49" s="155"/>
      <c r="IF49" s="155"/>
      <c r="IG49" s="155"/>
      <c r="IH49" s="155"/>
      <c r="II49" s="155"/>
      <c r="IJ49" s="155"/>
      <c r="IK49" s="155"/>
      <c r="IL49" s="155"/>
      <c r="IM49" s="155"/>
      <c r="IN49" s="155"/>
      <c r="IO49" s="155"/>
      <c r="IP49" s="155"/>
      <c r="IQ49" s="155"/>
    </row>
    <row r="50" spans="2:251" s="156" customFormat="1" ht="12" hidden="1" customHeight="1">
      <c r="B50" s="197" t="s">
        <v>1180</v>
      </c>
      <c r="C50" s="196"/>
      <c r="D50" s="196"/>
      <c r="E50" s="157"/>
      <c r="F50" s="157"/>
      <c r="G50" s="157"/>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55"/>
      <c r="FG50" s="155"/>
      <c r="FH50" s="155"/>
      <c r="FI50" s="155"/>
      <c r="FJ50" s="155"/>
      <c r="FK50" s="155"/>
      <c r="FL50" s="155"/>
      <c r="FM50" s="155"/>
      <c r="FN50" s="155"/>
      <c r="FO50" s="155"/>
      <c r="FP50" s="155"/>
      <c r="FQ50" s="155"/>
      <c r="FR50" s="155"/>
      <c r="FS50" s="155"/>
      <c r="FT50" s="155"/>
      <c r="FU50" s="155"/>
      <c r="FV50" s="155"/>
      <c r="FW50" s="155"/>
      <c r="FX50" s="155"/>
      <c r="FY50" s="155"/>
      <c r="FZ50" s="155"/>
      <c r="GA50" s="155"/>
      <c r="GB50" s="155"/>
      <c r="GC50" s="155"/>
      <c r="GD50" s="155"/>
      <c r="GE50" s="155"/>
      <c r="GF50" s="155"/>
      <c r="GG50" s="155"/>
      <c r="GH50" s="155"/>
      <c r="GI50" s="155"/>
      <c r="GJ50" s="155"/>
      <c r="GK50" s="155"/>
      <c r="GL50" s="155"/>
      <c r="GM50" s="155"/>
      <c r="GN50" s="155"/>
      <c r="GO50" s="155"/>
      <c r="GP50" s="155"/>
      <c r="GQ50" s="155"/>
      <c r="GR50" s="155"/>
      <c r="GS50" s="155"/>
      <c r="GT50" s="155"/>
      <c r="GU50" s="155"/>
      <c r="GV50" s="155"/>
      <c r="GW50" s="155"/>
      <c r="GX50" s="155"/>
      <c r="GY50" s="155"/>
      <c r="GZ50" s="155"/>
      <c r="HA50" s="155"/>
      <c r="HB50" s="155"/>
      <c r="HC50" s="155"/>
      <c r="HD50" s="155"/>
      <c r="HE50" s="155"/>
      <c r="HF50" s="155"/>
      <c r="HG50" s="155"/>
      <c r="HH50" s="155"/>
      <c r="HI50" s="155"/>
      <c r="HJ50" s="155"/>
      <c r="HK50" s="155"/>
      <c r="HL50" s="155"/>
      <c r="HM50" s="155"/>
      <c r="HN50" s="155"/>
      <c r="HO50" s="155"/>
      <c r="HP50" s="155"/>
      <c r="HQ50" s="155"/>
      <c r="HR50" s="155"/>
      <c r="HS50" s="155"/>
      <c r="HT50" s="155"/>
      <c r="HU50" s="155"/>
      <c r="HV50" s="155"/>
      <c r="HW50" s="155"/>
      <c r="HX50" s="155"/>
      <c r="HY50" s="155"/>
      <c r="HZ50" s="155"/>
      <c r="IA50" s="155"/>
      <c r="IB50" s="155"/>
      <c r="IC50" s="155"/>
      <c r="ID50" s="155"/>
      <c r="IE50" s="155"/>
      <c r="IF50" s="155"/>
      <c r="IG50" s="155"/>
      <c r="IH50" s="155"/>
      <c r="II50" s="155"/>
      <c r="IJ50" s="155"/>
      <c r="IK50" s="155"/>
      <c r="IL50" s="155"/>
      <c r="IM50" s="155"/>
      <c r="IN50" s="155"/>
      <c r="IO50" s="155"/>
      <c r="IP50" s="155"/>
      <c r="IQ50" s="155"/>
    </row>
    <row r="51" spans="2:251" s="156" customFormat="1" ht="12" hidden="1" customHeight="1">
      <c r="B51" s="196" t="s">
        <v>1181</v>
      </c>
      <c r="C51" s="196"/>
      <c r="D51" s="196"/>
      <c r="E51" s="157"/>
      <c r="F51" s="157"/>
      <c r="G51" s="157"/>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c r="DN51" s="155"/>
      <c r="DO51" s="155"/>
      <c r="DP51" s="155"/>
      <c r="DQ51" s="155"/>
      <c r="DR51" s="155"/>
      <c r="DS51" s="155"/>
      <c r="DT51" s="155"/>
      <c r="DU51" s="155"/>
      <c r="DV51" s="155"/>
      <c r="DW51" s="155"/>
      <c r="DX51" s="155"/>
      <c r="DY51" s="155"/>
      <c r="DZ51" s="155"/>
      <c r="EA51" s="155"/>
      <c r="EB51" s="155"/>
      <c r="EC51" s="155"/>
      <c r="ED51" s="155"/>
      <c r="EE51" s="155"/>
      <c r="EF51" s="155"/>
      <c r="EG51" s="155"/>
      <c r="EH51" s="155"/>
      <c r="EI51" s="155"/>
      <c r="EJ51" s="155"/>
      <c r="EK51" s="155"/>
      <c r="EL51" s="155"/>
      <c r="EM51" s="155"/>
      <c r="EN51" s="155"/>
      <c r="EO51" s="155"/>
      <c r="EP51" s="155"/>
      <c r="EQ51" s="155"/>
      <c r="ER51" s="155"/>
      <c r="ES51" s="155"/>
      <c r="ET51" s="155"/>
      <c r="EU51" s="155"/>
      <c r="EV51" s="155"/>
      <c r="EW51" s="155"/>
      <c r="EX51" s="155"/>
      <c r="EY51" s="155"/>
      <c r="EZ51" s="155"/>
      <c r="FA51" s="155"/>
      <c r="FB51" s="155"/>
      <c r="FC51" s="155"/>
      <c r="FD51" s="155"/>
      <c r="FE51" s="155"/>
      <c r="FF51" s="155"/>
      <c r="FG51" s="155"/>
      <c r="FH51" s="155"/>
      <c r="FI51" s="155"/>
      <c r="FJ51" s="155"/>
      <c r="FK51" s="155"/>
      <c r="FL51" s="155"/>
      <c r="FM51" s="155"/>
      <c r="FN51" s="155"/>
      <c r="FO51" s="155"/>
      <c r="FP51" s="155"/>
      <c r="FQ51" s="155"/>
      <c r="FR51" s="155"/>
      <c r="FS51" s="155"/>
      <c r="FT51" s="155"/>
      <c r="FU51" s="155"/>
      <c r="FV51" s="155"/>
      <c r="FW51" s="155"/>
      <c r="FX51" s="155"/>
      <c r="FY51" s="155"/>
      <c r="FZ51" s="155"/>
      <c r="GA51" s="155"/>
      <c r="GB51" s="155"/>
      <c r="GC51" s="155"/>
      <c r="GD51" s="155"/>
      <c r="GE51" s="155"/>
      <c r="GF51" s="155"/>
      <c r="GG51" s="155"/>
      <c r="GH51" s="155"/>
      <c r="GI51" s="155"/>
      <c r="GJ51" s="155"/>
      <c r="GK51" s="155"/>
      <c r="GL51" s="155"/>
      <c r="GM51" s="155"/>
      <c r="GN51" s="155"/>
      <c r="GO51" s="155"/>
      <c r="GP51" s="155"/>
      <c r="GQ51" s="155"/>
      <c r="GR51" s="155"/>
      <c r="GS51" s="155"/>
      <c r="GT51" s="155"/>
      <c r="GU51" s="155"/>
      <c r="GV51" s="155"/>
      <c r="GW51" s="155"/>
      <c r="GX51" s="155"/>
      <c r="GY51" s="155"/>
      <c r="GZ51" s="155"/>
      <c r="HA51" s="155"/>
      <c r="HB51" s="155"/>
      <c r="HC51" s="155"/>
      <c r="HD51" s="155"/>
      <c r="HE51" s="155"/>
      <c r="HF51" s="155"/>
      <c r="HG51" s="155"/>
      <c r="HH51" s="155"/>
      <c r="HI51" s="155"/>
      <c r="HJ51" s="155"/>
      <c r="HK51" s="155"/>
      <c r="HL51" s="155"/>
      <c r="HM51" s="155"/>
      <c r="HN51" s="155"/>
      <c r="HO51" s="155"/>
      <c r="HP51" s="155"/>
      <c r="HQ51" s="155"/>
      <c r="HR51" s="155"/>
      <c r="HS51" s="155"/>
      <c r="HT51" s="155"/>
      <c r="HU51" s="155"/>
      <c r="HV51" s="155"/>
      <c r="HW51" s="155"/>
      <c r="HX51" s="155"/>
      <c r="HY51" s="155"/>
      <c r="HZ51" s="155"/>
      <c r="IA51" s="155"/>
      <c r="IB51" s="155"/>
      <c r="IC51" s="155"/>
      <c r="ID51" s="155"/>
      <c r="IE51" s="155"/>
      <c r="IF51" s="155"/>
      <c r="IG51" s="155"/>
      <c r="IH51" s="155"/>
      <c r="II51" s="155"/>
      <c r="IJ51" s="155"/>
      <c r="IK51" s="155"/>
      <c r="IL51" s="155"/>
      <c r="IM51" s="155"/>
      <c r="IN51" s="155"/>
      <c r="IO51" s="155"/>
      <c r="IP51" s="155"/>
      <c r="IQ51" s="155"/>
    </row>
    <row r="52" spans="2:251" s="156" customFormat="1" ht="12" hidden="1" customHeight="1">
      <c r="B52" s="196" t="s">
        <v>1182</v>
      </c>
      <c r="C52" s="196"/>
      <c r="D52" s="196"/>
      <c r="E52" s="157"/>
      <c r="F52" s="157"/>
      <c r="G52" s="157"/>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c r="DG52" s="155"/>
      <c r="DH52" s="155"/>
      <c r="DI52" s="155"/>
      <c r="DJ52" s="155"/>
      <c r="DK52" s="155"/>
      <c r="DL52" s="155"/>
      <c r="DM52" s="155"/>
      <c r="DN52" s="155"/>
      <c r="DO52" s="155"/>
      <c r="DP52" s="155"/>
      <c r="DQ52" s="155"/>
      <c r="DR52" s="155"/>
      <c r="DS52" s="155"/>
      <c r="DT52" s="155"/>
      <c r="DU52" s="155"/>
      <c r="DV52" s="155"/>
      <c r="DW52" s="155"/>
      <c r="DX52" s="155"/>
      <c r="DY52" s="155"/>
      <c r="DZ52" s="155"/>
      <c r="EA52" s="155"/>
      <c r="EB52" s="155"/>
      <c r="EC52" s="155"/>
      <c r="ED52" s="155"/>
      <c r="EE52" s="155"/>
      <c r="EF52" s="155"/>
      <c r="EG52" s="155"/>
      <c r="EH52" s="155"/>
      <c r="EI52" s="155"/>
      <c r="EJ52" s="155"/>
      <c r="EK52" s="155"/>
      <c r="EL52" s="155"/>
      <c r="EM52" s="155"/>
      <c r="EN52" s="155"/>
      <c r="EO52" s="155"/>
      <c r="EP52" s="155"/>
      <c r="EQ52" s="155"/>
      <c r="ER52" s="155"/>
      <c r="ES52" s="155"/>
      <c r="ET52" s="155"/>
      <c r="EU52" s="155"/>
      <c r="EV52" s="155"/>
      <c r="EW52" s="155"/>
      <c r="EX52" s="155"/>
      <c r="EY52" s="155"/>
      <c r="EZ52" s="155"/>
      <c r="FA52" s="155"/>
      <c r="FB52" s="155"/>
      <c r="FC52" s="155"/>
      <c r="FD52" s="155"/>
      <c r="FE52" s="155"/>
      <c r="FF52" s="155"/>
      <c r="FG52" s="155"/>
      <c r="FH52" s="155"/>
      <c r="FI52" s="155"/>
      <c r="FJ52" s="155"/>
      <c r="FK52" s="155"/>
      <c r="FL52" s="155"/>
      <c r="FM52" s="155"/>
      <c r="FN52" s="155"/>
      <c r="FO52" s="155"/>
      <c r="FP52" s="155"/>
      <c r="FQ52" s="155"/>
      <c r="FR52" s="155"/>
      <c r="FS52" s="155"/>
      <c r="FT52" s="155"/>
      <c r="FU52" s="155"/>
      <c r="FV52" s="155"/>
      <c r="FW52" s="155"/>
      <c r="FX52" s="155"/>
      <c r="FY52" s="155"/>
      <c r="FZ52" s="155"/>
      <c r="GA52" s="155"/>
      <c r="GB52" s="155"/>
      <c r="GC52" s="155"/>
      <c r="GD52" s="155"/>
      <c r="GE52" s="155"/>
      <c r="GF52" s="155"/>
      <c r="GG52" s="155"/>
      <c r="GH52" s="155"/>
      <c r="GI52" s="155"/>
      <c r="GJ52" s="155"/>
      <c r="GK52" s="155"/>
      <c r="GL52" s="155"/>
      <c r="GM52" s="155"/>
      <c r="GN52" s="155"/>
      <c r="GO52" s="155"/>
      <c r="GP52" s="155"/>
      <c r="GQ52" s="155"/>
      <c r="GR52" s="155"/>
      <c r="GS52" s="155"/>
      <c r="GT52" s="155"/>
      <c r="GU52" s="155"/>
      <c r="GV52" s="155"/>
      <c r="GW52" s="155"/>
      <c r="GX52" s="155"/>
      <c r="GY52" s="155"/>
      <c r="GZ52" s="155"/>
      <c r="HA52" s="155"/>
      <c r="HB52" s="155"/>
      <c r="HC52" s="155"/>
      <c r="HD52" s="155"/>
      <c r="HE52" s="155"/>
      <c r="HF52" s="155"/>
      <c r="HG52" s="155"/>
      <c r="HH52" s="155"/>
      <c r="HI52" s="155"/>
      <c r="HJ52" s="155"/>
      <c r="HK52" s="155"/>
      <c r="HL52" s="155"/>
      <c r="HM52" s="155"/>
      <c r="HN52" s="155"/>
      <c r="HO52" s="155"/>
      <c r="HP52" s="155"/>
      <c r="HQ52" s="155"/>
      <c r="HR52" s="155"/>
      <c r="HS52" s="155"/>
      <c r="HT52" s="155"/>
      <c r="HU52" s="155"/>
      <c r="HV52" s="155"/>
      <c r="HW52" s="155"/>
      <c r="HX52" s="155"/>
      <c r="HY52" s="155"/>
      <c r="HZ52" s="155"/>
      <c r="IA52" s="155"/>
      <c r="IB52" s="155"/>
      <c r="IC52" s="155"/>
      <c r="ID52" s="155"/>
      <c r="IE52" s="155"/>
      <c r="IF52" s="155"/>
      <c r="IG52" s="155"/>
      <c r="IH52" s="155"/>
      <c r="II52" s="155"/>
      <c r="IJ52" s="155"/>
      <c r="IK52" s="155"/>
      <c r="IL52" s="155"/>
      <c r="IM52" s="155"/>
      <c r="IN52" s="155"/>
      <c r="IO52" s="155"/>
      <c r="IP52" s="155"/>
      <c r="IQ52" s="155"/>
    </row>
    <row r="53" spans="2:251" s="156" customFormat="1" ht="12" hidden="1" customHeight="1">
      <c r="B53" s="198" t="s">
        <v>1183</v>
      </c>
      <c r="C53" s="196"/>
      <c r="D53" s="196"/>
      <c r="E53" s="157"/>
      <c r="F53" s="157"/>
      <c r="G53" s="157"/>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5"/>
      <c r="DY53" s="155"/>
      <c r="DZ53" s="155"/>
      <c r="EA53" s="155"/>
      <c r="EB53" s="155"/>
      <c r="EC53" s="155"/>
      <c r="ED53" s="155"/>
      <c r="EE53" s="155"/>
      <c r="EF53" s="155"/>
      <c r="EG53" s="155"/>
      <c r="EH53" s="155"/>
      <c r="EI53" s="155"/>
      <c r="EJ53" s="155"/>
      <c r="EK53" s="155"/>
      <c r="EL53" s="155"/>
      <c r="EM53" s="155"/>
      <c r="EN53" s="155"/>
      <c r="EO53" s="155"/>
      <c r="EP53" s="155"/>
      <c r="EQ53" s="155"/>
      <c r="ER53" s="155"/>
      <c r="ES53" s="155"/>
      <c r="ET53" s="155"/>
      <c r="EU53" s="155"/>
      <c r="EV53" s="155"/>
      <c r="EW53" s="155"/>
      <c r="EX53" s="155"/>
      <c r="EY53" s="155"/>
      <c r="EZ53" s="155"/>
      <c r="FA53" s="155"/>
      <c r="FB53" s="155"/>
      <c r="FC53" s="155"/>
      <c r="FD53" s="155"/>
      <c r="FE53" s="155"/>
      <c r="FF53" s="155"/>
      <c r="FG53" s="155"/>
      <c r="FH53" s="155"/>
      <c r="FI53" s="155"/>
      <c r="FJ53" s="155"/>
      <c r="FK53" s="155"/>
      <c r="FL53" s="155"/>
      <c r="FM53" s="155"/>
      <c r="FN53" s="155"/>
      <c r="FO53" s="155"/>
      <c r="FP53" s="155"/>
      <c r="FQ53" s="155"/>
      <c r="FR53" s="155"/>
      <c r="FS53" s="155"/>
      <c r="FT53" s="155"/>
      <c r="FU53" s="155"/>
      <c r="FV53" s="155"/>
      <c r="FW53" s="155"/>
      <c r="FX53" s="155"/>
      <c r="FY53" s="155"/>
      <c r="FZ53" s="155"/>
      <c r="GA53" s="155"/>
      <c r="GB53" s="155"/>
      <c r="GC53" s="155"/>
      <c r="GD53" s="155"/>
      <c r="GE53" s="155"/>
      <c r="GF53" s="155"/>
      <c r="GG53" s="155"/>
      <c r="GH53" s="155"/>
      <c r="GI53" s="155"/>
      <c r="GJ53" s="155"/>
      <c r="GK53" s="155"/>
      <c r="GL53" s="155"/>
      <c r="GM53" s="155"/>
      <c r="GN53" s="155"/>
      <c r="GO53" s="155"/>
      <c r="GP53" s="155"/>
      <c r="GQ53" s="155"/>
      <c r="GR53" s="155"/>
      <c r="GS53" s="155"/>
      <c r="GT53" s="155"/>
      <c r="GU53" s="155"/>
      <c r="GV53" s="155"/>
      <c r="GW53" s="155"/>
      <c r="GX53" s="155"/>
      <c r="GY53" s="155"/>
      <c r="GZ53" s="155"/>
      <c r="HA53" s="155"/>
      <c r="HB53" s="155"/>
      <c r="HC53" s="155"/>
      <c r="HD53" s="155"/>
      <c r="HE53" s="155"/>
      <c r="HF53" s="155"/>
      <c r="HG53" s="155"/>
      <c r="HH53" s="155"/>
      <c r="HI53" s="155"/>
      <c r="HJ53" s="155"/>
      <c r="HK53" s="155"/>
      <c r="HL53" s="155"/>
      <c r="HM53" s="155"/>
      <c r="HN53" s="155"/>
      <c r="HO53" s="155"/>
      <c r="HP53" s="155"/>
      <c r="HQ53" s="155"/>
      <c r="HR53" s="155"/>
      <c r="HS53" s="155"/>
      <c r="HT53" s="155"/>
      <c r="HU53" s="155"/>
      <c r="HV53" s="155"/>
      <c r="HW53" s="155"/>
      <c r="HX53" s="155"/>
      <c r="HY53" s="155"/>
      <c r="HZ53" s="155"/>
      <c r="IA53" s="155"/>
      <c r="IB53" s="155"/>
      <c r="IC53" s="155"/>
      <c r="ID53" s="155"/>
      <c r="IE53" s="155"/>
      <c r="IF53" s="155"/>
      <c r="IG53" s="155"/>
      <c r="IH53" s="155"/>
      <c r="II53" s="155"/>
      <c r="IJ53" s="155"/>
      <c r="IK53" s="155"/>
      <c r="IL53" s="155"/>
      <c r="IM53" s="155"/>
      <c r="IN53" s="155"/>
      <c r="IO53" s="155"/>
      <c r="IP53" s="155"/>
      <c r="IQ53" s="155"/>
    </row>
    <row r="54" spans="2:251" s="156" customFormat="1" ht="12" hidden="1" customHeight="1">
      <c r="B54" s="199" t="s">
        <v>1184</v>
      </c>
      <c r="C54" s="196"/>
      <c r="D54" s="196"/>
      <c r="E54" s="157"/>
      <c r="F54" s="157"/>
      <c r="G54" s="157"/>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c r="GZ54" s="155"/>
      <c r="HA54" s="155"/>
      <c r="HB54" s="155"/>
      <c r="HC54" s="155"/>
      <c r="HD54" s="155"/>
      <c r="HE54" s="155"/>
      <c r="HF54" s="155"/>
      <c r="HG54" s="155"/>
      <c r="HH54" s="155"/>
      <c r="HI54" s="155"/>
      <c r="HJ54" s="155"/>
      <c r="HK54" s="155"/>
      <c r="HL54" s="155"/>
      <c r="HM54" s="155"/>
      <c r="HN54" s="155"/>
      <c r="HO54" s="155"/>
      <c r="HP54" s="155"/>
      <c r="HQ54" s="155"/>
      <c r="HR54" s="155"/>
      <c r="HS54" s="155"/>
      <c r="HT54" s="155"/>
      <c r="HU54" s="155"/>
      <c r="HV54" s="155"/>
      <c r="HW54" s="155"/>
      <c r="HX54" s="155"/>
      <c r="HY54" s="155"/>
      <c r="HZ54" s="155"/>
      <c r="IA54" s="155"/>
      <c r="IB54" s="155"/>
      <c r="IC54" s="155"/>
      <c r="ID54" s="155"/>
      <c r="IE54" s="155"/>
      <c r="IF54" s="155"/>
      <c r="IG54" s="155"/>
      <c r="IH54" s="155"/>
      <c r="II54" s="155"/>
      <c r="IJ54" s="155"/>
      <c r="IK54" s="155"/>
      <c r="IL54" s="155"/>
      <c r="IM54" s="155"/>
      <c r="IN54" s="155"/>
      <c r="IO54" s="155"/>
      <c r="IP54" s="155"/>
      <c r="IQ54" s="155"/>
    </row>
    <row r="55" spans="2:251" s="156" customFormat="1" ht="12" hidden="1" customHeight="1">
      <c r="B55" s="199" t="s">
        <v>1185</v>
      </c>
      <c r="C55" s="196"/>
      <c r="D55" s="196"/>
      <c r="E55" s="157"/>
      <c r="F55" s="157"/>
      <c r="G55" s="157"/>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c r="GZ55" s="155"/>
      <c r="HA55" s="155"/>
      <c r="HB55" s="155"/>
      <c r="HC55" s="155"/>
      <c r="HD55" s="155"/>
      <c r="HE55" s="155"/>
      <c r="HF55" s="155"/>
      <c r="HG55" s="155"/>
      <c r="HH55" s="155"/>
      <c r="HI55" s="155"/>
      <c r="HJ55" s="155"/>
      <c r="HK55" s="155"/>
      <c r="HL55" s="155"/>
      <c r="HM55" s="155"/>
      <c r="HN55" s="155"/>
      <c r="HO55" s="155"/>
      <c r="HP55" s="155"/>
      <c r="HQ55" s="155"/>
      <c r="HR55" s="155"/>
      <c r="HS55" s="155"/>
      <c r="HT55" s="155"/>
      <c r="HU55" s="155"/>
      <c r="HV55" s="155"/>
      <c r="HW55" s="155"/>
      <c r="HX55" s="155"/>
      <c r="HY55" s="155"/>
      <c r="HZ55" s="155"/>
      <c r="IA55" s="155"/>
      <c r="IB55" s="155"/>
      <c r="IC55" s="155"/>
      <c r="ID55" s="155"/>
      <c r="IE55" s="155"/>
      <c r="IF55" s="155"/>
      <c r="IG55" s="155"/>
      <c r="IH55" s="155"/>
      <c r="II55" s="155"/>
      <c r="IJ55" s="155"/>
      <c r="IK55" s="155"/>
      <c r="IL55" s="155"/>
      <c r="IM55" s="155"/>
      <c r="IN55" s="155"/>
      <c r="IO55" s="155"/>
      <c r="IP55" s="155"/>
      <c r="IQ55" s="155"/>
    </row>
    <row r="56" spans="2:251" s="156" customFormat="1" ht="12" hidden="1" customHeight="1">
      <c r="B56" s="199" t="s">
        <v>1186</v>
      </c>
      <c r="C56" s="196"/>
      <c r="D56" s="196"/>
      <c r="E56" s="157"/>
      <c r="F56" s="157"/>
      <c r="G56" s="157"/>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c r="DI56" s="155"/>
      <c r="DJ56" s="155"/>
      <c r="DK56" s="155"/>
      <c r="DL56" s="155"/>
      <c r="DM56" s="155"/>
      <c r="DN56" s="155"/>
      <c r="DO56" s="155"/>
      <c r="DP56" s="155"/>
      <c r="DQ56" s="155"/>
      <c r="DR56" s="155"/>
      <c r="DS56" s="155"/>
      <c r="DT56" s="155"/>
      <c r="DU56" s="155"/>
      <c r="DV56" s="155"/>
      <c r="DW56" s="155"/>
      <c r="DX56" s="155"/>
      <c r="DY56" s="155"/>
      <c r="DZ56" s="155"/>
      <c r="EA56" s="155"/>
      <c r="EB56" s="155"/>
      <c r="EC56" s="155"/>
      <c r="ED56" s="155"/>
      <c r="EE56" s="155"/>
      <c r="EF56" s="155"/>
      <c r="EG56" s="155"/>
      <c r="EH56" s="155"/>
      <c r="EI56" s="155"/>
      <c r="EJ56" s="155"/>
      <c r="EK56" s="155"/>
      <c r="EL56" s="155"/>
      <c r="EM56" s="155"/>
      <c r="EN56" s="155"/>
      <c r="EO56" s="155"/>
      <c r="EP56" s="155"/>
      <c r="EQ56" s="155"/>
      <c r="ER56" s="155"/>
      <c r="ES56" s="155"/>
      <c r="ET56" s="155"/>
      <c r="EU56" s="155"/>
      <c r="EV56" s="155"/>
      <c r="EW56" s="155"/>
      <c r="EX56" s="155"/>
      <c r="EY56" s="155"/>
      <c r="EZ56" s="155"/>
      <c r="FA56" s="155"/>
      <c r="FB56" s="155"/>
      <c r="FC56" s="155"/>
      <c r="FD56" s="155"/>
      <c r="FE56" s="155"/>
      <c r="FF56" s="155"/>
      <c r="FG56" s="155"/>
      <c r="FH56" s="155"/>
      <c r="FI56" s="155"/>
      <c r="FJ56" s="155"/>
      <c r="FK56" s="155"/>
      <c r="FL56" s="155"/>
      <c r="FM56" s="155"/>
      <c r="FN56" s="155"/>
      <c r="FO56" s="155"/>
      <c r="FP56" s="155"/>
      <c r="FQ56" s="155"/>
      <c r="FR56" s="155"/>
      <c r="FS56" s="155"/>
      <c r="FT56" s="155"/>
      <c r="FU56" s="155"/>
      <c r="FV56" s="155"/>
      <c r="FW56" s="155"/>
      <c r="FX56" s="155"/>
      <c r="FY56" s="155"/>
      <c r="FZ56" s="155"/>
      <c r="GA56" s="155"/>
      <c r="GB56" s="155"/>
      <c r="GC56" s="155"/>
      <c r="GD56" s="155"/>
      <c r="GE56" s="155"/>
      <c r="GF56" s="155"/>
      <c r="GG56" s="155"/>
      <c r="GH56" s="155"/>
      <c r="GI56" s="155"/>
      <c r="GJ56" s="155"/>
      <c r="GK56" s="155"/>
      <c r="GL56" s="155"/>
      <c r="GM56" s="155"/>
      <c r="GN56" s="155"/>
      <c r="GO56" s="155"/>
      <c r="GP56" s="155"/>
      <c r="GQ56" s="155"/>
      <c r="GR56" s="155"/>
      <c r="GS56" s="155"/>
      <c r="GT56" s="155"/>
      <c r="GU56" s="155"/>
      <c r="GV56" s="155"/>
      <c r="GW56" s="155"/>
      <c r="GX56" s="155"/>
      <c r="GY56" s="155"/>
      <c r="GZ56" s="155"/>
      <c r="HA56" s="155"/>
      <c r="HB56" s="155"/>
      <c r="HC56" s="155"/>
      <c r="HD56" s="155"/>
      <c r="HE56" s="155"/>
      <c r="HF56" s="155"/>
      <c r="HG56" s="155"/>
      <c r="HH56" s="155"/>
      <c r="HI56" s="155"/>
      <c r="HJ56" s="155"/>
      <c r="HK56" s="155"/>
      <c r="HL56" s="155"/>
      <c r="HM56" s="155"/>
      <c r="HN56" s="155"/>
      <c r="HO56" s="155"/>
      <c r="HP56" s="155"/>
      <c r="HQ56" s="155"/>
      <c r="HR56" s="155"/>
      <c r="HS56" s="155"/>
      <c r="HT56" s="155"/>
      <c r="HU56" s="155"/>
      <c r="HV56" s="155"/>
      <c r="HW56" s="155"/>
      <c r="HX56" s="155"/>
      <c r="HY56" s="155"/>
      <c r="HZ56" s="155"/>
      <c r="IA56" s="155"/>
      <c r="IB56" s="155"/>
      <c r="IC56" s="155"/>
      <c r="ID56" s="155"/>
      <c r="IE56" s="155"/>
      <c r="IF56" s="155"/>
      <c r="IG56" s="155"/>
      <c r="IH56" s="155"/>
      <c r="II56" s="155"/>
      <c r="IJ56" s="155"/>
      <c r="IK56" s="155"/>
      <c r="IL56" s="155"/>
      <c r="IM56" s="155"/>
      <c r="IN56" s="155"/>
      <c r="IO56" s="155"/>
      <c r="IP56" s="155"/>
      <c r="IQ56" s="155"/>
    </row>
    <row r="57" spans="2:251" s="156" customFormat="1" ht="12" hidden="1" customHeight="1">
      <c r="B57" s="199" t="s">
        <v>1187</v>
      </c>
      <c r="C57" s="196"/>
      <c r="D57" s="196"/>
      <c r="E57" s="157"/>
      <c r="F57" s="157"/>
      <c r="G57" s="157"/>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c r="DG57" s="155"/>
      <c r="DH57" s="155"/>
      <c r="DI57" s="155"/>
      <c r="DJ57" s="155"/>
      <c r="DK57" s="155"/>
      <c r="DL57" s="155"/>
      <c r="DM57" s="155"/>
      <c r="DN57" s="155"/>
      <c r="DO57" s="155"/>
      <c r="DP57" s="155"/>
      <c r="DQ57" s="155"/>
      <c r="DR57" s="155"/>
      <c r="DS57" s="155"/>
      <c r="DT57" s="155"/>
      <c r="DU57" s="155"/>
      <c r="DV57" s="155"/>
      <c r="DW57" s="155"/>
      <c r="DX57" s="155"/>
      <c r="DY57" s="155"/>
      <c r="DZ57" s="155"/>
      <c r="EA57" s="155"/>
      <c r="EB57" s="155"/>
      <c r="EC57" s="155"/>
      <c r="ED57" s="155"/>
      <c r="EE57" s="155"/>
      <c r="EF57" s="155"/>
      <c r="EG57" s="155"/>
      <c r="EH57" s="155"/>
      <c r="EI57" s="155"/>
      <c r="EJ57" s="155"/>
      <c r="EK57" s="155"/>
      <c r="EL57" s="155"/>
      <c r="EM57" s="155"/>
      <c r="EN57" s="155"/>
      <c r="EO57" s="155"/>
      <c r="EP57" s="155"/>
      <c r="EQ57" s="155"/>
      <c r="ER57" s="155"/>
      <c r="ES57" s="155"/>
      <c r="ET57" s="155"/>
      <c r="EU57" s="155"/>
      <c r="EV57" s="155"/>
      <c r="EW57" s="155"/>
      <c r="EX57" s="155"/>
      <c r="EY57" s="155"/>
      <c r="EZ57" s="155"/>
      <c r="FA57" s="155"/>
      <c r="FB57" s="155"/>
      <c r="FC57" s="155"/>
      <c r="FD57" s="155"/>
      <c r="FE57" s="155"/>
      <c r="FF57" s="155"/>
      <c r="FG57" s="155"/>
      <c r="FH57" s="155"/>
      <c r="FI57" s="155"/>
      <c r="FJ57" s="155"/>
      <c r="FK57" s="155"/>
      <c r="FL57" s="155"/>
      <c r="FM57" s="155"/>
      <c r="FN57" s="155"/>
      <c r="FO57" s="155"/>
      <c r="FP57" s="155"/>
      <c r="FQ57" s="155"/>
      <c r="FR57" s="155"/>
      <c r="FS57" s="155"/>
      <c r="FT57" s="155"/>
      <c r="FU57" s="155"/>
      <c r="FV57" s="155"/>
      <c r="FW57" s="155"/>
      <c r="FX57" s="155"/>
      <c r="FY57" s="155"/>
      <c r="FZ57" s="155"/>
      <c r="GA57" s="155"/>
      <c r="GB57" s="155"/>
      <c r="GC57" s="155"/>
      <c r="GD57" s="155"/>
      <c r="GE57" s="155"/>
      <c r="GF57" s="155"/>
      <c r="GG57" s="155"/>
      <c r="GH57" s="155"/>
      <c r="GI57" s="155"/>
      <c r="GJ57" s="155"/>
      <c r="GK57" s="155"/>
      <c r="GL57" s="155"/>
      <c r="GM57" s="155"/>
      <c r="GN57" s="155"/>
      <c r="GO57" s="155"/>
      <c r="GP57" s="155"/>
      <c r="GQ57" s="155"/>
      <c r="GR57" s="155"/>
      <c r="GS57" s="155"/>
      <c r="GT57" s="155"/>
      <c r="GU57" s="155"/>
      <c r="GV57" s="155"/>
      <c r="GW57" s="155"/>
      <c r="GX57" s="155"/>
      <c r="GY57" s="155"/>
      <c r="GZ57" s="155"/>
      <c r="HA57" s="155"/>
      <c r="HB57" s="155"/>
      <c r="HC57" s="155"/>
      <c r="HD57" s="155"/>
      <c r="HE57" s="155"/>
      <c r="HF57" s="155"/>
      <c r="HG57" s="155"/>
      <c r="HH57" s="155"/>
      <c r="HI57" s="155"/>
      <c r="HJ57" s="155"/>
      <c r="HK57" s="155"/>
      <c r="HL57" s="155"/>
      <c r="HM57" s="155"/>
      <c r="HN57" s="155"/>
      <c r="HO57" s="155"/>
      <c r="HP57" s="155"/>
      <c r="HQ57" s="155"/>
      <c r="HR57" s="155"/>
      <c r="HS57" s="155"/>
      <c r="HT57" s="155"/>
      <c r="HU57" s="155"/>
      <c r="HV57" s="155"/>
      <c r="HW57" s="155"/>
      <c r="HX57" s="155"/>
      <c r="HY57" s="155"/>
      <c r="HZ57" s="155"/>
      <c r="IA57" s="155"/>
      <c r="IB57" s="155"/>
      <c r="IC57" s="155"/>
      <c r="ID57" s="155"/>
      <c r="IE57" s="155"/>
      <c r="IF57" s="155"/>
      <c r="IG57" s="155"/>
      <c r="IH57" s="155"/>
      <c r="II57" s="155"/>
      <c r="IJ57" s="155"/>
      <c r="IK57" s="155"/>
      <c r="IL57" s="155"/>
      <c r="IM57" s="155"/>
      <c r="IN57" s="155"/>
      <c r="IO57" s="155"/>
      <c r="IP57" s="155"/>
      <c r="IQ57" s="155"/>
    </row>
    <row r="58" spans="2:251" s="156" customFormat="1" ht="12" hidden="1" customHeight="1">
      <c r="B58" s="199" t="s">
        <v>1188</v>
      </c>
      <c r="C58" s="196"/>
      <c r="D58" s="196"/>
      <c r="E58" s="157"/>
      <c r="F58" s="157"/>
      <c r="G58" s="157"/>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5"/>
      <c r="DA58" s="155"/>
      <c r="DB58" s="155"/>
      <c r="DC58" s="155"/>
      <c r="DD58" s="155"/>
      <c r="DE58" s="155"/>
      <c r="DF58" s="155"/>
      <c r="DG58" s="155"/>
      <c r="DH58" s="155"/>
      <c r="DI58" s="155"/>
      <c r="DJ58" s="155"/>
      <c r="DK58" s="155"/>
      <c r="DL58" s="155"/>
      <c r="DM58" s="155"/>
      <c r="DN58" s="155"/>
      <c r="DO58" s="155"/>
      <c r="DP58" s="155"/>
      <c r="DQ58" s="155"/>
      <c r="DR58" s="155"/>
      <c r="DS58" s="155"/>
      <c r="DT58" s="155"/>
      <c r="DU58" s="155"/>
      <c r="DV58" s="155"/>
      <c r="DW58" s="155"/>
      <c r="DX58" s="155"/>
      <c r="DY58" s="155"/>
      <c r="DZ58" s="155"/>
      <c r="EA58" s="155"/>
      <c r="EB58" s="155"/>
      <c r="EC58" s="155"/>
      <c r="ED58" s="155"/>
      <c r="EE58" s="155"/>
      <c r="EF58" s="155"/>
      <c r="EG58" s="155"/>
      <c r="EH58" s="155"/>
      <c r="EI58" s="155"/>
      <c r="EJ58" s="155"/>
      <c r="EK58" s="155"/>
      <c r="EL58" s="155"/>
      <c r="EM58" s="155"/>
      <c r="EN58" s="155"/>
      <c r="EO58" s="155"/>
      <c r="EP58" s="155"/>
      <c r="EQ58" s="155"/>
      <c r="ER58" s="155"/>
      <c r="ES58" s="155"/>
      <c r="ET58" s="155"/>
      <c r="EU58" s="155"/>
      <c r="EV58" s="155"/>
      <c r="EW58" s="155"/>
      <c r="EX58" s="155"/>
      <c r="EY58" s="155"/>
      <c r="EZ58" s="155"/>
      <c r="FA58" s="155"/>
      <c r="FB58" s="155"/>
      <c r="FC58" s="155"/>
      <c r="FD58" s="155"/>
      <c r="FE58" s="155"/>
      <c r="FF58" s="155"/>
      <c r="FG58" s="155"/>
      <c r="FH58" s="155"/>
      <c r="FI58" s="155"/>
      <c r="FJ58" s="155"/>
      <c r="FK58" s="155"/>
      <c r="FL58" s="155"/>
      <c r="FM58" s="155"/>
      <c r="FN58" s="155"/>
      <c r="FO58" s="155"/>
      <c r="FP58" s="155"/>
      <c r="FQ58" s="155"/>
      <c r="FR58" s="155"/>
      <c r="FS58" s="155"/>
      <c r="FT58" s="155"/>
      <c r="FU58" s="155"/>
      <c r="FV58" s="155"/>
      <c r="FW58" s="155"/>
      <c r="FX58" s="155"/>
      <c r="FY58" s="155"/>
      <c r="FZ58" s="155"/>
      <c r="GA58" s="155"/>
      <c r="GB58" s="155"/>
      <c r="GC58" s="155"/>
      <c r="GD58" s="155"/>
      <c r="GE58" s="155"/>
      <c r="GF58" s="155"/>
      <c r="GG58" s="155"/>
      <c r="GH58" s="155"/>
      <c r="GI58" s="155"/>
      <c r="GJ58" s="155"/>
      <c r="GK58" s="155"/>
      <c r="GL58" s="155"/>
      <c r="GM58" s="155"/>
      <c r="GN58" s="155"/>
      <c r="GO58" s="155"/>
      <c r="GP58" s="155"/>
      <c r="GQ58" s="155"/>
      <c r="GR58" s="155"/>
      <c r="GS58" s="155"/>
      <c r="GT58" s="155"/>
      <c r="GU58" s="155"/>
      <c r="GV58" s="155"/>
      <c r="GW58" s="155"/>
      <c r="GX58" s="155"/>
      <c r="GY58" s="155"/>
      <c r="GZ58" s="155"/>
      <c r="HA58" s="155"/>
      <c r="HB58" s="155"/>
      <c r="HC58" s="155"/>
      <c r="HD58" s="155"/>
      <c r="HE58" s="155"/>
      <c r="HF58" s="155"/>
      <c r="HG58" s="155"/>
      <c r="HH58" s="155"/>
      <c r="HI58" s="155"/>
      <c r="HJ58" s="155"/>
      <c r="HK58" s="155"/>
      <c r="HL58" s="155"/>
      <c r="HM58" s="155"/>
      <c r="HN58" s="155"/>
      <c r="HO58" s="155"/>
      <c r="HP58" s="155"/>
      <c r="HQ58" s="155"/>
      <c r="HR58" s="155"/>
      <c r="HS58" s="155"/>
      <c r="HT58" s="155"/>
      <c r="HU58" s="155"/>
      <c r="HV58" s="155"/>
      <c r="HW58" s="155"/>
      <c r="HX58" s="155"/>
      <c r="HY58" s="155"/>
      <c r="HZ58" s="155"/>
      <c r="IA58" s="155"/>
      <c r="IB58" s="155"/>
      <c r="IC58" s="155"/>
      <c r="ID58" s="155"/>
      <c r="IE58" s="155"/>
      <c r="IF58" s="155"/>
      <c r="IG58" s="155"/>
      <c r="IH58" s="155"/>
      <c r="II58" s="155"/>
      <c r="IJ58" s="155"/>
      <c r="IK58" s="155"/>
      <c r="IL58" s="155"/>
      <c r="IM58" s="155"/>
      <c r="IN58" s="155"/>
      <c r="IO58" s="155"/>
      <c r="IP58" s="155"/>
      <c r="IQ58" s="155"/>
    </row>
    <row r="59" spans="2:251" s="156" customFormat="1" ht="12" hidden="1" customHeight="1">
      <c r="B59" s="199" t="s">
        <v>1189</v>
      </c>
      <c r="C59" s="196"/>
      <c r="D59" s="196"/>
      <c r="E59" s="157"/>
      <c r="F59" s="157"/>
      <c r="G59" s="157"/>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c r="DG59" s="155"/>
      <c r="DH59" s="155"/>
      <c r="DI59" s="155"/>
      <c r="DJ59" s="155"/>
      <c r="DK59" s="155"/>
      <c r="DL59" s="155"/>
      <c r="DM59" s="155"/>
      <c r="DN59" s="155"/>
      <c r="DO59" s="155"/>
      <c r="DP59" s="155"/>
      <c r="DQ59" s="155"/>
      <c r="DR59" s="155"/>
      <c r="DS59" s="155"/>
      <c r="DT59" s="155"/>
      <c r="DU59" s="155"/>
      <c r="DV59" s="155"/>
      <c r="DW59" s="155"/>
      <c r="DX59" s="155"/>
      <c r="DY59" s="155"/>
      <c r="DZ59" s="155"/>
      <c r="EA59" s="155"/>
      <c r="EB59" s="155"/>
      <c r="EC59" s="155"/>
      <c r="ED59" s="155"/>
      <c r="EE59" s="155"/>
      <c r="EF59" s="155"/>
      <c r="EG59" s="155"/>
      <c r="EH59" s="155"/>
      <c r="EI59" s="155"/>
      <c r="EJ59" s="155"/>
      <c r="EK59" s="155"/>
      <c r="EL59" s="155"/>
      <c r="EM59" s="155"/>
      <c r="EN59" s="155"/>
      <c r="EO59" s="155"/>
      <c r="EP59" s="155"/>
      <c r="EQ59" s="155"/>
      <c r="ER59" s="155"/>
      <c r="ES59" s="155"/>
      <c r="ET59" s="155"/>
      <c r="EU59" s="155"/>
      <c r="EV59" s="155"/>
      <c r="EW59" s="155"/>
      <c r="EX59" s="155"/>
      <c r="EY59" s="155"/>
      <c r="EZ59" s="155"/>
      <c r="FA59" s="155"/>
      <c r="FB59" s="155"/>
      <c r="FC59" s="155"/>
      <c r="FD59" s="155"/>
      <c r="FE59" s="155"/>
      <c r="FF59" s="155"/>
      <c r="FG59" s="155"/>
      <c r="FH59" s="155"/>
      <c r="FI59" s="155"/>
      <c r="FJ59" s="155"/>
      <c r="FK59" s="155"/>
      <c r="FL59" s="155"/>
      <c r="FM59" s="155"/>
      <c r="FN59" s="155"/>
      <c r="FO59" s="155"/>
      <c r="FP59" s="155"/>
      <c r="FQ59" s="155"/>
      <c r="FR59" s="155"/>
      <c r="FS59" s="155"/>
      <c r="FT59" s="155"/>
      <c r="FU59" s="155"/>
      <c r="FV59" s="155"/>
      <c r="FW59" s="155"/>
      <c r="FX59" s="155"/>
      <c r="FY59" s="155"/>
      <c r="FZ59" s="155"/>
      <c r="GA59" s="155"/>
      <c r="GB59" s="155"/>
      <c r="GC59" s="155"/>
      <c r="GD59" s="155"/>
      <c r="GE59" s="155"/>
      <c r="GF59" s="155"/>
      <c r="GG59" s="155"/>
      <c r="GH59" s="155"/>
      <c r="GI59" s="155"/>
      <c r="GJ59" s="155"/>
      <c r="GK59" s="155"/>
      <c r="GL59" s="155"/>
      <c r="GM59" s="155"/>
      <c r="GN59" s="155"/>
      <c r="GO59" s="155"/>
      <c r="GP59" s="155"/>
      <c r="GQ59" s="155"/>
      <c r="GR59" s="155"/>
      <c r="GS59" s="155"/>
      <c r="GT59" s="155"/>
      <c r="GU59" s="155"/>
      <c r="GV59" s="155"/>
      <c r="GW59" s="155"/>
      <c r="GX59" s="155"/>
      <c r="GY59" s="155"/>
      <c r="GZ59" s="155"/>
      <c r="HA59" s="155"/>
      <c r="HB59" s="155"/>
      <c r="HC59" s="155"/>
      <c r="HD59" s="155"/>
      <c r="HE59" s="155"/>
      <c r="HF59" s="155"/>
      <c r="HG59" s="155"/>
      <c r="HH59" s="155"/>
      <c r="HI59" s="155"/>
      <c r="HJ59" s="155"/>
      <c r="HK59" s="155"/>
      <c r="HL59" s="155"/>
      <c r="HM59" s="155"/>
      <c r="HN59" s="155"/>
      <c r="HO59" s="155"/>
      <c r="HP59" s="155"/>
      <c r="HQ59" s="155"/>
      <c r="HR59" s="155"/>
      <c r="HS59" s="155"/>
      <c r="HT59" s="155"/>
      <c r="HU59" s="155"/>
      <c r="HV59" s="155"/>
      <c r="HW59" s="155"/>
      <c r="HX59" s="155"/>
      <c r="HY59" s="155"/>
      <c r="HZ59" s="155"/>
      <c r="IA59" s="155"/>
      <c r="IB59" s="155"/>
      <c r="IC59" s="155"/>
      <c r="ID59" s="155"/>
      <c r="IE59" s="155"/>
      <c r="IF59" s="155"/>
      <c r="IG59" s="155"/>
      <c r="IH59" s="155"/>
      <c r="II59" s="155"/>
      <c r="IJ59" s="155"/>
      <c r="IK59" s="155"/>
      <c r="IL59" s="155"/>
      <c r="IM59" s="155"/>
      <c r="IN59" s="155"/>
      <c r="IO59" s="155"/>
      <c r="IP59" s="155"/>
      <c r="IQ59" s="155"/>
    </row>
    <row r="60" spans="2:251" s="156" customFormat="1" ht="12" hidden="1" customHeight="1">
      <c r="B60" s="199" t="s">
        <v>1190</v>
      </c>
      <c r="C60" s="196"/>
      <c r="D60" s="196"/>
      <c r="E60" s="157"/>
      <c r="F60" s="157"/>
      <c r="G60" s="157"/>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c r="DG60" s="155"/>
      <c r="DH60" s="155"/>
      <c r="DI60" s="155"/>
      <c r="DJ60" s="155"/>
      <c r="DK60" s="155"/>
      <c r="DL60" s="155"/>
      <c r="DM60" s="155"/>
      <c r="DN60" s="155"/>
      <c r="DO60" s="155"/>
      <c r="DP60" s="155"/>
      <c r="DQ60" s="155"/>
      <c r="DR60" s="155"/>
      <c r="DS60" s="155"/>
      <c r="DT60" s="155"/>
      <c r="DU60" s="155"/>
      <c r="DV60" s="155"/>
      <c r="DW60" s="155"/>
      <c r="DX60" s="155"/>
      <c r="DY60" s="155"/>
      <c r="DZ60" s="155"/>
      <c r="EA60" s="155"/>
      <c r="EB60" s="155"/>
      <c r="EC60" s="155"/>
      <c r="ED60" s="155"/>
      <c r="EE60" s="155"/>
      <c r="EF60" s="155"/>
      <c r="EG60" s="155"/>
      <c r="EH60" s="155"/>
      <c r="EI60" s="155"/>
      <c r="EJ60" s="155"/>
      <c r="EK60" s="155"/>
      <c r="EL60" s="155"/>
      <c r="EM60" s="155"/>
      <c r="EN60" s="155"/>
      <c r="EO60" s="155"/>
      <c r="EP60" s="155"/>
      <c r="EQ60" s="155"/>
      <c r="ER60" s="155"/>
      <c r="ES60" s="155"/>
      <c r="ET60" s="155"/>
      <c r="EU60" s="155"/>
      <c r="EV60" s="155"/>
      <c r="EW60" s="155"/>
      <c r="EX60" s="155"/>
      <c r="EY60" s="155"/>
      <c r="EZ60" s="155"/>
      <c r="FA60" s="155"/>
      <c r="FB60" s="155"/>
      <c r="FC60" s="155"/>
      <c r="FD60" s="155"/>
      <c r="FE60" s="155"/>
      <c r="FF60" s="155"/>
      <c r="FG60" s="155"/>
      <c r="FH60" s="155"/>
      <c r="FI60" s="155"/>
      <c r="FJ60" s="155"/>
      <c r="FK60" s="155"/>
      <c r="FL60" s="155"/>
      <c r="FM60" s="155"/>
      <c r="FN60" s="155"/>
      <c r="FO60" s="155"/>
      <c r="FP60" s="155"/>
      <c r="FQ60" s="155"/>
      <c r="FR60" s="155"/>
      <c r="FS60" s="155"/>
      <c r="FT60" s="155"/>
      <c r="FU60" s="155"/>
      <c r="FV60" s="155"/>
      <c r="FW60" s="155"/>
      <c r="FX60" s="155"/>
      <c r="FY60" s="155"/>
      <c r="FZ60" s="155"/>
      <c r="GA60" s="155"/>
      <c r="GB60" s="155"/>
      <c r="GC60" s="155"/>
      <c r="GD60" s="155"/>
      <c r="GE60" s="155"/>
      <c r="GF60" s="155"/>
      <c r="GG60" s="155"/>
      <c r="GH60" s="155"/>
      <c r="GI60" s="155"/>
      <c r="GJ60" s="155"/>
      <c r="GK60" s="155"/>
      <c r="GL60" s="155"/>
      <c r="GM60" s="155"/>
      <c r="GN60" s="155"/>
      <c r="GO60" s="155"/>
      <c r="GP60" s="155"/>
      <c r="GQ60" s="155"/>
      <c r="GR60" s="155"/>
      <c r="GS60" s="155"/>
      <c r="GT60" s="155"/>
      <c r="GU60" s="155"/>
      <c r="GV60" s="155"/>
      <c r="GW60" s="155"/>
      <c r="GX60" s="155"/>
      <c r="GY60" s="155"/>
      <c r="GZ60" s="155"/>
      <c r="HA60" s="155"/>
      <c r="HB60" s="155"/>
      <c r="HC60" s="155"/>
      <c r="HD60" s="155"/>
      <c r="HE60" s="155"/>
      <c r="HF60" s="155"/>
      <c r="HG60" s="155"/>
      <c r="HH60" s="155"/>
      <c r="HI60" s="155"/>
      <c r="HJ60" s="155"/>
      <c r="HK60" s="155"/>
      <c r="HL60" s="155"/>
      <c r="HM60" s="155"/>
      <c r="HN60" s="155"/>
      <c r="HO60" s="155"/>
      <c r="HP60" s="155"/>
      <c r="HQ60" s="155"/>
      <c r="HR60" s="155"/>
      <c r="HS60" s="155"/>
      <c r="HT60" s="155"/>
      <c r="HU60" s="155"/>
      <c r="HV60" s="155"/>
      <c r="HW60" s="155"/>
      <c r="HX60" s="155"/>
      <c r="HY60" s="155"/>
      <c r="HZ60" s="155"/>
      <c r="IA60" s="155"/>
      <c r="IB60" s="155"/>
      <c r="IC60" s="155"/>
      <c r="ID60" s="155"/>
      <c r="IE60" s="155"/>
      <c r="IF60" s="155"/>
      <c r="IG60" s="155"/>
      <c r="IH60" s="155"/>
      <c r="II60" s="155"/>
      <c r="IJ60" s="155"/>
      <c r="IK60" s="155"/>
      <c r="IL60" s="155"/>
      <c r="IM60" s="155"/>
      <c r="IN60" s="155"/>
      <c r="IO60" s="155"/>
      <c r="IP60" s="155"/>
      <c r="IQ60" s="155"/>
    </row>
    <row r="61" spans="2:251" s="156" customFormat="1" ht="12" hidden="1" customHeight="1">
      <c r="B61" s="199" t="s">
        <v>1191</v>
      </c>
      <c r="C61" s="196"/>
      <c r="D61" s="196"/>
      <c r="E61" s="157"/>
      <c r="F61" s="157"/>
      <c r="G61" s="157"/>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c r="DG61" s="155"/>
      <c r="DH61" s="155"/>
      <c r="DI61" s="155"/>
      <c r="DJ61" s="155"/>
      <c r="DK61" s="155"/>
      <c r="DL61" s="155"/>
      <c r="DM61" s="155"/>
      <c r="DN61" s="155"/>
      <c r="DO61" s="155"/>
      <c r="DP61" s="155"/>
      <c r="DQ61" s="155"/>
      <c r="DR61" s="155"/>
      <c r="DS61" s="155"/>
      <c r="DT61" s="155"/>
      <c r="DU61" s="155"/>
      <c r="DV61" s="155"/>
      <c r="DW61" s="155"/>
      <c r="DX61" s="155"/>
      <c r="DY61" s="155"/>
      <c r="DZ61" s="155"/>
      <c r="EA61" s="155"/>
      <c r="EB61" s="155"/>
      <c r="EC61" s="155"/>
      <c r="ED61" s="155"/>
      <c r="EE61" s="155"/>
      <c r="EF61" s="155"/>
      <c r="EG61" s="155"/>
      <c r="EH61" s="155"/>
      <c r="EI61" s="155"/>
      <c r="EJ61" s="155"/>
      <c r="EK61" s="155"/>
      <c r="EL61" s="155"/>
      <c r="EM61" s="155"/>
      <c r="EN61" s="155"/>
      <c r="EO61" s="155"/>
      <c r="EP61" s="155"/>
      <c r="EQ61" s="155"/>
      <c r="ER61" s="155"/>
      <c r="ES61" s="155"/>
      <c r="ET61" s="155"/>
      <c r="EU61" s="155"/>
      <c r="EV61" s="155"/>
      <c r="EW61" s="155"/>
      <c r="EX61" s="155"/>
      <c r="EY61" s="155"/>
      <c r="EZ61" s="155"/>
      <c r="FA61" s="155"/>
      <c r="FB61" s="155"/>
      <c r="FC61" s="155"/>
      <c r="FD61" s="155"/>
      <c r="FE61" s="155"/>
      <c r="FF61" s="155"/>
      <c r="FG61" s="155"/>
      <c r="FH61" s="155"/>
      <c r="FI61" s="155"/>
      <c r="FJ61" s="155"/>
      <c r="FK61" s="155"/>
      <c r="FL61" s="155"/>
      <c r="FM61" s="155"/>
      <c r="FN61" s="155"/>
      <c r="FO61" s="155"/>
      <c r="FP61" s="155"/>
      <c r="FQ61" s="155"/>
      <c r="FR61" s="155"/>
      <c r="FS61" s="155"/>
      <c r="FT61" s="155"/>
      <c r="FU61" s="155"/>
      <c r="FV61" s="155"/>
      <c r="FW61" s="155"/>
      <c r="FX61" s="155"/>
      <c r="FY61" s="155"/>
      <c r="FZ61" s="155"/>
      <c r="GA61" s="155"/>
      <c r="GB61" s="155"/>
      <c r="GC61" s="155"/>
      <c r="GD61" s="155"/>
      <c r="GE61" s="155"/>
      <c r="GF61" s="155"/>
      <c r="GG61" s="155"/>
      <c r="GH61" s="155"/>
      <c r="GI61" s="155"/>
      <c r="GJ61" s="155"/>
      <c r="GK61" s="155"/>
      <c r="GL61" s="155"/>
      <c r="GM61" s="155"/>
      <c r="GN61" s="155"/>
      <c r="GO61" s="155"/>
      <c r="GP61" s="155"/>
      <c r="GQ61" s="155"/>
      <c r="GR61" s="155"/>
      <c r="GS61" s="155"/>
      <c r="GT61" s="155"/>
      <c r="GU61" s="155"/>
      <c r="GV61" s="155"/>
      <c r="GW61" s="155"/>
      <c r="GX61" s="155"/>
      <c r="GY61" s="155"/>
      <c r="GZ61" s="155"/>
      <c r="HA61" s="155"/>
      <c r="HB61" s="155"/>
      <c r="HC61" s="155"/>
      <c r="HD61" s="155"/>
      <c r="HE61" s="155"/>
      <c r="HF61" s="155"/>
      <c r="HG61" s="155"/>
      <c r="HH61" s="155"/>
      <c r="HI61" s="155"/>
      <c r="HJ61" s="155"/>
      <c r="HK61" s="155"/>
      <c r="HL61" s="155"/>
      <c r="HM61" s="155"/>
      <c r="HN61" s="155"/>
      <c r="HO61" s="155"/>
      <c r="HP61" s="155"/>
      <c r="HQ61" s="155"/>
      <c r="HR61" s="155"/>
      <c r="HS61" s="155"/>
      <c r="HT61" s="155"/>
      <c r="HU61" s="155"/>
      <c r="HV61" s="155"/>
      <c r="HW61" s="155"/>
      <c r="HX61" s="155"/>
      <c r="HY61" s="155"/>
      <c r="HZ61" s="155"/>
      <c r="IA61" s="155"/>
      <c r="IB61" s="155"/>
      <c r="IC61" s="155"/>
      <c r="ID61" s="155"/>
      <c r="IE61" s="155"/>
      <c r="IF61" s="155"/>
      <c r="IG61" s="155"/>
      <c r="IH61" s="155"/>
      <c r="II61" s="155"/>
      <c r="IJ61" s="155"/>
      <c r="IK61" s="155"/>
      <c r="IL61" s="155"/>
      <c r="IM61" s="155"/>
      <c r="IN61" s="155"/>
      <c r="IO61" s="155"/>
      <c r="IP61" s="155"/>
      <c r="IQ61" s="155"/>
    </row>
    <row r="62" spans="2:251" s="156" customFormat="1" ht="12" hidden="1" customHeight="1">
      <c r="B62" s="199" t="s">
        <v>1192</v>
      </c>
      <c r="C62" s="196"/>
      <c r="D62" s="196"/>
      <c r="E62" s="157"/>
      <c r="F62" s="157"/>
      <c r="G62" s="157"/>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c r="DG62" s="155"/>
      <c r="DH62" s="155"/>
      <c r="DI62" s="155"/>
      <c r="DJ62" s="155"/>
      <c r="DK62" s="155"/>
      <c r="DL62" s="155"/>
      <c r="DM62" s="155"/>
      <c r="DN62" s="155"/>
      <c r="DO62" s="155"/>
      <c r="DP62" s="155"/>
      <c r="DQ62" s="155"/>
      <c r="DR62" s="155"/>
      <c r="DS62" s="155"/>
      <c r="DT62" s="155"/>
      <c r="DU62" s="155"/>
      <c r="DV62" s="155"/>
      <c r="DW62" s="155"/>
      <c r="DX62" s="155"/>
      <c r="DY62" s="155"/>
      <c r="DZ62" s="155"/>
      <c r="EA62" s="155"/>
      <c r="EB62" s="155"/>
      <c r="EC62" s="155"/>
      <c r="ED62" s="155"/>
      <c r="EE62" s="155"/>
      <c r="EF62" s="155"/>
      <c r="EG62" s="155"/>
      <c r="EH62" s="155"/>
      <c r="EI62" s="155"/>
      <c r="EJ62" s="155"/>
      <c r="EK62" s="155"/>
      <c r="EL62" s="155"/>
      <c r="EM62" s="155"/>
      <c r="EN62" s="155"/>
      <c r="EO62" s="155"/>
      <c r="EP62" s="155"/>
      <c r="EQ62" s="155"/>
      <c r="ER62" s="155"/>
      <c r="ES62" s="155"/>
      <c r="ET62" s="155"/>
      <c r="EU62" s="155"/>
      <c r="EV62" s="155"/>
      <c r="EW62" s="155"/>
      <c r="EX62" s="155"/>
      <c r="EY62" s="155"/>
      <c r="EZ62" s="155"/>
      <c r="FA62" s="155"/>
      <c r="FB62" s="155"/>
      <c r="FC62" s="155"/>
      <c r="FD62" s="155"/>
      <c r="FE62" s="155"/>
      <c r="FF62" s="155"/>
      <c r="FG62" s="155"/>
      <c r="FH62" s="155"/>
      <c r="FI62" s="155"/>
      <c r="FJ62" s="155"/>
      <c r="FK62" s="155"/>
      <c r="FL62" s="155"/>
      <c r="FM62" s="155"/>
      <c r="FN62" s="155"/>
      <c r="FO62" s="155"/>
      <c r="FP62" s="155"/>
      <c r="FQ62" s="155"/>
      <c r="FR62" s="155"/>
      <c r="FS62" s="155"/>
      <c r="FT62" s="155"/>
      <c r="FU62" s="155"/>
      <c r="FV62" s="155"/>
      <c r="FW62" s="155"/>
      <c r="FX62" s="155"/>
      <c r="FY62" s="155"/>
      <c r="FZ62" s="155"/>
      <c r="GA62" s="155"/>
      <c r="GB62" s="155"/>
      <c r="GC62" s="155"/>
      <c r="GD62" s="155"/>
      <c r="GE62" s="155"/>
      <c r="GF62" s="155"/>
      <c r="GG62" s="155"/>
      <c r="GH62" s="155"/>
      <c r="GI62" s="155"/>
      <c r="GJ62" s="155"/>
      <c r="GK62" s="155"/>
      <c r="GL62" s="155"/>
      <c r="GM62" s="155"/>
      <c r="GN62" s="155"/>
      <c r="GO62" s="155"/>
      <c r="GP62" s="155"/>
      <c r="GQ62" s="155"/>
      <c r="GR62" s="155"/>
      <c r="GS62" s="155"/>
      <c r="GT62" s="155"/>
      <c r="GU62" s="155"/>
      <c r="GV62" s="155"/>
      <c r="GW62" s="155"/>
      <c r="GX62" s="155"/>
      <c r="GY62" s="155"/>
      <c r="GZ62" s="155"/>
      <c r="HA62" s="155"/>
      <c r="HB62" s="155"/>
      <c r="HC62" s="155"/>
      <c r="HD62" s="155"/>
      <c r="HE62" s="155"/>
      <c r="HF62" s="155"/>
      <c r="HG62" s="155"/>
      <c r="HH62" s="155"/>
      <c r="HI62" s="155"/>
      <c r="HJ62" s="155"/>
      <c r="HK62" s="155"/>
      <c r="HL62" s="155"/>
      <c r="HM62" s="155"/>
      <c r="HN62" s="155"/>
      <c r="HO62" s="155"/>
      <c r="HP62" s="155"/>
      <c r="HQ62" s="155"/>
      <c r="HR62" s="155"/>
      <c r="HS62" s="155"/>
      <c r="HT62" s="155"/>
      <c r="HU62" s="155"/>
      <c r="HV62" s="155"/>
      <c r="HW62" s="155"/>
      <c r="HX62" s="155"/>
      <c r="HY62" s="155"/>
      <c r="HZ62" s="155"/>
      <c r="IA62" s="155"/>
      <c r="IB62" s="155"/>
      <c r="IC62" s="155"/>
      <c r="ID62" s="155"/>
      <c r="IE62" s="155"/>
      <c r="IF62" s="155"/>
      <c r="IG62" s="155"/>
      <c r="IH62" s="155"/>
      <c r="II62" s="155"/>
      <c r="IJ62" s="155"/>
      <c r="IK62" s="155"/>
      <c r="IL62" s="155"/>
      <c r="IM62" s="155"/>
      <c r="IN62" s="155"/>
      <c r="IO62" s="155"/>
      <c r="IP62" s="155"/>
      <c r="IQ62" s="155"/>
    </row>
    <row r="63" spans="2:251" s="156" customFormat="1" ht="12" hidden="1" customHeight="1">
      <c r="B63" s="199" t="s">
        <v>1193</v>
      </c>
      <c r="C63" s="196"/>
      <c r="D63" s="196"/>
      <c r="E63" s="157"/>
      <c r="F63" s="157"/>
      <c r="G63" s="157"/>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c r="DG63" s="155"/>
      <c r="DH63" s="155"/>
      <c r="DI63" s="155"/>
      <c r="DJ63" s="155"/>
      <c r="DK63" s="155"/>
      <c r="DL63" s="155"/>
      <c r="DM63" s="155"/>
      <c r="DN63" s="155"/>
      <c r="DO63" s="155"/>
      <c r="DP63" s="155"/>
      <c r="DQ63" s="155"/>
      <c r="DR63" s="155"/>
      <c r="DS63" s="155"/>
      <c r="DT63" s="155"/>
      <c r="DU63" s="155"/>
      <c r="DV63" s="155"/>
      <c r="DW63" s="155"/>
      <c r="DX63" s="155"/>
      <c r="DY63" s="155"/>
      <c r="DZ63" s="155"/>
      <c r="EA63" s="155"/>
      <c r="EB63" s="155"/>
      <c r="EC63" s="155"/>
      <c r="ED63" s="155"/>
      <c r="EE63" s="155"/>
      <c r="EF63" s="155"/>
      <c r="EG63" s="155"/>
      <c r="EH63" s="155"/>
      <c r="EI63" s="155"/>
      <c r="EJ63" s="155"/>
      <c r="EK63" s="155"/>
      <c r="EL63" s="155"/>
      <c r="EM63" s="155"/>
      <c r="EN63" s="155"/>
      <c r="EO63" s="155"/>
      <c r="EP63" s="155"/>
      <c r="EQ63" s="155"/>
      <c r="ER63" s="155"/>
      <c r="ES63" s="155"/>
      <c r="ET63" s="155"/>
      <c r="EU63" s="155"/>
      <c r="EV63" s="155"/>
      <c r="EW63" s="155"/>
      <c r="EX63" s="155"/>
      <c r="EY63" s="155"/>
      <c r="EZ63" s="155"/>
      <c r="FA63" s="155"/>
      <c r="FB63" s="155"/>
      <c r="FC63" s="155"/>
      <c r="FD63" s="155"/>
      <c r="FE63" s="155"/>
      <c r="FF63" s="155"/>
      <c r="FG63" s="155"/>
      <c r="FH63" s="155"/>
      <c r="FI63" s="155"/>
      <c r="FJ63" s="155"/>
      <c r="FK63" s="155"/>
      <c r="FL63" s="155"/>
      <c r="FM63" s="155"/>
      <c r="FN63" s="155"/>
      <c r="FO63" s="155"/>
      <c r="FP63" s="155"/>
      <c r="FQ63" s="155"/>
      <c r="FR63" s="155"/>
      <c r="FS63" s="155"/>
      <c r="FT63" s="155"/>
      <c r="FU63" s="155"/>
      <c r="FV63" s="155"/>
      <c r="FW63" s="155"/>
      <c r="FX63" s="155"/>
      <c r="FY63" s="155"/>
      <c r="FZ63" s="155"/>
      <c r="GA63" s="155"/>
      <c r="GB63" s="155"/>
      <c r="GC63" s="155"/>
      <c r="GD63" s="155"/>
      <c r="GE63" s="155"/>
      <c r="GF63" s="155"/>
      <c r="GG63" s="155"/>
      <c r="GH63" s="155"/>
      <c r="GI63" s="155"/>
      <c r="GJ63" s="155"/>
      <c r="GK63" s="155"/>
      <c r="GL63" s="155"/>
      <c r="GM63" s="155"/>
      <c r="GN63" s="155"/>
      <c r="GO63" s="155"/>
      <c r="GP63" s="155"/>
      <c r="GQ63" s="155"/>
      <c r="GR63" s="155"/>
      <c r="GS63" s="155"/>
      <c r="GT63" s="155"/>
      <c r="GU63" s="155"/>
      <c r="GV63" s="155"/>
      <c r="GW63" s="155"/>
      <c r="GX63" s="155"/>
      <c r="GY63" s="155"/>
      <c r="GZ63" s="155"/>
      <c r="HA63" s="155"/>
      <c r="HB63" s="155"/>
      <c r="HC63" s="155"/>
      <c r="HD63" s="155"/>
      <c r="HE63" s="155"/>
      <c r="HF63" s="155"/>
      <c r="HG63" s="155"/>
      <c r="HH63" s="155"/>
      <c r="HI63" s="155"/>
      <c r="HJ63" s="155"/>
      <c r="HK63" s="155"/>
      <c r="HL63" s="155"/>
      <c r="HM63" s="155"/>
      <c r="HN63" s="155"/>
      <c r="HO63" s="155"/>
      <c r="HP63" s="155"/>
      <c r="HQ63" s="155"/>
      <c r="HR63" s="155"/>
      <c r="HS63" s="155"/>
      <c r="HT63" s="155"/>
      <c r="HU63" s="155"/>
      <c r="HV63" s="155"/>
      <c r="HW63" s="155"/>
      <c r="HX63" s="155"/>
      <c r="HY63" s="155"/>
      <c r="HZ63" s="155"/>
      <c r="IA63" s="155"/>
      <c r="IB63" s="155"/>
      <c r="IC63" s="155"/>
      <c r="ID63" s="155"/>
      <c r="IE63" s="155"/>
      <c r="IF63" s="155"/>
      <c r="IG63" s="155"/>
      <c r="IH63" s="155"/>
      <c r="II63" s="155"/>
      <c r="IJ63" s="155"/>
      <c r="IK63" s="155"/>
      <c r="IL63" s="155"/>
      <c r="IM63" s="155"/>
      <c r="IN63" s="155"/>
      <c r="IO63" s="155"/>
      <c r="IP63" s="155"/>
      <c r="IQ63" s="155"/>
    </row>
    <row r="64" spans="2:251" s="156" customFormat="1" ht="12" hidden="1" customHeight="1">
      <c r="B64" s="197" t="s">
        <v>1194</v>
      </c>
      <c r="C64" s="196"/>
      <c r="D64" s="196"/>
      <c r="E64" s="157"/>
      <c r="F64" s="157"/>
      <c r="G64" s="157"/>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c r="DN64" s="155"/>
      <c r="DO64" s="155"/>
      <c r="DP64" s="155"/>
      <c r="DQ64" s="155"/>
      <c r="DR64" s="155"/>
      <c r="DS64" s="155"/>
      <c r="DT64" s="155"/>
      <c r="DU64" s="155"/>
      <c r="DV64" s="155"/>
      <c r="DW64" s="155"/>
      <c r="DX64" s="155"/>
      <c r="DY64" s="155"/>
      <c r="DZ64" s="155"/>
      <c r="EA64" s="155"/>
      <c r="EB64" s="155"/>
      <c r="EC64" s="155"/>
      <c r="ED64" s="155"/>
      <c r="EE64" s="155"/>
      <c r="EF64" s="155"/>
      <c r="EG64" s="155"/>
      <c r="EH64" s="155"/>
      <c r="EI64" s="155"/>
      <c r="EJ64" s="155"/>
      <c r="EK64" s="155"/>
      <c r="EL64" s="155"/>
      <c r="EM64" s="155"/>
      <c r="EN64" s="155"/>
      <c r="EO64" s="155"/>
      <c r="EP64" s="155"/>
      <c r="EQ64" s="155"/>
      <c r="ER64" s="155"/>
      <c r="ES64" s="155"/>
      <c r="ET64" s="155"/>
      <c r="EU64" s="155"/>
      <c r="EV64" s="155"/>
      <c r="EW64" s="155"/>
      <c r="EX64" s="155"/>
      <c r="EY64" s="155"/>
      <c r="EZ64" s="155"/>
      <c r="FA64" s="155"/>
      <c r="FB64" s="155"/>
      <c r="FC64" s="155"/>
      <c r="FD64" s="155"/>
      <c r="FE64" s="155"/>
      <c r="FF64" s="155"/>
      <c r="FG64" s="155"/>
      <c r="FH64" s="155"/>
      <c r="FI64" s="155"/>
      <c r="FJ64" s="155"/>
      <c r="FK64" s="155"/>
      <c r="FL64" s="155"/>
      <c r="FM64" s="155"/>
      <c r="FN64" s="155"/>
      <c r="FO64" s="155"/>
      <c r="FP64" s="155"/>
      <c r="FQ64" s="155"/>
      <c r="FR64" s="155"/>
      <c r="FS64" s="155"/>
      <c r="FT64" s="155"/>
      <c r="FU64" s="155"/>
      <c r="FV64" s="155"/>
      <c r="FW64" s="155"/>
      <c r="FX64" s="155"/>
      <c r="FY64" s="155"/>
      <c r="FZ64" s="155"/>
      <c r="GA64" s="155"/>
      <c r="GB64" s="155"/>
      <c r="GC64" s="155"/>
      <c r="GD64" s="155"/>
      <c r="GE64" s="155"/>
      <c r="GF64" s="155"/>
      <c r="GG64" s="155"/>
      <c r="GH64" s="155"/>
      <c r="GI64" s="155"/>
      <c r="GJ64" s="155"/>
      <c r="GK64" s="155"/>
      <c r="GL64" s="155"/>
      <c r="GM64" s="155"/>
      <c r="GN64" s="155"/>
      <c r="GO64" s="155"/>
      <c r="GP64" s="155"/>
      <c r="GQ64" s="155"/>
      <c r="GR64" s="155"/>
      <c r="GS64" s="155"/>
      <c r="GT64" s="155"/>
      <c r="GU64" s="155"/>
      <c r="GV64" s="155"/>
      <c r="GW64" s="155"/>
      <c r="GX64" s="155"/>
      <c r="GY64" s="155"/>
      <c r="GZ64" s="155"/>
      <c r="HA64" s="155"/>
      <c r="HB64" s="155"/>
      <c r="HC64" s="155"/>
      <c r="HD64" s="155"/>
      <c r="HE64" s="155"/>
      <c r="HF64" s="155"/>
      <c r="HG64" s="155"/>
      <c r="HH64" s="155"/>
      <c r="HI64" s="155"/>
      <c r="HJ64" s="155"/>
      <c r="HK64" s="155"/>
      <c r="HL64" s="155"/>
      <c r="HM64" s="155"/>
      <c r="HN64" s="155"/>
      <c r="HO64" s="155"/>
      <c r="HP64" s="155"/>
      <c r="HQ64" s="155"/>
      <c r="HR64" s="155"/>
      <c r="HS64" s="155"/>
      <c r="HT64" s="155"/>
      <c r="HU64" s="155"/>
      <c r="HV64" s="155"/>
      <c r="HW64" s="155"/>
      <c r="HX64" s="155"/>
      <c r="HY64" s="155"/>
      <c r="HZ64" s="155"/>
      <c r="IA64" s="155"/>
      <c r="IB64" s="155"/>
      <c r="IC64" s="155"/>
      <c r="ID64" s="155"/>
      <c r="IE64" s="155"/>
      <c r="IF64" s="155"/>
      <c r="IG64" s="155"/>
      <c r="IH64" s="155"/>
      <c r="II64" s="155"/>
      <c r="IJ64" s="155"/>
      <c r="IK64" s="155"/>
      <c r="IL64" s="155"/>
      <c r="IM64" s="155"/>
      <c r="IN64" s="155"/>
      <c r="IO64" s="155"/>
      <c r="IP64" s="155"/>
      <c r="IQ64" s="155"/>
    </row>
    <row r="65" spans="2:251" s="156" customFormat="1" ht="12" hidden="1" customHeight="1">
      <c r="B65" s="196" t="s">
        <v>1195</v>
      </c>
      <c r="C65" s="196"/>
      <c r="D65" s="196"/>
      <c r="E65" s="157"/>
      <c r="F65" s="157"/>
      <c r="G65" s="157"/>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c r="DG65" s="155"/>
      <c r="DH65" s="155"/>
      <c r="DI65" s="155"/>
      <c r="DJ65" s="155"/>
      <c r="DK65" s="155"/>
      <c r="DL65" s="155"/>
      <c r="DM65" s="155"/>
      <c r="DN65" s="155"/>
      <c r="DO65" s="155"/>
      <c r="DP65" s="155"/>
      <c r="DQ65" s="155"/>
      <c r="DR65" s="155"/>
      <c r="DS65" s="155"/>
      <c r="DT65" s="155"/>
      <c r="DU65" s="155"/>
      <c r="DV65" s="155"/>
      <c r="DW65" s="155"/>
      <c r="DX65" s="155"/>
      <c r="DY65" s="155"/>
      <c r="DZ65" s="155"/>
      <c r="EA65" s="155"/>
      <c r="EB65" s="155"/>
      <c r="EC65" s="155"/>
      <c r="ED65" s="155"/>
      <c r="EE65" s="155"/>
      <c r="EF65" s="155"/>
      <c r="EG65" s="155"/>
      <c r="EH65" s="155"/>
      <c r="EI65" s="155"/>
      <c r="EJ65" s="155"/>
      <c r="EK65" s="155"/>
      <c r="EL65" s="155"/>
      <c r="EM65" s="155"/>
      <c r="EN65" s="155"/>
      <c r="EO65" s="155"/>
      <c r="EP65" s="155"/>
      <c r="EQ65" s="155"/>
      <c r="ER65" s="155"/>
      <c r="ES65" s="155"/>
      <c r="ET65" s="155"/>
      <c r="EU65" s="155"/>
      <c r="EV65" s="155"/>
      <c r="EW65" s="155"/>
      <c r="EX65" s="155"/>
      <c r="EY65" s="155"/>
      <c r="EZ65" s="155"/>
      <c r="FA65" s="155"/>
      <c r="FB65" s="155"/>
      <c r="FC65" s="155"/>
      <c r="FD65" s="155"/>
      <c r="FE65" s="155"/>
      <c r="FF65" s="155"/>
      <c r="FG65" s="155"/>
      <c r="FH65" s="155"/>
      <c r="FI65" s="155"/>
      <c r="FJ65" s="155"/>
      <c r="FK65" s="155"/>
      <c r="FL65" s="155"/>
      <c r="FM65" s="155"/>
      <c r="FN65" s="155"/>
      <c r="FO65" s="155"/>
      <c r="FP65" s="155"/>
      <c r="FQ65" s="155"/>
      <c r="FR65" s="155"/>
      <c r="FS65" s="155"/>
      <c r="FT65" s="155"/>
      <c r="FU65" s="155"/>
      <c r="FV65" s="155"/>
      <c r="FW65" s="155"/>
      <c r="FX65" s="155"/>
      <c r="FY65" s="155"/>
      <c r="FZ65" s="155"/>
      <c r="GA65" s="155"/>
      <c r="GB65" s="155"/>
      <c r="GC65" s="155"/>
      <c r="GD65" s="155"/>
      <c r="GE65" s="155"/>
      <c r="GF65" s="155"/>
      <c r="GG65" s="155"/>
      <c r="GH65" s="155"/>
      <c r="GI65" s="155"/>
      <c r="GJ65" s="155"/>
      <c r="GK65" s="155"/>
      <c r="GL65" s="155"/>
      <c r="GM65" s="155"/>
      <c r="GN65" s="155"/>
      <c r="GO65" s="155"/>
      <c r="GP65" s="155"/>
      <c r="GQ65" s="155"/>
      <c r="GR65" s="155"/>
      <c r="GS65" s="155"/>
      <c r="GT65" s="155"/>
      <c r="GU65" s="155"/>
      <c r="GV65" s="155"/>
      <c r="GW65" s="155"/>
      <c r="GX65" s="155"/>
      <c r="GY65" s="155"/>
      <c r="GZ65" s="155"/>
      <c r="HA65" s="155"/>
      <c r="HB65" s="155"/>
      <c r="HC65" s="155"/>
      <c r="HD65" s="155"/>
      <c r="HE65" s="155"/>
      <c r="HF65" s="155"/>
      <c r="HG65" s="155"/>
      <c r="HH65" s="155"/>
      <c r="HI65" s="155"/>
      <c r="HJ65" s="155"/>
      <c r="HK65" s="155"/>
      <c r="HL65" s="155"/>
      <c r="HM65" s="155"/>
      <c r="HN65" s="155"/>
      <c r="HO65" s="155"/>
      <c r="HP65" s="155"/>
      <c r="HQ65" s="155"/>
      <c r="HR65" s="155"/>
      <c r="HS65" s="155"/>
      <c r="HT65" s="155"/>
      <c r="HU65" s="155"/>
      <c r="HV65" s="155"/>
      <c r="HW65" s="155"/>
      <c r="HX65" s="155"/>
      <c r="HY65" s="155"/>
      <c r="HZ65" s="155"/>
      <c r="IA65" s="155"/>
      <c r="IB65" s="155"/>
      <c r="IC65" s="155"/>
      <c r="ID65" s="155"/>
      <c r="IE65" s="155"/>
      <c r="IF65" s="155"/>
      <c r="IG65" s="155"/>
      <c r="IH65" s="155"/>
      <c r="II65" s="155"/>
      <c r="IJ65" s="155"/>
      <c r="IK65" s="155"/>
      <c r="IL65" s="155"/>
      <c r="IM65" s="155"/>
      <c r="IN65" s="155"/>
      <c r="IO65" s="155"/>
      <c r="IP65" s="155"/>
      <c r="IQ65" s="155"/>
    </row>
    <row r="66" spans="2:251" s="156" customFormat="1" ht="12" hidden="1" customHeight="1">
      <c r="B66" s="196" t="s">
        <v>1196</v>
      </c>
      <c r="C66" s="196"/>
      <c r="D66" s="196"/>
      <c r="E66" s="157"/>
      <c r="F66" s="157"/>
      <c r="G66" s="157"/>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5"/>
      <c r="CL66" s="155"/>
      <c r="CM66" s="155"/>
      <c r="CN66" s="155"/>
      <c r="CO66" s="155"/>
      <c r="CP66" s="155"/>
      <c r="CQ66" s="155"/>
      <c r="CR66" s="155"/>
      <c r="CS66" s="155"/>
      <c r="CT66" s="155"/>
      <c r="CU66" s="155"/>
      <c r="CV66" s="155"/>
      <c r="CW66" s="155"/>
      <c r="CX66" s="155"/>
      <c r="CY66" s="155"/>
      <c r="CZ66" s="155"/>
      <c r="DA66" s="155"/>
      <c r="DB66" s="155"/>
      <c r="DC66" s="155"/>
      <c r="DD66" s="155"/>
      <c r="DE66" s="155"/>
      <c r="DF66" s="155"/>
      <c r="DG66" s="155"/>
      <c r="DH66" s="155"/>
      <c r="DI66" s="155"/>
      <c r="DJ66" s="155"/>
      <c r="DK66" s="155"/>
      <c r="DL66" s="155"/>
      <c r="DM66" s="155"/>
      <c r="DN66" s="155"/>
      <c r="DO66" s="155"/>
      <c r="DP66" s="155"/>
      <c r="DQ66" s="155"/>
      <c r="DR66" s="155"/>
      <c r="DS66" s="155"/>
      <c r="DT66" s="155"/>
      <c r="DU66" s="155"/>
      <c r="DV66" s="155"/>
      <c r="DW66" s="155"/>
      <c r="DX66" s="155"/>
      <c r="DY66" s="155"/>
      <c r="DZ66" s="155"/>
      <c r="EA66" s="155"/>
      <c r="EB66" s="155"/>
      <c r="EC66" s="155"/>
      <c r="ED66" s="155"/>
      <c r="EE66" s="155"/>
      <c r="EF66" s="155"/>
      <c r="EG66" s="155"/>
      <c r="EH66" s="155"/>
      <c r="EI66" s="155"/>
      <c r="EJ66" s="155"/>
      <c r="EK66" s="155"/>
      <c r="EL66" s="155"/>
      <c r="EM66" s="155"/>
      <c r="EN66" s="155"/>
      <c r="EO66" s="155"/>
      <c r="EP66" s="155"/>
      <c r="EQ66" s="155"/>
      <c r="ER66" s="155"/>
      <c r="ES66" s="155"/>
      <c r="ET66" s="155"/>
      <c r="EU66" s="155"/>
      <c r="EV66" s="155"/>
      <c r="EW66" s="155"/>
      <c r="EX66" s="155"/>
      <c r="EY66" s="155"/>
      <c r="EZ66" s="155"/>
      <c r="FA66" s="155"/>
      <c r="FB66" s="155"/>
      <c r="FC66" s="155"/>
      <c r="FD66" s="155"/>
      <c r="FE66" s="155"/>
      <c r="FF66" s="155"/>
      <c r="FG66" s="155"/>
      <c r="FH66" s="155"/>
      <c r="FI66" s="155"/>
      <c r="FJ66" s="155"/>
      <c r="FK66" s="155"/>
      <c r="FL66" s="155"/>
      <c r="FM66" s="155"/>
      <c r="FN66" s="155"/>
      <c r="FO66" s="155"/>
      <c r="FP66" s="155"/>
      <c r="FQ66" s="155"/>
      <c r="FR66" s="155"/>
      <c r="FS66" s="155"/>
      <c r="FT66" s="155"/>
      <c r="FU66" s="155"/>
      <c r="FV66" s="155"/>
      <c r="FW66" s="155"/>
      <c r="FX66" s="155"/>
      <c r="FY66" s="155"/>
      <c r="FZ66" s="155"/>
      <c r="GA66" s="155"/>
      <c r="GB66" s="155"/>
      <c r="GC66" s="155"/>
      <c r="GD66" s="155"/>
      <c r="GE66" s="155"/>
      <c r="GF66" s="155"/>
      <c r="GG66" s="155"/>
      <c r="GH66" s="155"/>
      <c r="GI66" s="155"/>
      <c r="GJ66" s="155"/>
      <c r="GK66" s="155"/>
      <c r="GL66" s="155"/>
      <c r="GM66" s="155"/>
      <c r="GN66" s="155"/>
      <c r="GO66" s="155"/>
      <c r="GP66" s="155"/>
      <c r="GQ66" s="155"/>
      <c r="GR66" s="155"/>
      <c r="GS66" s="155"/>
      <c r="GT66" s="155"/>
      <c r="GU66" s="155"/>
      <c r="GV66" s="155"/>
      <c r="GW66" s="155"/>
      <c r="GX66" s="155"/>
      <c r="GY66" s="155"/>
      <c r="GZ66" s="155"/>
      <c r="HA66" s="155"/>
      <c r="HB66" s="155"/>
      <c r="HC66" s="155"/>
      <c r="HD66" s="155"/>
      <c r="HE66" s="155"/>
      <c r="HF66" s="155"/>
      <c r="HG66" s="155"/>
      <c r="HH66" s="155"/>
      <c r="HI66" s="155"/>
      <c r="HJ66" s="155"/>
      <c r="HK66" s="155"/>
      <c r="HL66" s="155"/>
      <c r="HM66" s="155"/>
      <c r="HN66" s="155"/>
      <c r="HO66" s="155"/>
      <c r="HP66" s="155"/>
      <c r="HQ66" s="155"/>
      <c r="HR66" s="155"/>
      <c r="HS66" s="155"/>
      <c r="HT66" s="155"/>
      <c r="HU66" s="155"/>
      <c r="HV66" s="155"/>
      <c r="HW66" s="155"/>
      <c r="HX66" s="155"/>
      <c r="HY66" s="155"/>
      <c r="HZ66" s="155"/>
      <c r="IA66" s="155"/>
      <c r="IB66" s="155"/>
      <c r="IC66" s="155"/>
      <c r="ID66" s="155"/>
      <c r="IE66" s="155"/>
      <c r="IF66" s="155"/>
      <c r="IG66" s="155"/>
      <c r="IH66" s="155"/>
      <c r="II66" s="155"/>
      <c r="IJ66" s="155"/>
      <c r="IK66" s="155"/>
      <c r="IL66" s="155"/>
      <c r="IM66" s="155"/>
      <c r="IN66" s="155"/>
      <c r="IO66" s="155"/>
      <c r="IP66" s="155"/>
      <c r="IQ66" s="155"/>
    </row>
    <row r="67" spans="2:251" s="156" customFormat="1" ht="12" hidden="1" customHeight="1">
      <c r="B67" s="195" t="s">
        <v>1197</v>
      </c>
      <c r="C67" s="200"/>
      <c r="D67" s="200"/>
      <c r="E67" s="157"/>
      <c r="F67" s="157"/>
      <c r="G67" s="157"/>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5"/>
      <c r="CQ67" s="155"/>
      <c r="CR67" s="155"/>
      <c r="CS67" s="155"/>
      <c r="CT67" s="155"/>
      <c r="CU67" s="155"/>
      <c r="CV67" s="155"/>
      <c r="CW67" s="155"/>
      <c r="CX67" s="155"/>
      <c r="CY67" s="155"/>
      <c r="CZ67" s="155"/>
      <c r="DA67" s="155"/>
      <c r="DB67" s="155"/>
      <c r="DC67" s="155"/>
      <c r="DD67" s="155"/>
      <c r="DE67" s="155"/>
      <c r="DF67" s="155"/>
      <c r="DG67" s="155"/>
      <c r="DH67" s="155"/>
      <c r="DI67" s="155"/>
      <c r="DJ67" s="155"/>
      <c r="DK67" s="155"/>
      <c r="DL67" s="155"/>
      <c r="DM67" s="155"/>
      <c r="DN67" s="155"/>
      <c r="DO67" s="155"/>
      <c r="DP67" s="155"/>
      <c r="DQ67" s="155"/>
      <c r="DR67" s="155"/>
      <c r="DS67" s="155"/>
      <c r="DT67" s="155"/>
      <c r="DU67" s="155"/>
      <c r="DV67" s="155"/>
      <c r="DW67" s="155"/>
      <c r="DX67" s="155"/>
      <c r="DY67" s="155"/>
      <c r="DZ67" s="155"/>
      <c r="EA67" s="155"/>
      <c r="EB67" s="155"/>
      <c r="EC67" s="155"/>
      <c r="ED67" s="155"/>
      <c r="EE67" s="155"/>
      <c r="EF67" s="155"/>
      <c r="EG67" s="155"/>
      <c r="EH67" s="155"/>
      <c r="EI67" s="155"/>
      <c r="EJ67" s="155"/>
      <c r="EK67" s="155"/>
      <c r="EL67" s="155"/>
      <c r="EM67" s="155"/>
      <c r="EN67" s="155"/>
      <c r="EO67" s="155"/>
      <c r="EP67" s="155"/>
      <c r="EQ67" s="155"/>
      <c r="ER67" s="155"/>
      <c r="ES67" s="155"/>
      <c r="ET67" s="155"/>
      <c r="EU67" s="155"/>
      <c r="EV67" s="155"/>
      <c r="EW67" s="155"/>
      <c r="EX67" s="155"/>
      <c r="EY67" s="155"/>
      <c r="EZ67" s="155"/>
      <c r="FA67" s="155"/>
      <c r="FB67" s="155"/>
      <c r="FC67" s="155"/>
      <c r="FD67" s="155"/>
      <c r="FE67" s="155"/>
      <c r="FF67" s="155"/>
      <c r="FG67" s="155"/>
      <c r="FH67" s="155"/>
      <c r="FI67" s="155"/>
      <c r="FJ67" s="155"/>
      <c r="FK67" s="155"/>
      <c r="FL67" s="155"/>
      <c r="FM67" s="155"/>
      <c r="FN67" s="155"/>
      <c r="FO67" s="155"/>
      <c r="FP67" s="155"/>
      <c r="FQ67" s="155"/>
      <c r="FR67" s="155"/>
      <c r="FS67" s="155"/>
      <c r="FT67" s="155"/>
      <c r="FU67" s="155"/>
      <c r="FV67" s="155"/>
      <c r="FW67" s="155"/>
      <c r="FX67" s="155"/>
      <c r="FY67" s="155"/>
      <c r="FZ67" s="155"/>
      <c r="GA67" s="155"/>
      <c r="GB67" s="155"/>
      <c r="GC67" s="155"/>
      <c r="GD67" s="155"/>
      <c r="GE67" s="155"/>
      <c r="GF67" s="155"/>
      <c r="GG67" s="155"/>
      <c r="GH67" s="155"/>
      <c r="GI67" s="155"/>
      <c r="GJ67" s="155"/>
      <c r="GK67" s="155"/>
      <c r="GL67" s="155"/>
      <c r="GM67" s="155"/>
      <c r="GN67" s="155"/>
      <c r="GO67" s="155"/>
      <c r="GP67" s="155"/>
      <c r="GQ67" s="155"/>
      <c r="GR67" s="155"/>
      <c r="GS67" s="155"/>
      <c r="GT67" s="155"/>
      <c r="GU67" s="155"/>
      <c r="GV67" s="155"/>
      <c r="GW67" s="155"/>
      <c r="GX67" s="155"/>
      <c r="GY67" s="155"/>
      <c r="GZ67" s="155"/>
      <c r="HA67" s="155"/>
      <c r="HB67" s="155"/>
      <c r="HC67" s="155"/>
      <c r="HD67" s="155"/>
      <c r="HE67" s="155"/>
      <c r="HF67" s="155"/>
      <c r="HG67" s="155"/>
      <c r="HH67" s="155"/>
      <c r="HI67" s="155"/>
      <c r="HJ67" s="155"/>
      <c r="HK67" s="155"/>
      <c r="HL67" s="155"/>
      <c r="HM67" s="155"/>
      <c r="HN67" s="155"/>
      <c r="HO67" s="155"/>
      <c r="HP67" s="155"/>
      <c r="HQ67" s="155"/>
      <c r="HR67" s="155"/>
      <c r="HS67" s="155"/>
      <c r="HT67" s="155"/>
      <c r="HU67" s="155"/>
      <c r="HV67" s="155"/>
      <c r="HW67" s="155"/>
      <c r="HX67" s="155"/>
      <c r="HY67" s="155"/>
      <c r="HZ67" s="155"/>
      <c r="IA67" s="155"/>
      <c r="IB67" s="155"/>
      <c r="IC67" s="155"/>
      <c r="ID67" s="155"/>
      <c r="IE67" s="155"/>
      <c r="IF67" s="155"/>
      <c r="IG67" s="155"/>
      <c r="IH67" s="155"/>
      <c r="II67" s="155"/>
      <c r="IJ67" s="155"/>
      <c r="IK67" s="155"/>
      <c r="IL67" s="155"/>
      <c r="IM67" s="155"/>
      <c r="IN67" s="155"/>
      <c r="IO67" s="155"/>
      <c r="IP67" s="155"/>
      <c r="IQ67" s="155"/>
    </row>
    <row r="68" spans="2:251" s="156" customFormat="1" ht="12" hidden="1" customHeight="1">
      <c r="B68" s="199" t="s">
        <v>1198</v>
      </c>
      <c r="C68" s="200"/>
      <c r="D68" s="200"/>
      <c r="E68" s="157"/>
      <c r="F68" s="157"/>
      <c r="G68" s="157"/>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c r="DG68" s="155"/>
      <c r="DH68" s="155"/>
      <c r="DI68" s="155"/>
      <c r="DJ68" s="155"/>
      <c r="DK68" s="155"/>
      <c r="DL68" s="155"/>
      <c r="DM68" s="155"/>
      <c r="DN68" s="155"/>
      <c r="DO68" s="155"/>
      <c r="DP68" s="155"/>
      <c r="DQ68" s="155"/>
      <c r="DR68" s="155"/>
      <c r="DS68" s="155"/>
      <c r="DT68" s="155"/>
      <c r="DU68" s="155"/>
      <c r="DV68" s="155"/>
      <c r="DW68" s="155"/>
      <c r="DX68" s="155"/>
      <c r="DY68" s="155"/>
      <c r="DZ68" s="155"/>
      <c r="EA68" s="155"/>
      <c r="EB68" s="155"/>
      <c r="EC68" s="155"/>
      <c r="ED68" s="155"/>
      <c r="EE68" s="155"/>
      <c r="EF68" s="155"/>
      <c r="EG68" s="155"/>
      <c r="EH68" s="155"/>
      <c r="EI68" s="155"/>
      <c r="EJ68" s="155"/>
      <c r="EK68" s="155"/>
      <c r="EL68" s="155"/>
      <c r="EM68" s="155"/>
      <c r="EN68" s="155"/>
      <c r="EO68" s="155"/>
      <c r="EP68" s="155"/>
      <c r="EQ68" s="155"/>
      <c r="ER68" s="155"/>
      <c r="ES68" s="155"/>
      <c r="ET68" s="155"/>
      <c r="EU68" s="155"/>
      <c r="EV68" s="155"/>
      <c r="EW68" s="155"/>
      <c r="EX68" s="155"/>
      <c r="EY68" s="155"/>
      <c r="EZ68" s="155"/>
      <c r="FA68" s="155"/>
      <c r="FB68" s="155"/>
      <c r="FC68" s="155"/>
      <c r="FD68" s="155"/>
      <c r="FE68" s="155"/>
      <c r="FF68" s="155"/>
      <c r="FG68" s="155"/>
      <c r="FH68" s="155"/>
      <c r="FI68" s="155"/>
      <c r="FJ68" s="155"/>
      <c r="FK68" s="155"/>
      <c r="FL68" s="155"/>
      <c r="FM68" s="155"/>
      <c r="FN68" s="155"/>
      <c r="FO68" s="155"/>
      <c r="FP68" s="155"/>
      <c r="FQ68" s="155"/>
      <c r="FR68" s="155"/>
      <c r="FS68" s="155"/>
      <c r="FT68" s="155"/>
      <c r="FU68" s="155"/>
      <c r="FV68" s="155"/>
      <c r="FW68" s="155"/>
      <c r="FX68" s="155"/>
      <c r="FY68" s="155"/>
      <c r="FZ68" s="155"/>
      <c r="GA68" s="155"/>
      <c r="GB68" s="155"/>
      <c r="GC68" s="155"/>
      <c r="GD68" s="155"/>
      <c r="GE68" s="155"/>
      <c r="GF68" s="155"/>
      <c r="GG68" s="155"/>
      <c r="GH68" s="155"/>
      <c r="GI68" s="155"/>
      <c r="GJ68" s="155"/>
      <c r="GK68" s="155"/>
      <c r="GL68" s="155"/>
      <c r="GM68" s="155"/>
      <c r="GN68" s="155"/>
      <c r="GO68" s="155"/>
      <c r="GP68" s="155"/>
      <c r="GQ68" s="155"/>
      <c r="GR68" s="155"/>
      <c r="GS68" s="155"/>
      <c r="GT68" s="155"/>
      <c r="GU68" s="155"/>
      <c r="GV68" s="155"/>
      <c r="GW68" s="155"/>
      <c r="GX68" s="155"/>
      <c r="GY68" s="155"/>
      <c r="GZ68" s="155"/>
      <c r="HA68" s="155"/>
      <c r="HB68" s="155"/>
      <c r="HC68" s="155"/>
      <c r="HD68" s="155"/>
      <c r="HE68" s="155"/>
      <c r="HF68" s="155"/>
      <c r="HG68" s="155"/>
      <c r="HH68" s="155"/>
      <c r="HI68" s="155"/>
      <c r="HJ68" s="155"/>
      <c r="HK68" s="155"/>
      <c r="HL68" s="155"/>
      <c r="HM68" s="155"/>
      <c r="HN68" s="155"/>
      <c r="HO68" s="155"/>
      <c r="HP68" s="155"/>
      <c r="HQ68" s="155"/>
      <c r="HR68" s="155"/>
      <c r="HS68" s="155"/>
      <c r="HT68" s="155"/>
      <c r="HU68" s="155"/>
      <c r="HV68" s="155"/>
      <c r="HW68" s="155"/>
      <c r="HX68" s="155"/>
      <c r="HY68" s="155"/>
      <c r="HZ68" s="155"/>
      <c r="IA68" s="155"/>
      <c r="IB68" s="155"/>
      <c r="IC68" s="155"/>
      <c r="ID68" s="155"/>
      <c r="IE68" s="155"/>
      <c r="IF68" s="155"/>
      <c r="IG68" s="155"/>
      <c r="IH68" s="155"/>
      <c r="II68" s="155"/>
      <c r="IJ68" s="155"/>
      <c r="IK68" s="155"/>
      <c r="IL68" s="155"/>
      <c r="IM68" s="155"/>
      <c r="IN68" s="155"/>
      <c r="IO68" s="155"/>
      <c r="IP68" s="155"/>
      <c r="IQ68" s="155"/>
    </row>
    <row r="69" spans="2:251" s="156" customFormat="1" ht="12" hidden="1" customHeight="1">
      <c r="B69" s="199" t="s">
        <v>1199</v>
      </c>
      <c r="C69" s="200"/>
      <c r="D69" s="200"/>
      <c r="E69" s="157"/>
      <c r="F69" s="157"/>
      <c r="G69" s="157"/>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c r="CY69" s="155"/>
      <c r="CZ69" s="155"/>
      <c r="DA69" s="155"/>
      <c r="DB69" s="155"/>
      <c r="DC69" s="155"/>
      <c r="DD69" s="155"/>
      <c r="DE69" s="155"/>
      <c r="DF69" s="155"/>
      <c r="DG69" s="155"/>
      <c r="DH69" s="155"/>
      <c r="DI69" s="155"/>
      <c r="DJ69" s="155"/>
      <c r="DK69" s="155"/>
      <c r="DL69" s="155"/>
      <c r="DM69" s="155"/>
      <c r="DN69" s="155"/>
      <c r="DO69" s="155"/>
      <c r="DP69" s="155"/>
      <c r="DQ69" s="155"/>
      <c r="DR69" s="155"/>
      <c r="DS69" s="155"/>
      <c r="DT69" s="155"/>
      <c r="DU69" s="155"/>
      <c r="DV69" s="155"/>
      <c r="DW69" s="155"/>
      <c r="DX69" s="155"/>
      <c r="DY69" s="155"/>
      <c r="DZ69" s="155"/>
      <c r="EA69" s="155"/>
      <c r="EB69" s="155"/>
      <c r="EC69" s="155"/>
      <c r="ED69" s="155"/>
      <c r="EE69" s="155"/>
      <c r="EF69" s="155"/>
      <c r="EG69" s="155"/>
      <c r="EH69" s="155"/>
      <c r="EI69" s="155"/>
      <c r="EJ69" s="155"/>
      <c r="EK69" s="155"/>
      <c r="EL69" s="155"/>
      <c r="EM69" s="155"/>
      <c r="EN69" s="155"/>
      <c r="EO69" s="155"/>
      <c r="EP69" s="155"/>
      <c r="EQ69" s="155"/>
      <c r="ER69" s="155"/>
      <c r="ES69" s="155"/>
      <c r="ET69" s="155"/>
      <c r="EU69" s="155"/>
      <c r="EV69" s="155"/>
      <c r="EW69" s="155"/>
      <c r="EX69" s="155"/>
      <c r="EY69" s="155"/>
      <c r="EZ69" s="155"/>
      <c r="FA69" s="155"/>
      <c r="FB69" s="155"/>
      <c r="FC69" s="155"/>
      <c r="FD69" s="155"/>
      <c r="FE69" s="155"/>
      <c r="FF69" s="155"/>
      <c r="FG69" s="155"/>
      <c r="FH69" s="155"/>
      <c r="FI69" s="155"/>
      <c r="FJ69" s="155"/>
      <c r="FK69" s="155"/>
      <c r="FL69" s="155"/>
      <c r="FM69" s="155"/>
      <c r="FN69" s="155"/>
      <c r="FO69" s="155"/>
      <c r="FP69" s="155"/>
      <c r="FQ69" s="155"/>
      <c r="FR69" s="155"/>
      <c r="FS69" s="155"/>
      <c r="FT69" s="155"/>
      <c r="FU69" s="155"/>
      <c r="FV69" s="155"/>
      <c r="FW69" s="155"/>
      <c r="FX69" s="155"/>
      <c r="FY69" s="155"/>
      <c r="FZ69" s="155"/>
      <c r="GA69" s="155"/>
      <c r="GB69" s="155"/>
      <c r="GC69" s="155"/>
      <c r="GD69" s="155"/>
      <c r="GE69" s="155"/>
      <c r="GF69" s="155"/>
      <c r="GG69" s="155"/>
      <c r="GH69" s="155"/>
      <c r="GI69" s="155"/>
      <c r="GJ69" s="155"/>
      <c r="GK69" s="155"/>
      <c r="GL69" s="155"/>
      <c r="GM69" s="155"/>
      <c r="GN69" s="155"/>
      <c r="GO69" s="155"/>
      <c r="GP69" s="155"/>
      <c r="GQ69" s="155"/>
      <c r="GR69" s="155"/>
      <c r="GS69" s="155"/>
      <c r="GT69" s="155"/>
      <c r="GU69" s="155"/>
      <c r="GV69" s="155"/>
      <c r="GW69" s="155"/>
      <c r="GX69" s="155"/>
      <c r="GY69" s="155"/>
      <c r="GZ69" s="155"/>
      <c r="HA69" s="155"/>
      <c r="HB69" s="155"/>
      <c r="HC69" s="155"/>
      <c r="HD69" s="155"/>
      <c r="HE69" s="155"/>
      <c r="HF69" s="155"/>
      <c r="HG69" s="155"/>
      <c r="HH69" s="155"/>
      <c r="HI69" s="155"/>
      <c r="HJ69" s="155"/>
      <c r="HK69" s="155"/>
      <c r="HL69" s="155"/>
      <c r="HM69" s="155"/>
      <c r="HN69" s="155"/>
      <c r="HO69" s="155"/>
      <c r="HP69" s="155"/>
      <c r="HQ69" s="155"/>
      <c r="HR69" s="155"/>
      <c r="HS69" s="155"/>
      <c r="HT69" s="155"/>
      <c r="HU69" s="155"/>
      <c r="HV69" s="155"/>
      <c r="HW69" s="155"/>
      <c r="HX69" s="155"/>
      <c r="HY69" s="155"/>
      <c r="HZ69" s="155"/>
      <c r="IA69" s="155"/>
      <c r="IB69" s="155"/>
      <c r="IC69" s="155"/>
      <c r="ID69" s="155"/>
      <c r="IE69" s="155"/>
      <c r="IF69" s="155"/>
      <c r="IG69" s="155"/>
      <c r="IH69" s="155"/>
      <c r="II69" s="155"/>
      <c r="IJ69" s="155"/>
      <c r="IK69" s="155"/>
      <c r="IL69" s="155"/>
      <c r="IM69" s="155"/>
      <c r="IN69" s="155"/>
      <c r="IO69" s="155"/>
      <c r="IP69" s="155"/>
      <c r="IQ69" s="155"/>
    </row>
    <row r="70" spans="2:251" s="156" customFormat="1" ht="12" hidden="1" customHeight="1">
      <c r="B70" s="199" t="s">
        <v>1200</v>
      </c>
      <c r="C70" s="200"/>
      <c r="D70" s="200"/>
      <c r="E70" s="157"/>
      <c r="F70" s="157"/>
      <c r="G70" s="157"/>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5"/>
      <c r="CL70" s="155"/>
      <c r="CM70" s="155"/>
      <c r="CN70" s="155"/>
      <c r="CO70" s="155"/>
      <c r="CP70" s="155"/>
      <c r="CQ70" s="155"/>
      <c r="CR70" s="155"/>
      <c r="CS70" s="155"/>
      <c r="CT70" s="155"/>
      <c r="CU70" s="155"/>
      <c r="CV70" s="155"/>
      <c r="CW70" s="155"/>
      <c r="CX70" s="155"/>
      <c r="CY70" s="155"/>
      <c r="CZ70" s="155"/>
      <c r="DA70" s="155"/>
      <c r="DB70" s="155"/>
      <c r="DC70" s="155"/>
      <c r="DD70" s="155"/>
      <c r="DE70" s="155"/>
      <c r="DF70" s="155"/>
      <c r="DG70" s="155"/>
      <c r="DH70" s="155"/>
      <c r="DI70" s="155"/>
      <c r="DJ70" s="155"/>
      <c r="DK70" s="155"/>
      <c r="DL70" s="155"/>
      <c r="DM70" s="155"/>
      <c r="DN70" s="155"/>
      <c r="DO70" s="155"/>
      <c r="DP70" s="155"/>
      <c r="DQ70" s="155"/>
      <c r="DR70" s="155"/>
      <c r="DS70" s="155"/>
      <c r="DT70" s="155"/>
      <c r="DU70" s="155"/>
      <c r="DV70" s="155"/>
      <c r="DW70" s="155"/>
      <c r="DX70" s="155"/>
      <c r="DY70" s="155"/>
      <c r="DZ70" s="155"/>
      <c r="EA70" s="155"/>
      <c r="EB70" s="155"/>
      <c r="EC70" s="155"/>
      <c r="ED70" s="155"/>
      <c r="EE70" s="155"/>
      <c r="EF70" s="155"/>
      <c r="EG70" s="155"/>
      <c r="EH70" s="155"/>
      <c r="EI70" s="155"/>
      <c r="EJ70" s="155"/>
      <c r="EK70" s="155"/>
      <c r="EL70" s="155"/>
      <c r="EM70" s="155"/>
      <c r="EN70" s="155"/>
      <c r="EO70" s="155"/>
      <c r="EP70" s="155"/>
      <c r="EQ70" s="155"/>
      <c r="ER70" s="155"/>
      <c r="ES70" s="155"/>
      <c r="ET70" s="155"/>
      <c r="EU70" s="155"/>
      <c r="EV70" s="155"/>
      <c r="EW70" s="155"/>
      <c r="EX70" s="155"/>
      <c r="EY70" s="155"/>
      <c r="EZ70" s="155"/>
      <c r="FA70" s="155"/>
      <c r="FB70" s="155"/>
      <c r="FC70" s="155"/>
      <c r="FD70" s="155"/>
      <c r="FE70" s="155"/>
      <c r="FF70" s="155"/>
      <c r="FG70" s="155"/>
      <c r="FH70" s="155"/>
      <c r="FI70" s="155"/>
      <c r="FJ70" s="155"/>
      <c r="FK70" s="155"/>
      <c r="FL70" s="155"/>
      <c r="FM70" s="155"/>
      <c r="FN70" s="155"/>
      <c r="FO70" s="155"/>
      <c r="FP70" s="155"/>
      <c r="FQ70" s="155"/>
      <c r="FR70" s="155"/>
      <c r="FS70" s="155"/>
      <c r="FT70" s="155"/>
      <c r="FU70" s="155"/>
      <c r="FV70" s="155"/>
      <c r="FW70" s="155"/>
      <c r="FX70" s="155"/>
      <c r="FY70" s="155"/>
      <c r="FZ70" s="155"/>
      <c r="GA70" s="155"/>
      <c r="GB70" s="155"/>
      <c r="GC70" s="155"/>
      <c r="GD70" s="155"/>
      <c r="GE70" s="155"/>
      <c r="GF70" s="155"/>
      <c r="GG70" s="155"/>
      <c r="GH70" s="155"/>
      <c r="GI70" s="155"/>
      <c r="GJ70" s="155"/>
      <c r="GK70" s="155"/>
      <c r="GL70" s="155"/>
      <c r="GM70" s="155"/>
      <c r="GN70" s="155"/>
      <c r="GO70" s="155"/>
      <c r="GP70" s="155"/>
      <c r="GQ70" s="155"/>
      <c r="GR70" s="155"/>
      <c r="GS70" s="155"/>
      <c r="GT70" s="155"/>
      <c r="GU70" s="155"/>
      <c r="GV70" s="155"/>
      <c r="GW70" s="155"/>
      <c r="GX70" s="155"/>
      <c r="GY70" s="155"/>
      <c r="GZ70" s="155"/>
      <c r="HA70" s="155"/>
      <c r="HB70" s="155"/>
      <c r="HC70" s="155"/>
      <c r="HD70" s="155"/>
      <c r="HE70" s="155"/>
      <c r="HF70" s="155"/>
      <c r="HG70" s="155"/>
      <c r="HH70" s="155"/>
      <c r="HI70" s="155"/>
      <c r="HJ70" s="155"/>
      <c r="HK70" s="155"/>
      <c r="HL70" s="155"/>
      <c r="HM70" s="155"/>
      <c r="HN70" s="155"/>
      <c r="HO70" s="155"/>
      <c r="HP70" s="155"/>
      <c r="HQ70" s="155"/>
      <c r="HR70" s="155"/>
      <c r="HS70" s="155"/>
      <c r="HT70" s="155"/>
      <c r="HU70" s="155"/>
      <c r="HV70" s="155"/>
      <c r="HW70" s="155"/>
      <c r="HX70" s="155"/>
      <c r="HY70" s="155"/>
      <c r="HZ70" s="155"/>
      <c r="IA70" s="155"/>
      <c r="IB70" s="155"/>
      <c r="IC70" s="155"/>
      <c r="ID70" s="155"/>
      <c r="IE70" s="155"/>
      <c r="IF70" s="155"/>
      <c r="IG70" s="155"/>
      <c r="IH70" s="155"/>
      <c r="II70" s="155"/>
      <c r="IJ70" s="155"/>
      <c r="IK70" s="155"/>
      <c r="IL70" s="155"/>
      <c r="IM70" s="155"/>
      <c r="IN70" s="155"/>
      <c r="IO70" s="155"/>
      <c r="IP70" s="155"/>
      <c r="IQ70" s="155"/>
    </row>
    <row r="71" spans="2:251" s="156" customFormat="1" ht="12" hidden="1" customHeight="1">
      <c r="B71" s="199" t="s">
        <v>1201</v>
      </c>
      <c r="C71" s="200"/>
      <c r="D71" s="200"/>
      <c r="E71" s="157"/>
      <c r="F71" s="157"/>
      <c r="G71" s="157"/>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5"/>
      <c r="CL71" s="155"/>
      <c r="CM71" s="155"/>
      <c r="CN71" s="155"/>
      <c r="CO71" s="155"/>
      <c r="CP71" s="155"/>
      <c r="CQ71" s="155"/>
      <c r="CR71" s="155"/>
      <c r="CS71" s="155"/>
      <c r="CT71" s="155"/>
      <c r="CU71" s="155"/>
      <c r="CV71" s="155"/>
      <c r="CW71" s="155"/>
      <c r="CX71" s="155"/>
      <c r="CY71" s="155"/>
      <c r="CZ71" s="155"/>
      <c r="DA71" s="155"/>
      <c r="DB71" s="155"/>
      <c r="DC71" s="155"/>
      <c r="DD71" s="155"/>
      <c r="DE71" s="155"/>
      <c r="DF71" s="155"/>
      <c r="DG71" s="155"/>
      <c r="DH71" s="155"/>
      <c r="DI71" s="155"/>
      <c r="DJ71" s="155"/>
      <c r="DK71" s="155"/>
      <c r="DL71" s="155"/>
      <c r="DM71" s="155"/>
      <c r="DN71" s="155"/>
      <c r="DO71" s="155"/>
      <c r="DP71" s="155"/>
      <c r="DQ71" s="155"/>
      <c r="DR71" s="155"/>
      <c r="DS71" s="155"/>
      <c r="DT71" s="155"/>
      <c r="DU71" s="155"/>
      <c r="DV71" s="155"/>
      <c r="DW71" s="155"/>
      <c r="DX71" s="155"/>
      <c r="DY71" s="155"/>
      <c r="DZ71" s="155"/>
      <c r="EA71" s="155"/>
      <c r="EB71" s="155"/>
      <c r="EC71" s="155"/>
      <c r="ED71" s="155"/>
      <c r="EE71" s="155"/>
      <c r="EF71" s="155"/>
      <c r="EG71" s="155"/>
      <c r="EH71" s="155"/>
      <c r="EI71" s="155"/>
      <c r="EJ71" s="155"/>
      <c r="EK71" s="155"/>
      <c r="EL71" s="155"/>
      <c r="EM71" s="155"/>
      <c r="EN71" s="155"/>
      <c r="EO71" s="155"/>
      <c r="EP71" s="155"/>
      <c r="EQ71" s="155"/>
      <c r="ER71" s="155"/>
      <c r="ES71" s="155"/>
      <c r="ET71" s="155"/>
      <c r="EU71" s="155"/>
      <c r="EV71" s="155"/>
      <c r="EW71" s="155"/>
      <c r="EX71" s="155"/>
      <c r="EY71" s="155"/>
      <c r="EZ71" s="155"/>
      <c r="FA71" s="155"/>
      <c r="FB71" s="155"/>
      <c r="FC71" s="155"/>
      <c r="FD71" s="155"/>
      <c r="FE71" s="155"/>
      <c r="FF71" s="155"/>
      <c r="FG71" s="155"/>
      <c r="FH71" s="155"/>
      <c r="FI71" s="155"/>
      <c r="FJ71" s="155"/>
      <c r="FK71" s="155"/>
      <c r="FL71" s="155"/>
      <c r="FM71" s="155"/>
      <c r="FN71" s="155"/>
      <c r="FO71" s="155"/>
      <c r="FP71" s="155"/>
      <c r="FQ71" s="155"/>
      <c r="FR71" s="155"/>
      <c r="FS71" s="155"/>
      <c r="FT71" s="155"/>
      <c r="FU71" s="155"/>
      <c r="FV71" s="155"/>
      <c r="FW71" s="155"/>
      <c r="FX71" s="155"/>
      <c r="FY71" s="155"/>
      <c r="FZ71" s="155"/>
      <c r="GA71" s="155"/>
      <c r="GB71" s="155"/>
      <c r="GC71" s="155"/>
      <c r="GD71" s="155"/>
      <c r="GE71" s="155"/>
      <c r="GF71" s="155"/>
      <c r="GG71" s="155"/>
      <c r="GH71" s="155"/>
      <c r="GI71" s="155"/>
      <c r="GJ71" s="155"/>
      <c r="GK71" s="155"/>
      <c r="GL71" s="155"/>
      <c r="GM71" s="155"/>
      <c r="GN71" s="155"/>
      <c r="GO71" s="155"/>
      <c r="GP71" s="155"/>
      <c r="GQ71" s="155"/>
      <c r="GR71" s="155"/>
      <c r="GS71" s="155"/>
      <c r="GT71" s="155"/>
      <c r="GU71" s="155"/>
      <c r="GV71" s="155"/>
      <c r="GW71" s="155"/>
      <c r="GX71" s="155"/>
      <c r="GY71" s="155"/>
      <c r="GZ71" s="155"/>
      <c r="HA71" s="155"/>
      <c r="HB71" s="155"/>
      <c r="HC71" s="155"/>
      <c r="HD71" s="155"/>
      <c r="HE71" s="155"/>
      <c r="HF71" s="155"/>
      <c r="HG71" s="155"/>
      <c r="HH71" s="155"/>
      <c r="HI71" s="155"/>
      <c r="HJ71" s="155"/>
      <c r="HK71" s="155"/>
      <c r="HL71" s="155"/>
      <c r="HM71" s="155"/>
      <c r="HN71" s="155"/>
      <c r="HO71" s="155"/>
      <c r="HP71" s="155"/>
      <c r="HQ71" s="155"/>
      <c r="HR71" s="155"/>
      <c r="HS71" s="155"/>
      <c r="HT71" s="155"/>
      <c r="HU71" s="155"/>
      <c r="HV71" s="155"/>
      <c r="HW71" s="155"/>
      <c r="HX71" s="155"/>
      <c r="HY71" s="155"/>
      <c r="HZ71" s="155"/>
      <c r="IA71" s="155"/>
      <c r="IB71" s="155"/>
      <c r="IC71" s="155"/>
      <c r="ID71" s="155"/>
      <c r="IE71" s="155"/>
      <c r="IF71" s="155"/>
      <c r="IG71" s="155"/>
      <c r="IH71" s="155"/>
      <c r="II71" s="155"/>
      <c r="IJ71" s="155"/>
      <c r="IK71" s="155"/>
      <c r="IL71" s="155"/>
      <c r="IM71" s="155"/>
      <c r="IN71" s="155"/>
      <c r="IO71" s="155"/>
      <c r="IP71" s="155"/>
      <c r="IQ71" s="155"/>
    </row>
    <row r="72" spans="2:251" s="156" customFormat="1" ht="12" hidden="1" customHeight="1">
      <c r="B72" s="199" t="s">
        <v>1202</v>
      </c>
      <c r="C72" s="200"/>
      <c r="D72" s="200"/>
      <c r="E72" s="157"/>
      <c r="F72" s="157"/>
      <c r="G72" s="157"/>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5"/>
      <c r="CL72" s="155"/>
      <c r="CM72" s="155"/>
      <c r="CN72" s="155"/>
      <c r="CO72" s="155"/>
      <c r="CP72" s="155"/>
      <c r="CQ72" s="155"/>
      <c r="CR72" s="155"/>
      <c r="CS72" s="155"/>
      <c r="CT72" s="155"/>
      <c r="CU72" s="155"/>
      <c r="CV72" s="155"/>
      <c r="CW72" s="155"/>
      <c r="CX72" s="155"/>
      <c r="CY72" s="155"/>
      <c r="CZ72" s="155"/>
      <c r="DA72" s="155"/>
      <c r="DB72" s="155"/>
      <c r="DC72" s="155"/>
      <c r="DD72" s="155"/>
      <c r="DE72" s="155"/>
      <c r="DF72" s="155"/>
      <c r="DG72" s="155"/>
      <c r="DH72" s="155"/>
      <c r="DI72" s="155"/>
      <c r="DJ72" s="155"/>
      <c r="DK72" s="155"/>
      <c r="DL72" s="155"/>
      <c r="DM72" s="155"/>
      <c r="DN72" s="155"/>
      <c r="DO72" s="155"/>
      <c r="DP72" s="155"/>
      <c r="DQ72" s="155"/>
      <c r="DR72" s="155"/>
      <c r="DS72" s="155"/>
      <c r="DT72" s="155"/>
      <c r="DU72" s="155"/>
      <c r="DV72" s="155"/>
      <c r="DW72" s="155"/>
      <c r="DX72" s="155"/>
      <c r="DY72" s="155"/>
      <c r="DZ72" s="155"/>
      <c r="EA72" s="155"/>
      <c r="EB72" s="155"/>
      <c r="EC72" s="155"/>
      <c r="ED72" s="155"/>
      <c r="EE72" s="155"/>
      <c r="EF72" s="155"/>
      <c r="EG72" s="155"/>
      <c r="EH72" s="155"/>
      <c r="EI72" s="155"/>
      <c r="EJ72" s="155"/>
      <c r="EK72" s="155"/>
      <c r="EL72" s="155"/>
      <c r="EM72" s="155"/>
      <c r="EN72" s="155"/>
      <c r="EO72" s="155"/>
      <c r="EP72" s="155"/>
      <c r="EQ72" s="155"/>
      <c r="ER72" s="155"/>
      <c r="ES72" s="155"/>
      <c r="ET72" s="155"/>
      <c r="EU72" s="155"/>
      <c r="EV72" s="155"/>
      <c r="EW72" s="155"/>
      <c r="EX72" s="155"/>
      <c r="EY72" s="155"/>
      <c r="EZ72" s="155"/>
      <c r="FA72" s="155"/>
      <c r="FB72" s="155"/>
      <c r="FC72" s="155"/>
      <c r="FD72" s="155"/>
      <c r="FE72" s="155"/>
      <c r="FF72" s="155"/>
      <c r="FG72" s="155"/>
      <c r="FH72" s="155"/>
      <c r="FI72" s="155"/>
      <c r="FJ72" s="155"/>
      <c r="FK72" s="155"/>
      <c r="FL72" s="155"/>
      <c r="FM72" s="155"/>
      <c r="FN72" s="155"/>
      <c r="FO72" s="155"/>
      <c r="FP72" s="155"/>
      <c r="FQ72" s="155"/>
      <c r="FR72" s="155"/>
      <c r="FS72" s="155"/>
      <c r="FT72" s="155"/>
      <c r="FU72" s="155"/>
      <c r="FV72" s="155"/>
      <c r="FW72" s="155"/>
      <c r="FX72" s="155"/>
      <c r="FY72" s="155"/>
      <c r="FZ72" s="155"/>
      <c r="GA72" s="155"/>
      <c r="GB72" s="155"/>
      <c r="GC72" s="155"/>
      <c r="GD72" s="155"/>
      <c r="GE72" s="155"/>
      <c r="GF72" s="155"/>
      <c r="GG72" s="155"/>
      <c r="GH72" s="155"/>
      <c r="GI72" s="155"/>
      <c r="GJ72" s="155"/>
      <c r="GK72" s="155"/>
      <c r="GL72" s="155"/>
      <c r="GM72" s="155"/>
      <c r="GN72" s="155"/>
      <c r="GO72" s="155"/>
      <c r="GP72" s="155"/>
      <c r="GQ72" s="155"/>
      <c r="GR72" s="155"/>
      <c r="GS72" s="155"/>
      <c r="GT72" s="155"/>
      <c r="GU72" s="155"/>
      <c r="GV72" s="155"/>
      <c r="GW72" s="155"/>
      <c r="GX72" s="155"/>
      <c r="GY72" s="155"/>
      <c r="GZ72" s="155"/>
      <c r="HA72" s="155"/>
      <c r="HB72" s="155"/>
      <c r="HC72" s="155"/>
      <c r="HD72" s="155"/>
      <c r="HE72" s="155"/>
      <c r="HF72" s="155"/>
      <c r="HG72" s="155"/>
      <c r="HH72" s="155"/>
      <c r="HI72" s="155"/>
      <c r="HJ72" s="155"/>
      <c r="HK72" s="155"/>
      <c r="HL72" s="155"/>
      <c r="HM72" s="155"/>
      <c r="HN72" s="155"/>
      <c r="HO72" s="155"/>
      <c r="HP72" s="155"/>
      <c r="HQ72" s="155"/>
      <c r="HR72" s="155"/>
      <c r="HS72" s="155"/>
      <c r="HT72" s="155"/>
      <c r="HU72" s="155"/>
      <c r="HV72" s="155"/>
      <c r="HW72" s="155"/>
      <c r="HX72" s="155"/>
      <c r="HY72" s="155"/>
      <c r="HZ72" s="155"/>
      <c r="IA72" s="155"/>
      <c r="IB72" s="155"/>
      <c r="IC72" s="155"/>
      <c r="ID72" s="155"/>
      <c r="IE72" s="155"/>
      <c r="IF72" s="155"/>
      <c r="IG72" s="155"/>
      <c r="IH72" s="155"/>
      <c r="II72" s="155"/>
      <c r="IJ72" s="155"/>
      <c r="IK72" s="155"/>
      <c r="IL72" s="155"/>
      <c r="IM72" s="155"/>
      <c r="IN72" s="155"/>
      <c r="IO72" s="155"/>
      <c r="IP72" s="155"/>
      <c r="IQ72" s="155"/>
    </row>
    <row r="73" spans="2:251" s="156" customFormat="1" ht="12" hidden="1" customHeight="1">
      <c r="B73" s="199" t="s">
        <v>1203</v>
      </c>
      <c r="C73" s="200"/>
      <c r="D73" s="200"/>
      <c r="E73" s="157"/>
      <c r="F73" s="157"/>
      <c r="G73" s="157"/>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5"/>
      <c r="CP73" s="155"/>
      <c r="CQ73" s="155"/>
      <c r="CR73" s="155"/>
      <c r="CS73" s="155"/>
      <c r="CT73" s="155"/>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5"/>
      <c r="DS73" s="155"/>
      <c r="DT73" s="155"/>
      <c r="DU73" s="155"/>
      <c r="DV73" s="155"/>
      <c r="DW73" s="155"/>
      <c r="DX73" s="155"/>
      <c r="DY73" s="155"/>
      <c r="DZ73" s="155"/>
      <c r="EA73" s="155"/>
      <c r="EB73" s="155"/>
      <c r="EC73" s="155"/>
      <c r="ED73" s="155"/>
      <c r="EE73" s="155"/>
      <c r="EF73" s="155"/>
      <c r="EG73" s="155"/>
      <c r="EH73" s="155"/>
      <c r="EI73" s="155"/>
      <c r="EJ73" s="155"/>
      <c r="EK73" s="155"/>
      <c r="EL73" s="155"/>
      <c r="EM73" s="155"/>
      <c r="EN73" s="155"/>
      <c r="EO73" s="155"/>
      <c r="EP73" s="155"/>
      <c r="EQ73" s="155"/>
      <c r="ER73" s="155"/>
      <c r="ES73" s="155"/>
      <c r="ET73" s="155"/>
      <c r="EU73" s="155"/>
      <c r="EV73" s="155"/>
      <c r="EW73" s="155"/>
      <c r="EX73" s="155"/>
      <c r="EY73" s="155"/>
      <c r="EZ73" s="155"/>
      <c r="FA73" s="155"/>
      <c r="FB73" s="155"/>
      <c r="FC73" s="155"/>
      <c r="FD73" s="155"/>
      <c r="FE73" s="155"/>
      <c r="FF73" s="155"/>
      <c r="FG73" s="155"/>
      <c r="FH73" s="155"/>
      <c r="FI73" s="155"/>
      <c r="FJ73" s="155"/>
      <c r="FK73" s="155"/>
      <c r="FL73" s="155"/>
      <c r="FM73" s="155"/>
      <c r="FN73" s="155"/>
      <c r="FO73" s="155"/>
      <c r="FP73" s="155"/>
      <c r="FQ73" s="155"/>
      <c r="FR73" s="155"/>
      <c r="FS73" s="155"/>
      <c r="FT73" s="155"/>
      <c r="FU73" s="155"/>
      <c r="FV73" s="155"/>
      <c r="FW73" s="155"/>
      <c r="FX73" s="155"/>
      <c r="FY73" s="155"/>
      <c r="FZ73" s="155"/>
      <c r="GA73" s="155"/>
      <c r="GB73" s="155"/>
      <c r="GC73" s="155"/>
      <c r="GD73" s="155"/>
      <c r="GE73" s="155"/>
      <c r="GF73" s="155"/>
      <c r="GG73" s="155"/>
      <c r="GH73" s="155"/>
      <c r="GI73" s="155"/>
      <c r="GJ73" s="155"/>
      <c r="GK73" s="155"/>
      <c r="GL73" s="155"/>
      <c r="GM73" s="155"/>
      <c r="GN73" s="155"/>
      <c r="GO73" s="155"/>
      <c r="GP73" s="155"/>
      <c r="GQ73" s="155"/>
      <c r="GR73" s="155"/>
      <c r="GS73" s="155"/>
      <c r="GT73" s="155"/>
      <c r="GU73" s="155"/>
      <c r="GV73" s="155"/>
      <c r="GW73" s="155"/>
      <c r="GX73" s="155"/>
      <c r="GY73" s="155"/>
      <c r="GZ73" s="155"/>
      <c r="HA73" s="155"/>
      <c r="HB73" s="155"/>
      <c r="HC73" s="155"/>
      <c r="HD73" s="155"/>
      <c r="HE73" s="155"/>
      <c r="HF73" s="155"/>
      <c r="HG73" s="155"/>
      <c r="HH73" s="155"/>
      <c r="HI73" s="155"/>
      <c r="HJ73" s="155"/>
      <c r="HK73" s="155"/>
      <c r="HL73" s="155"/>
      <c r="HM73" s="155"/>
      <c r="HN73" s="155"/>
      <c r="HO73" s="155"/>
      <c r="HP73" s="155"/>
      <c r="HQ73" s="155"/>
      <c r="HR73" s="155"/>
      <c r="HS73" s="155"/>
      <c r="HT73" s="155"/>
      <c r="HU73" s="155"/>
      <c r="HV73" s="155"/>
      <c r="HW73" s="155"/>
      <c r="HX73" s="155"/>
      <c r="HY73" s="155"/>
      <c r="HZ73" s="155"/>
      <c r="IA73" s="155"/>
      <c r="IB73" s="155"/>
      <c r="IC73" s="155"/>
      <c r="ID73" s="155"/>
      <c r="IE73" s="155"/>
      <c r="IF73" s="155"/>
      <c r="IG73" s="155"/>
      <c r="IH73" s="155"/>
      <c r="II73" s="155"/>
      <c r="IJ73" s="155"/>
      <c r="IK73" s="155"/>
      <c r="IL73" s="155"/>
      <c r="IM73" s="155"/>
      <c r="IN73" s="155"/>
      <c r="IO73" s="155"/>
      <c r="IP73" s="155"/>
      <c r="IQ73" s="155"/>
    </row>
    <row r="74" spans="2:251" s="156" customFormat="1" ht="12" hidden="1" customHeight="1">
      <c r="B74" s="199" t="s">
        <v>1204</v>
      </c>
      <c r="C74" s="200"/>
      <c r="D74" s="200"/>
      <c r="E74" s="157"/>
      <c r="F74" s="157"/>
      <c r="G74" s="157"/>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c r="CA74" s="155"/>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155"/>
      <c r="DQ74" s="155"/>
      <c r="DR74" s="155"/>
      <c r="DS74" s="155"/>
      <c r="DT74" s="155"/>
      <c r="DU74" s="155"/>
      <c r="DV74" s="155"/>
      <c r="DW74" s="155"/>
      <c r="DX74" s="155"/>
      <c r="DY74" s="155"/>
      <c r="DZ74" s="155"/>
      <c r="EA74" s="155"/>
      <c r="EB74" s="155"/>
      <c r="EC74" s="155"/>
      <c r="ED74" s="155"/>
      <c r="EE74" s="155"/>
      <c r="EF74" s="155"/>
      <c r="EG74" s="155"/>
      <c r="EH74" s="155"/>
      <c r="EI74" s="155"/>
      <c r="EJ74" s="155"/>
      <c r="EK74" s="155"/>
      <c r="EL74" s="155"/>
      <c r="EM74" s="155"/>
      <c r="EN74" s="155"/>
      <c r="EO74" s="155"/>
      <c r="EP74" s="155"/>
      <c r="EQ74" s="155"/>
      <c r="ER74" s="155"/>
      <c r="ES74" s="155"/>
      <c r="ET74" s="155"/>
      <c r="EU74" s="155"/>
      <c r="EV74" s="155"/>
      <c r="EW74" s="155"/>
      <c r="EX74" s="155"/>
      <c r="EY74" s="155"/>
      <c r="EZ74" s="155"/>
      <c r="FA74" s="155"/>
      <c r="FB74" s="155"/>
      <c r="FC74" s="155"/>
      <c r="FD74" s="155"/>
      <c r="FE74" s="155"/>
      <c r="FF74" s="155"/>
      <c r="FG74" s="155"/>
      <c r="FH74" s="155"/>
      <c r="FI74" s="155"/>
      <c r="FJ74" s="155"/>
      <c r="FK74" s="155"/>
      <c r="FL74" s="155"/>
      <c r="FM74" s="155"/>
      <c r="FN74" s="155"/>
      <c r="FO74" s="155"/>
      <c r="FP74" s="155"/>
      <c r="FQ74" s="155"/>
      <c r="FR74" s="155"/>
      <c r="FS74" s="155"/>
      <c r="FT74" s="155"/>
      <c r="FU74" s="155"/>
      <c r="FV74" s="155"/>
      <c r="FW74" s="155"/>
      <c r="FX74" s="155"/>
      <c r="FY74" s="155"/>
      <c r="FZ74" s="155"/>
      <c r="GA74" s="155"/>
      <c r="GB74" s="155"/>
      <c r="GC74" s="155"/>
      <c r="GD74" s="155"/>
      <c r="GE74" s="155"/>
      <c r="GF74" s="155"/>
      <c r="GG74" s="155"/>
      <c r="GH74" s="155"/>
      <c r="GI74" s="155"/>
      <c r="GJ74" s="155"/>
      <c r="GK74" s="155"/>
      <c r="GL74" s="155"/>
      <c r="GM74" s="155"/>
      <c r="GN74" s="155"/>
      <c r="GO74" s="155"/>
      <c r="GP74" s="155"/>
      <c r="GQ74" s="155"/>
      <c r="GR74" s="155"/>
      <c r="GS74" s="155"/>
      <c r="GT74" s="155"/>
      <c r="GU74" s="155"/>
      <c r="GV74" s="155"/>
      <c r="GW74" s="155"/>
      <c r="GX74" s="155"/>
      <c r="GY74" s="155"/>
      <c r="GZ74" s="155"/>
      <c r="HA74" s="155"/>
      <c r="HB74" s="155"/>
      <c r="HC74" s="155"/>
      <c r="HD74" s="155"/>
      <c r="HE74" s="155"/>
      <c r="HF74" s="155"/>
      <c r="HG74" s="155"/>
      <c r="HH74" s="155"/>
      <c r="HI74" s="155"/>
      <c r="HJ74" s="155"/>
      <c r="HK74" s="155"/>
      <c r="HL74" s="155"/>
      <c r="HM74" s="155"/>
      <c r="HN74" s="155"/>
      <c r="HO74" s="155"/>
      <c r="HP74" s="155"/>
      <c r="HQ74" s="155"/>
      <c r="HR74" s="155"/>
      <c r="HS74" s="155"/>
      <c r="HT74" s="155"/>
      <c r="HU74" s="155"/>
      <c r="HV74" s="155"/>
      <c r="HW74" s="155"/>
      <c r="HX74" s="155"/>
      <c r="HY74" s="155"/>
      <c r="HZ74" s="155"/>
      <c r="IA74" s="155"/>
      <c r="IB74" s="155"/>
      <c r="IC74" s="155"/>
      <c r="ID74" s="155"/>
      <c r="IE74" s="155"/>
      <c r="IF74" s="155"/>
      <c r="IG74" s="155"/>
      <c r="IH74" s="155"/>
      <c r="II74" s="155"/>
      <c r="IJ74" s="155"/>
      <c r="IK74" s="155"/>
      <c r="IL74" s="155"/>
      <c r="IM74" s="155"/>
      <c r="IN74" s="155"/>
      <c r="IO74" s="155"/>
      <c r="IP74" s="155"/>
      <c r="IQ74" s="155"/>
    </row>
    <row r="75" spans="2:251" s="156" customFormat="1" ht="12" hidden="1" customHeight="1">
      <c r="B75" s="199" t="s">
        <v>1205</v>
      </c>
      <c r="C75" s="200"/>
      <c r="D75" s="200"/>
      <c r="E75" s="157"/>
      <c r="F75" s="157"/>
      <c r="G75" s="157"/>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55"/>
      <c r="CD75" s="155"/>
      <c r="CE75" s="155"/>
      <c r="CF75" s="155"/>
      <c r="CG75" s="155"/>
      <c r="CH75" s="155"/>
      <c r="CI75" s="155"/>
      <c r="CJ75" s="155"/>
      <c r="CK75" s="155"/>
      <c r="CL75" s="155"/>
      <c r="CM75" s="155"/>
      <c r="CN75" s="155"/>
      <c r="CO75" s="155"/>
      <c r="CP75" s="155"/>
      <c r="CQ75" s="155"/>
      <c r="CR75" s="155"/>
      <c r="CS75" s="155"/>
      <c r="CT75" s="155"/>
      <c r="CU75" s="155"/>
      <c r="CV75" s="155"/>
      <c r="CW75" s="155"/>
      <c r="CX75" s="155"/>
      <c r="CY75" s="155"/>
      <c r="CZ75" s="155"/>
      <c r="DA75" s="155"/>
      <c r="DB75" s="155"/>
      <c r="DC75" s="155"/>
      <c r="DD75" s="155"/>
      <c r="DE75" s="155"/>
      <c r="DF75" s="155"/>
      <c r="DG75" s="155"/>
      <c r="DH75" s="155"/>
      <c r="DI75" s="155"/>
      <c r="DJ75" s="155"/>
      <c r="DK75" s="155"/>
      <c r="DL75" s="155"/>
      <c r="DM75" s="155"/>
      <c r="DN75" s="155"/>
      <c r="DO75" s="155"/>
      <c r="DP75" s="155"/>
      <c r="DQ75" s="155"/>
      <c r="DR75" s="155"/>
      <c r="DS75" s="155"/>
      <c r="DT75" s="155"/>
      <c r="DU75" s="155"/>
      <c r="DV75" s="155"/>
      <c r="DW75" s="155"/>
      <c r="DX75" s="155"/>
      <c r="DY75" s="155"/>
      <c r="DZ75" s="155"/>
      <c r="EA75" s="155"/>
      <c r="EB75" s="155"/>
      <c r="EC75" s="155"/>
      <c r="ED75" s="155"/>
      <c r="EE75" s="155"/>
      <c r="EF75" s="155"/>
      <c r="EG75" s="155"/>
      <c r="EH75" s="155"/>
      <c r="EI75" s="155"/>
      <c r="EJ75" s="155"/>
      <c r="EK75" s="155"/>
      <c r="EL75" s="155"/>
      <c r="EM75" s="155"/>
      <c r="EN75" s="155"/>
      <c r="EO75" s="155"/>
      <c r="EP75" s="155"/>
      <c r="EQ75" s="155"/>
      <c r="ER75" s="155"/>
      <c r="ES75" s="155"/>
      <c r="ET75" s="155"/>
      <c r="EU75" s="155"/>
      <c r="EV75" s="155"/>
      <c r="EW75" s="155"/>
      <c r="EX75" s="155"/>
      <c r="EY75" s="155"/>
      <c r="EZ75" s="155"/>
      <c r="FA75" s="155"/>
      <c r="FB75" s="155"/>
      <c r="FC75" s="155"/>
      <c r="FD75" s="155"/>
      <c r="FE75" s="155"/>
      <c r="FF75" s="155"/>
      <c r="FG75" s="155"/>
      <c r="FH75" s="155"/>
      <c r="FI75" s="155"/>
      <c r="FJ75" s="155"/>
      <c r="FK75" s="155"/>
      <c r="FL75" s="155"/>
      <c r="FM75" s="155"/>
      <c r="FN75" s="155"/>
      <c r="FO75" s="155"/>
      <c r="FP75" s="155"/>
      <c r="FQ75" s="155"/>
      <c r="FR75" s="155"/>
      <c r="FS75" s="155"/>
      <c r="FT75" s="155"/>
      <c r="FU75" s="155"/>
      <c r="FV75" s="155"/>
      <c r="FW75" s="155"/>
      <c r="FX75" s="155"/>
      <c r="FY75" s="155"/>
      <c r="FZ75" s="155"/>
      <c r="GA75" s="155"/>
      <c r="GB75" s="155"/>
      <c r="GC75" s="155"/>
      <c r="GD75" s="155"/>
      <c r="GE75" s="155"/>
      <c r="GF75" s="155"/>
      <c r="GG75" s="155"/>
      <c r="GH75" s="155"/>
      <c r="GI75" s="155"/>
      <c r="GJ75" s="155"/>
      <c r="GK75" s="155"/>
      <c r="GL75" s="155"/>
      <c r="GM75" s="155"/>
      <c r="GN75" s="155"/>
      <c r="GO75" s="155"/>
      <c r="GP75" s="155"/>
      <c r="GQ75" s="155"/>
      <c r="GR75" s="155"/>
      <c r="GS75" s="155"/>
      <c r="GT75" s="155"/>
      <c r="GU75" s="155"/>
      <c r="GV75" s="155"/>
      <c r="GW75" s="155"/>
      <c r="GX75" s="155"/>
      <c r="GY75" s="155"/>
      <c r="GZ75" s="155"/>
      <c r="HA75" s="155"/>
      <c r="HB75" s="155"/>
      <c r="HC75" s="155"/>
      <c r="HD75" s="155"/>
      <c r="HE75" s="155"/>
      <c r="HF75" s="155"/>
      <c r="HG75" s="155"/>
      <c r="HH75" s="155"/>
      <c r="HI75" s="155"/>
      <c r="HJ75" s="155"/>
      <c r="HK75" s="155"/>
      <c r="HL75" s="155"/>
      <c r="HM75" s="155"/>
      <c r="HN75" s="155"/>
      <c r="HO75" s="155"/>
      <c r="HP75" s="155"/>
      <c r="HQ75" s="155"/>
      <c r="HR75" s="155"/>
      <c r="HS75" s="155"/>
      <c r="HT75" s="155"/>
      <c r="HU75" s="155"/>
      <c r="HV75" s="155"/>
      <c r="HW75" s="155"/>
      <c r="HX75" s="155"/>
      <c r="HY75" s="155"/>
      <c r="HZ75" s="155"/>
      <c r="IA75" s="155"/>
      <c r="IB75" s="155"/>
      <c r="IC75" s="155"/>
      <c r="ID75" s="155"/>
      <c r="IE75" s="155"/>
      <c r="IF75" s="155"/>
      <c r="IG75" s="155"/>
      <c r="IH75" s="155"/>
      <c r="II75" s="155"/>
      <c r="IJ75" s="155"/>
      <c r="IK75" s="155"/>
      <c r="IL75" s="155"/>
      <c r="IM75" s="155"/>
      <c r="IN75" s="155"/>
      <c r="IO75" s="155"/>
      <c r="IP75" s="155"/>
      <c r="IQ75" s="155"/>
    </row>
    <row r="76" spans="2:251" s="156" customFormat="1" ht="12" hidden="1" customHeight="1">
      <c r="B76" s="199" t="s">
        <v>1206</v>
      </c>
      <c r="C76" s="200"/>
      <c r="D76" s="200"/>
      <c r="E76" s="157"/>
      <c r="F76" s="157"/>
      <c r="G76" s="157"/>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5"/>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5"/>
      <c r="DS76" s="155"/>
      <c r="DT76" s="155"/>
      <c r="DU76" s="155"/>
      <c r="DV76" s="155"/>
      <c r="DW76" s="155"/>
      <c r="DX76" s="155"/>
      <c r="DY76" s="155"/>
      <c r="DZ76" s="155"/>
      <c r="EA76" s="155"/>
      <c r="EB76" s="155"/>
      <c r="EC76" s="155"/>
      <c r="ED76" s="155"/>
      <c r="EE76" s="155"/>
      <c r="EF76" s="155"/>
      <c r="EG76" s="155"/>
      <c r="EH76" s="155"/>
      <c r="EI76" s="155"/>
      <c r="EJ76" s="155"/>
      <c r="EK76" s="155"/>
      <c r="EL76" s="155"/>
      <c r="EM76" s="155"/>
      <c r="EN76" s="155"/>
      <c r="EO76" s="155"/>
      <c r="EP76" s="155"/>
      <c r="EQ76" s="155"/>
      <c r="ER76" s="155"/>
      <c r="ES76" s="155"/>
      <c r="ET76" s="155"/>
      <c r="EU76" s="155"/>
      <c r="EV76" s="155"/>
      <c r="EW76" s="155"/>
      <c r="EX76" s="155"/>
      <c r="EY76" s="155"/>
      <c r="EZ76" s="155"/>
      <c r="FA76" s="155"/>
      <c r="FB76" s="155"/>
      <c r="FC76" s="155"/>
      <c r="FD76" s="155"/>
      <c r="FE76" s="155"/>
      <c r="FF76" s="155"/>
      <c r="FG76" s="155"/>
      <c r="FH76" s="155"/>
      <c r="FI76" s="155"/>
      <c r="FJ76" s="155"/>
      <c r="FK76" s="155"/>
      <c r="FL76" s="155"/>
      <c r="FM76" s="155"/>
      <c r="FN76" s="155"/>
      <c r="FO76" s="155"/>
      <c r="FP76" s="155"/>
      <c r="FQ76" s="155"/>
      <c r="FR76" s="155"/>
      <c r="FS76" s="155"/>
      <c r="FT76" s="155"/>
      <c r="FU76" s="155"/>
      <c r="FV76" s="155"/>
      <c r="FW76" s="155"/>
      <c r="FX76" s="155"/>
      <c r="FY76" s="155"/>
      <c r="FZ76" s="155"/>
      <c r="GA76" s="155"/>
      <c r="GB76" s="155"/>
      <c r="GC76" s="155"/>
      <c r="GD76" s="155"/>
      <c r="GE76" s="155"/>
      <c r="GF76" s="155"/>
      <c r="GG76" s="155"/>
      <c r="GH76" s="155"/>
      <c r="GI76" s="155"/>
      <c r="GJ76" s="155"/>
      <c r="GK76" s="155"/>
      <c r="GL76" s="155"/>
      <c r="GM76" s="155"/>
      <c r="GN76" s="155"/>
      <c r="GO76" s="155"/>
      <c r="GP76" s="155"/>
      <c r="GQ76" s="155"/>
      <c r="GR76" s="155"/>
      <c r="GS76" s="155"/>
      <c r="GT76" s="155"/>
      <c r="GU76" s="155"/>
      <c r="GV76" s="155"/>
      <c r="GW76" s="155"/>
      <c r="GX76" s="155"/>
      <c r="GY76" s="155"/>
      <c r="GZ76" s="155"/>
      <c r="HA76" s="155"/>
      <c r="HB76" s="155"/>
      <c r="HC76" s="155"/>
      <c r="HD76" s="155"/>
      <c r="HE76" s="155"/>
      <c r="HF76" s="155"/>
      <c r="HG76" s="155"/>
      <c r="HH76" s="155"/>
      <c r="HI76" s="155"/>
      <c r="HJ76" s="155"/>
      <c r="HK76" s="155"/>
      <c r="HL76" s="155"/>
      <c r="HM76" s="155"/>
      <c r="HN76" s="155"/>
      <c r="HO76" s="155"/>
      <c r="HP76" s="155"/>
      <c r="HQ76" s="155"/>
      <c r="HR76" s="155"/>
      <c r="HS76" s="155"/>
      <c r="HT76" s="155"/>
      <c r="HU76" s="155"/>
      <c r="HV76" s="155"/>
      <c r="HW76" s="155"/>
      <c r="HX76" s="155"/>
      <c r="HY76" s="155"/>
      <c r="HZ76" s="155"/>
      <c r="IA76" s="155"/>
      <c r="IB76" s="155"/>
      <c r="IC76" s="155"/>
      <c r="ID76" s="155"/>
      <c r="IE76" s="155"/>
      <c r="IF76" s="155"/>
      <c r="IG76" s="155"/>
      <c r="IH76" s="155"/>
      <c r="II76" s="155"/>
      <c r="IJ76" s="155"/>
      <c r="IK76" s="155"/>
      <c r="IL76" s="155"/>
      <c r="IM76" s="155"/>
      <c r="IN76" s="155"/>
      <c r="IO76" s="155"/>
      <c r="IP76" s="155"/>
      <c r="IQ76" s="155"/>
    </row>
    <row r="77" spans="2:251" s="156" customFormat="1" ht="12" hidden="1" customHeight="1">
      <c r="B77" s="199" t="s">
        <v>1207</v>
      </c>
      <c r="C77" s="200"/>
      <c r="D77" s="200"/>
      <c r="E77" s="157"/>
      <c r="F77" s="157"/>
      <c r="G77" s="157"/>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5"/>
      <c r="CL77" s="155"/>
      <c r="CM77" s="155"/>
      <c r="CN77" s="155"/>
      <c r="CO77" s="155"/>
      <c r="CP77" s="155"/>
      <c r="CQ77" s="155"/>
      <c r="CR77" s="155"/>
      <c r="CS77" s="155"/>
      <c r="CT77" s="155"/>
      <c r="CU77" s="155"/>
      <c r="CV77" s="155"/>
      <c r="CW77" s="155"/>
      <c r="CX77" s="155"/>
      <c r="CY77" s="155"/>
      <c r="CZ77" s="155"/>
      <c r="DA77" s="155"/>
      <c r="DB77" s="155"/>
      <c r="DC77" s="155"/>
      <c r="DD77" s="155"/>
      <c r="DE77" s="155"/>
      <c r="DF77" s="155"/>
      <c r="DG77" s="155"/>
      <c r="DH77" s="155"/>
      <c r="DI77" s="155"/>
      <c r="DJ77" s="155"/>
      <c r="DK77" s="155"/>
      <c r="DL77" s="155"/>
      <c r="DM77" s="155"/>
      <c r="DN77" s="155"/>
      <c r="DO77" s="155"/>
      <c r="DP77" s="155"/>
      <c r="DQ77" s="155"/>
      <c r="DR77" s="155"/>
      <c r="DS77" s="155"/>
      <c r="DT77" s="155"/>
      <c r="DU77" s="155"/>
      <c r="DV77" s="155"/>
      <c r="DW77" s="155"/>
      <c r="DX77" s="155"/>
      <c r="DY77" s="155"/>
      <c r="DZ77" s="155"/>
      <c r="EA77" s="155"/>
      <c r="EB77" s="155"/>
      <c r="EC77" s="155"/>
      <c r="ED77" s="155"/>
      <c r="EE77" s="155"/>
      <c r="EF77" s="155"/>
      <c r="EG77" s="155"/>
      <c r="EH77" s="155"/>
      <c r="EI77" s="155"/>
      <c r="EJ77" s="155"/>
      <c r="EK77" s="155"/>
      <c r="EL77" s="155"/>
      <c r="EM77" s="155"/>
      <c r="EN77" s="155"/>
      <c r="EO77" s="155"/>
      <c r="EP77" s="155"/>
      <c r="EQ77" s="155"/>
      <c r="ER77" s="155"/>
      <c r="ES77" s="155"/>
      <c r="ET77" s="155"/>
      <c r="EU77" s="155"/>
      <c r="EV77" s="155"/>
      <c r="EW77" s="155"/>
      <c r="EX77" s="155"/>
      <c r="EY77" s="155"/>
      <c r="EZ77" s="155"/>
      <c r="FA77" s="155"/>
      <c r="FB77" s="155"/>
      <c r="FC77" s="155"/>
      <c r="FD77" s="155"/>
      <c r="FE77" s="155"/>
      <c r="FF77" s="155"/>
      <c r="FG77" s="155"/>
      <c r="FH77" s="155"/>
      <c r="FI77" s="155"/>
      <c r="FJ77" s="155"/>
      <c r="FK77" s="155"/>
      <c r="FL77" s="155"/>
      <c r="FM77" s="155"/>
      <c r="FN77" s="155"/>
      <c r="FO77" s="155"/>
      <c r="FP77" s="155"/>
      <c r="FQ77" s="155"/>
      <c r="FR77" s="155"/>
      <c r="FS77" s="155"/>
      <c r="FT77" s="155"/>
      <c r="FU77" s="155"/>
      <c r="FV77" s="155"/>
      <c r="FW77" s="155"/>
      <c r="FX77" s="155"/>
      <c r="FY77" s="155"/>
      <c r="FZ77" s="155"/>
      <c r="GA77" s="155"/>
      <c r="GB77" s="155"/>
      <c r="GC77" s="155"/>
      <c r="GD77" s="155"/>
      <c r="GE77" s="155"/>
      <c r="GF77" s="155"/>
      <c r="GG77" s="155"/>
      <c r="GH77" s="155"/>
      <c r="GI77" s="155"/>
      <c r="GJ77" s="155"/>
      <c r="GK77" s="155"/>
      <c r="GL77" s="155"/>
      <c r="GM77" s="155"/>
      <c r="GN77" s="155"/>
      <c r="GO77" s="155"/>
      <c r="GP77" s="155"/>
      <c r="GQ77" s="155"/>
      <c r="GR77" s="155"/>
      <c r="GS77" s="155"/>
      <c r="GT77" s="155"/>
      <c r="GU77" s="155"/>
      <c r="GV77" s="155"/>
      <c r="GW77" s="155"/>
      <c r="GX77" s="155"/>
      <c r="GY77" s="155"/>
      <c r="GZ77" s="155"/>
      <c r="HA77" s="155"/>
      <c r="HB77" s="155"/>
      <c r="HC77" s="155"/>
      <c r="HD77" s="155"/>
      <c r="HE77" s="155"/>
      <c r="HF77" s="155"/>
      <c r="HG77" s="155"/>
      <c r="HH77" s="155"/>
      <c r="HI77" s="155"/>
      <c r="HJ77" s="155"/>
      <c r="HK77" s="155"/>
      <c r="HL77" s="155"/>
      <c r="HM77" s="155"/>
      <c r="HN77" s="155"/>
      <c r="HO77" s="155"/>
      <c r="HP77" s="155"/>
      <c r="HQ77" s="155"/>
      <c r="HR77" s="155"/>
      <c r="HS77" s="155"/>
      <c r="HT77" s="155"/>
      <c r="HU77" s="155"/>
      <c r="HV77" s="155"/>
      <c r="HW77" s="155"/>
      <c r="HX77" s="155"/>
      <c r="HY77" s="155"/>
      <c r="HZ77" s="155"/>
      <c r="IA77" s="155"/>
      <c r="IB77" s="155"/>
      <c r="IC77" s="155"/>
      <c r="ID77" s="155"/>
      <c r="IE77" s="155"/>
      <c r="IF77" s="155"/>
      <c r="IG77" s="155"/>
      <c r="IH77" s="155"/>
      <c r="II77" s="155"/>
      <c r="IJ77" s="155"/>
      <c r="IK77" s="155"/>
      <c r="IL77" s="155"/>
      <c r="IM77" s="155"/>
      <c r="IN77" s="155"/>
      <c r="IO77" s="155"/>
      <c r="IP77" s="155"/>
      <c r="IQ77" s="155"/>
    </row>
    <row r="78" spans="2:251" s="156" customFormat="1" ht="12" hidden="1" customHeight="1">
      <c r="B78" s="199" t="s">
        <v>1208</v>
      </c>
      <c r="C78" s="200"/>
      <c r="D78" s="200"/>
      <c r="E78" s="157"/>
      <c r="F78" s="157"/>
      <c r="G78" s="157"/>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5"/>
      <c r="CL78" s="155"/>
      <c r="CM78" s="155"/>
      <c r="CN78" s="155"/>
      <c r="CO78" s="155"/>
      <c r="CP78" s="155"/>
      <c r="CQ78" s="155"/>
      <c r="CR78" s="155"/>
      <c r="CS78" s="155"/>
      <c r="CT78" s="155"/>
      <c r="CU78" s="155"/>
      <c r="CV78" s="155"/>
      <c r="CW78" s="155"/>
      <c r="CX78" s="155"/>
      <c r="CY78" s="155"/>
      <c r="CZ78" s="155"/>
      <c r="DA78" s="155"/>
      <c r="DB78" s="155"/>
      <c r="DC78" s="155"/>
      <c r="DD78" s="155"/>
      <c r="DE78" s="155"/>
      <c r="DF78" s="155"/>
      <c r="DG78" s="155"/>
      <c r="DH78" s="155"/>
      <c r="DI78" s="155"/>
      <c r="DJ78" s="155"/>
      <c r="DK78" s="155"/>
      <c r="DL78" s="155"/>
      <c r="DM78" s="155"/>
      <c r="DN78" s="155"/>
      <c r="DO78" s="155"/>
      <c r="DP78" s="155"/>
      <c r="DQ78" s="155"/>
      <c r="DR78" s="155"/>
      <c r="DS78" s="155"/>
      <c r="DT78" s="155"/>
      <c r="DU78" s="155"/>
      <c r="DV78" s="155"/>
      <c r="DW78" s="155"/>
      <c r="DX78" s="155"/>
      <c r="DY78" s="155"/>
      <c r="DZ78" s="155"/>
      <c r="EA78" s="155"/>
      <c r="EB78" s="155"/>
      <c r="EC78" s="155"/>
      <c r="ED78" s="155"/>
      <c r="EE78" s="155"/>
      <c r="EF78" s="155"/>
      <c r="EG78" s="155"/>
      <c r="EH78" s="155"/>
      <c r="EI78" s="155"/>
      <c r="EJ78" s="155"/>
      <c r="EK78" s="155"/>
      <c r="EL78" s="155"/>
      <c r="EM78" s="155"/>
      <c r="EN78" s="155"/>
      <c r="EO78" s="155"/>
      <c r="EP78" s="155"/>
      <c r="EQ78" s="155"/>
      <c r="ER78" s="155"/>
      <c r="ES78" s="155"/>
      <c r="ET78" s="155"/>
      <c r="EU78" s="155"/>
      <c r="EV78" s="155"/>
      <c r="EW78" s="155"/>
      <c r="EX78" s="155"/>
      <c r="EY78" s="155"/>
      <c r="EZ78" s="155"/>
      <c r="FA78" s="155"/>
      <c r="FB78" s="155"/>
      <c r="FC78" s="155"/>
      <c r="FD78" s="155"/>
      <c r="FE78" s="155"/>
      <c r="FF78" s="155"/>
      <c r="FG78" s="155"/>
      <c r="FH78" s="155"/>
      <c r="FI78" s="155"/>
      <c r="FJ78" s="155"/>
      <c r="FK78" s="155"/>
      <c r="FL78" s="155"/>
      <c r="FM78" s="155"/>
      <c r="FN78" s="155"/>
      <c r="FO78" s="155"/>
      <c r="FP78" s="155"/>
      <c r="FQ78" s="155"/>
      <c r="FR78" s="155"/>
      <c r="FS78" s="155"/>
      <c r="FT78" s="155"/>
      <c r="FU78" s="155"/>
      <c r="FV78" s="155"/>
      <c r="FW78" s="155"/>
      <c r="FX78" s="155"/>
      <c r="FY78" s="155"/>
      <c r="FZ78" s="155"/>
      <c r="GA78" s="155"/>
      <c r="GB78" s="155"/>
      <c r="GC78" s="155"/>
      <c r="GD78" s="155"/>
      <c r="GE78" s="155"/>
      <c r="GF78" s="155"/>
      <c r="GG78" s="155"/>
      <c r="GH78" s="155"/>
      <c r="GI78" s="155"/>
      <c r="GJ78" s="155"/>
      <c r="GK78" s="155"/>
      <c r="GL78" s="155"/>
      <c r="GM78" s="155"/>
      <c r="GN78" s="155"/>
      <c r="GO78" s="155"/>
      <c r="GP78" s="155"/>
      <c r="GQ78" s="155"/>
      <c r="GR78" s="155"/>
      <c r="GS78" s="155"/>
      <c r="GT78" s="155"/>
      <c r="GU78" s="155"/>
      <c r="GV78" s="155"/>
      <c r="GW78" s="155"/>
      <c r="GX78" s="155"/>
      <c r="GY78" s="155"/>
      <c r="GZ78" s="155"/>
      <c r="HA78" s="155"/>
      <c r="HB78" s="155"/>
      <c r="HC78" s="155"/>
      <c r="HD78" s="155"/>
      <c r="HE78" s="155"/>
      <c r="HF78" s="155"/>
      <c r="HG78" s="155"/>
      <c r="HH78" s="155"/>
      <c r="HI78" s="155"/>
      <c r="HJ78" s="155"/>
      <c r="HK78" s="155"/>
      <c r="HL78" s="155"/>
      <c r="HM78" s="155"/>
      <c r="HN78" s="155"/>
      <c r="HO78" s="155"/>
      <c r="HP78" s="155"/>
      <c r="HQ78" s="155"/>
      <c r="HR78" s="155"/>
      <c r="HS78" s="155"/>
      <c r="HT78" s="155"/>
      <c r="HU78" s="155"/>
      <c r="HV78" s="155"/>
      <c r="HW78" s="155"/>
      <c r="HX78" s="155"/>
      <c r="HY78" s="155"/>
      <c r="HZ78" s="155"/>
      <c r="IA78" s="155"/>
      <c r="IB78" s="155"/>
      <c r="IC78" s="155"/>
      <c r="ID78" s="155"/>
      <c r="IE78" s="155"/>
      <c r="IF78" s="155"/>
      <c r="IG78" s="155"/>
      <c r="IH78" s="155"/>
      <c r="II78" s="155"/>
      <c r="IJ78" s="155"/>
      <c r="IK78" s="155"/>
      <c r="IL78" s="155"/>
      <c r="IM78" s="155"/>
      <c r="IN78" s="155"/>
      <c r="IO78" s="155"/>
      <c r="IP78" s="155"/>
      <c r="IQ78" s="155"/>
    </row>
    <row r="79" spans="2:251" s="156" customFormat="1" ht="12" hidden="1" customHeight="1">
      <c r="B79" s="199" t="s">
        <v>1209</v>
      </c>
      <c r="C79" s="200"/>
      <c r="D79" s="200"/>
      <c r="E79" s="157"/>
      <c r="F79" s="157"/>
      <c r="G79" s="157"/>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5"/>
      <c r="CL79" s="155"/>
      <c r="CM79" s="155"/>
      <c r="CN79" s="155"/>
      <c r="CO79" s="155"/>
      <c r="CP79" s="155"/>
      <c r="CQ79" s="155"/>
      <c r="CR79" s="155"/>
      <c r="CS79" s="155"/>
      <c r="CT79" s="155"/>
      <c r="CU79" s="155"/>
      <c r="CV79" s="155"/>
      <c r="CW79" s="155"/>
      <c r="CX79" s="155"/>
      <c r="CY79" s="155"/>
      <c r="CZ79" s="155"/>
      <c r="DA79" s="155"/>
      <c r="DB79" s="155"/>
      <c r="DC79" s="155"/>
      <c r="DD79" s="155"/>
      <c r="DE79" s="155"/>
      <c r="DF79" s="155"/>
      <c r="DG79" s="155"/>
      <c r="DH79" s="155"/>
      <c r="DI79" s="155"/>
      <c r="DJ79" s="155"/>
      <c r="DK79" s="155"/>
      <c r="DL79" s="155"/>
      <c r="DM79" s="155"/>
      <c r="DN79" s="155"/>
      <c r="DO79" s="155"/>
      <c r="DP79" s="155"/>
      <c r="DQ79" s="155"/>
      <c r="DR79" s="155"/>
      <c r="DS79" s="155"/>
      <c r="DT79" s="155"/>
      <c r="DU79" s="155"/>
      <c r="DV79" s="155"/>
      <c r="DW79" s="155"/>
      <c r="DX79" s="155"/>
      <c r="DY79" s="155"/>
      <c r="DZ79" s="155"/>
      <c r="EA79" s="155"/>
      <c r="EB79" s="155"/>
      <c r="EC79" s="155"/>
      <c r="ED79" s="155"/>
      <c r="EE79" s="155"/>
      <c r="EF79" s="155"/>
      <c r="EG79" s="155"/>
      <c r="EH79" s="155"/>
      <c r="EI79" s="155"/>
      <c r="EJ79" s="155"/>
      <c r="EK79" s="155"/>
      <c r="EL79" s="155"/>
      <c r="EM79" s="155"/>
      <c r="EN79" s="155"/>
      <c r="EO79" s="155"/>
      <c r="EP79" s="155"/>
      <c r="EQ79" s="155"/>
      <c r="ER79" s="155"/>
      <c r="ES79" s="155"/>
      <c r="ET79" s="155"/>
      <c r="EU79" s="155"/>
      <c r="EV79" s="155"/>
      <c r="EW79" s="155"/>
      <c r="EX79" s="155"/>
      <c r="EY79" s="155"/>
      <c r="EZ79" s="155"/>
      <c r="FA79" s="155"/>
      <c r="FB79" s="155"/>
      <c r="FC79" s="155"/>
      <c r="FD79" s="155"/>
      <c r="FE79" s="155"/>
      <c r="FF79" s="155"/>
      <c r="FG79" s="155"/>
      <c r="FH79" s="155"/>
      <c r="FI79" s="155"/>
      <c r="FJ79" s="155"/>
      <c r="FK79" s="155"/>
      <c r="FL79" s="155"/>
      <c r="FM79" s="155"/>
      <c r="FN79" s="155"/>
      <c r="FO79" s="155"/>
      <c r="FP79" s="155"/>
      <c r="FQ79" s="155"/>
      <c r="FR79" s="155"/>
      <c r="FS79" s="155"/>
      <c r="FT79" s="155"/>
      <c r="FU79" s="155"/>
      <c r="FV79" s="155"/>
      <c r="FW79" s="155"/>
      <c r="FX79" s="155"/>
      <c r="FY79" s="155"/>
      <c r="FZ79" s="155"/>
      <c r="GA79" s="155"/>
      <c r="GB79" s="155"/>
      <c r="GC79" s="155"/>
      <c r="GD79" s="155"/>
      <c r="GE79" s="155"/>
      <c r="GF79" s="155"/>
      <c r="GG79" s="155"/>
      <c r="GH79" s="155"/>
      <c r="GI79" s="155"/>
      <c r="GJ79" s="155"/>
      <c r="GK79" s="155"/>
      <c r="GL79" s="155"/>
      <c r="GM79" s="155"/>
      <c r="GN79" s="155"/>
      <c r="GO79" s="155"/>
      <c r="GP79" s="155"/>
      <c r="GQ79" s="155"/>
      <c r="GR79" s="155"/>
      <c r="GS79" s="155"/>
      <c r="GT79" s="155"/>
      <c r="GU79" s="155"/>
      <c r="GV79" s="155"/>
      <c r="GW79" s="155"/>
      <c r="GX79" s="155"/>
      <c r="GY79" s="155"/>
      <c r="GZ79" s="155"/>
      <c r="HA79" s="155"/>
      <c r="HB79" s="155"/>
      <c r="HC79" s="155"/>
      <c r="HD79" s="155"/>
      <c r="HE79" s="155"/>
      <c r="HF79" s="155"/>
      <c r="HG79" s="155"/>
      <c r="HH79" s="155"/>
      <c r="HI79" s="155"/>
      <c r="HJ79" s="155"/>
      <c r="HK79" s="155"/>
      <c r="HL79" s="155"/>
      <c r="HM79" s="155"/>
      <c r="HN79" s="155"/>
      <c r="HO79" s="155"/>
      <c r="HP79" s="155"/>
      <c r="HQ79" s="155"/>
      <c r="HR79" s="155"/>
      <c r="HS79" s="155"/>
      <c r="HT79" s="155"/>
      <c r="HU79" s="155"/>
      <c r="HV79" s="155"/>
      <c r="HW79" s="155"/>
      <c r="HX79" s="155"/>
      <c r="HY79" s="155"/>
      <c r="HZ79" s="155"/>
      <c r="IA79" s="155"/>
      <c r="IB79" s="155"/>
      <c r="IC79" s="155"/>
      <c r="ID79" s="155"/>
      <c r="IE79" s="155"/>
      <c r="IF79" s="155"/>
      <c r="IG79" s="155"/>
      <c r="IH79" s="155"/>
      <c r="II79" s="155"/>
      <c r="IJ79" s="155"/>
      <c r="IK79" s="155"/>
      <c r="IL79" s="155"/>
      <c r="IM79" s="155"/>
      <c r="IN79" s="155"/>
      <c r="IO79" s="155"/>
      <c r="IP79" s="155"/>
      <c r="IQ79" s="155"/>
    </row>
    <row r="80" spans="2:251" s="156" customFormat="1" ht="12" hidden="1" customHeight="1">
      <c r="B80" s="199" t="s">
        <v>1210</v>
      </c>
      <c r="C80" s="200"/>
      <c r="D80" s="200"/>
      <c r="E80" s="157"/>
      <c r="F80" s="157"/>
      <c r="G80" s="157"/>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155"/>
      <c r="FE80" s="155"/>
      <c r="FF80" s="155"/>
      <c r="FG80" s="155"/>
      <c r="FH80" s="155"/>
      <c r="FI80" s="155"/>
      <c r="FJ80" s="155"/>
      <c r="FK80" s="155"/>
      <c r="FL80" s="155"/>
      <c r="FM80" s="155"/>
      <c r="FN80" s="155"/>
      <c r="FO80" s="155"/>
      <c r="FP80" s="155"/>
      <c r="FQ80" s="155"/>
      <c r="FR80" s="155"/>
      <c r="FS80" s="155"/>
      <c r="FT80" s="155"/>
      <c r="FU80" s="155"/>
      <c r="FV80" s="155"/>
      <c r="FW80" s="155"/>
      <c r="FX80" s="155"/>
      <c r="FY80" s="155"/>
      <c r="FZ80" s="155"/>
      <c r="GA80" s="155"/>
      <c r="GB80" s="155"/>
      <c r="GC80" s="155"/>
      <c r="GD80" s="155"/>
      <c r="GE80" s="155"/>
      <c r="GF80" s="155"/>
      <c r="GG80" s="155"/>
      <c r="GH80" s="155"/>
      <c r="GI80" s="155"/>
      <c r="GJ80" s="155"/>
      <c r="GK80" s="155"/>
      <c r="GL80" s="155"/>
      <c r="GM80" s="155"/>
      <c r="GN80" s="155"/>
      <c r="GO80" s="155"/>
      <c r="GP80" s="155"/>
      <c r="GQ80" s="155"/>
      <c r="GR80" s="155"/>
      <c r="GS80" s="155"/>
      <c r="GT80" s="155"/>
      <c r="GU80" s="155"/>
      <c r="GV80" s="155"/>
      <c r="GW80" s="155"/>
      <c r="GX80" s="155"/>
      <c r="GY80" s="155"/>
      <c r="GZ80" s="155"/>
      <c r="HA80" s="155"/>
      <c r="HB80" s="155"/>
      <c r="HC80" s="155"/>
      <c r="HD80" s="155"/>
      <c r="HE80" s="155"/>
      <c r="HF80" s="155"/>
      <c r="HG80" s="155"/>
      <c r="HH80" s="155"/>
      <c r="HI80" s="155"/>
      <c r="HJ80" s="155"/>
      <c r="HK80" s="155"/>
      <c r="HL80" s="155"/>
      <c r="HM80" s="155"/>
      <c r="HN80" s="155"/>
      <c r="HO80" s="155"/>
      <c r="HP80" s="155"/>
      <c r="HQ80" s="155"/>
      <c r="HR80" s="155"/>
      <c r="HS80" s="155"/>
      <c r="HT80" s="155"/>
      <c r="HU80" s="155"/>
      <c r="HV80" s="155"/>
      <c r="HW80" s="155"/>
      <c r="HX80" s="155"/>
      <c r="HY80" s="155"/>
      <c r="HZ80" s="155"/>
      <c r="IA80" s="155"/>
      <c r="IB80" s="155"/>
      <c r="IC80" s="155"/>
      <c r="ID80" s="155"/>
      <c r="IE80" s="155"/>
      <c r="IF80" s="155"/>
      <c r="IG80" s="155"/>
      <c r="IH80" s="155"/>
      <c r="II80" s="155"/>
      <c r="IJ80" s="155"/>
      <c r="IK80" s="155"/>
      <c r="IL80" s="155"/>
      <c r="IM80" s="155"/>
      <c r="IN80" s="155"/>
      <c r="IO80" s="155"/>
      <c r="IP80" s="155"/>
      <c r="IQ80" s="155"/>
    </row>
    <row r="81" spans="2:251" s="156" customFormat="1" ht="12" hidden="1" customHeight="1">
      <c r="B81" s="199" t="s">
        <v>1211</v>
      </c>
      <c r="C81" s="200"/>
      <c r="D81" s="200"/>
      <c r="E81" s="157"/>
      <c r="F81" s="157"/>
      <c r="G81" s="157"/>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c r="ED81" s="155"/>
      <c r="EE81" s="155"/>
      <c r="EF81" s="155"/>
      <c r="EG81" s="155"/>
      <c r="EH81" s="155"/>
      <c r="EI81" s="155"/>
      <c r="EJ81" s="155"/>
      <c r="EK81" s="155"/>
      <c r="EL81" s="155"/>
      <c r="EM81" s="155"/>
      <c r="EN81" s="155"/>
      <c r="EO81" s="155"/>
      <c r="EP81" s="155"/>
      <c r="EQ81" s="155"/>
      <c r="ER81" s="155"/>
      <c r="ES81" s="155"/>
      <c r="ET81" s="155"/>
      <c r="EU81" s="155"/>
      <c r="EV81" s="155"/>
      <c r="EW81" s="155"/>
      <c r="EX81" s="155"/>
      <c r="EY81" s="155"/>
      <c r="EZ81" s="155"/>
      <c r="FA81" s="155"/>
      <c r="FB81" s="155"/>
      <c r="FC81" s="155"/>
      <c r="FD81" s="155"/>
      <c r="FE81" s="155"/>
      <c r="FF81" s="155"/>
      <c r="FG81" s="155"/>
      <c r="FH81" s="155"/>
      <c r="FI81" s="155"/>
      <c r="FJ81" s="155"/>
      <c r="FK81" s="155"/>
      <c r="FL81" s="155"/>
      <c r="FM81" s="155"/>
      <c r="FN81" s="155"/>
      <c r="FO81" s="155"/>
      <c r="FP81" s="155"/>
      <c r="FQ81" s="155"/>
      <c r="FR81" s="155"/>
      <c r="FS81" s="155"/>
      <c r="FT81" s="155"/>
      <c r="FU81" s="155"/>
      <c r="FV81" s="155"/>
      <c r="FW81" s="155"/>
      <c r="FX81" s="155"/>
      <c r="FY81" s="155"/>
      <c r="FZ81" s="155"/>
      <c r="GA81" s="155"/>
      <c r="GB81" s="155"/>
      <c r="GC81" s="155"/>
      <c r="GD81" s="155"/>
      <c r="GE81" s="155"/>
      <c r="GF81" s="155"/>
      <c r="GG81" s="155"/>
      <c r="GH81" s="155"/>
      <c r="GI81" s="155"/>
      <c r="GJ81" s="155"/>
      <c r="GK81" s="155"/>
      <c r="GL81" s="155"/>
      <c r="GM81" s="155"/>
      <c r="GN81" s="155"/>
      <c r="GO81" s="155"/>
      <c r="GP81" s="155"/>
      <c r="GQ81" s="155"/>
      <c r="GR81" s="155"/>
      <c r="GS81" s="155"/>
      <c r="GT81" s="155"/>
      <c r="GU81" s="155"/>
      <c r="GV81" s="155"/>
      <c r="GW81" s="155"/>
      <c r="GX81" s="155"/>
      <c r="GY81" s="155"/>
      <c r="GZ81" s="155"/>
      <c r="HA81" s="155"/>
      <c r="HB81" s="155"/>
      <c r="HC81" s="155"/>
      <c r="HD81" s="155"/>
      <c r="HE81" s="155"/>
      <c r="HF81" s="155"/>
      <c r="HG81" s="155"/>
      <c r="HH81" s="155"/>
      <c r="HI81" s="155"/>
      <c r="HJ81" s="155"/>
      <c r="HK81" s="155"/>
      <c r="HL81" s="155"/>
      <c r="HM81" s="155"/>
      <c r="HN81" s="155"/>
      <c r="HO81" s="155"/>
      <c r="HP81" s="155"/>
      <c r="HQ81" s="155"/>
      <c r="HR81" s="155"/>
      <c r="HS81" s="155"/>
      <c r="HT81" s="155"/>
      <c r="HU81" s="155"/>
      <c r="HV81" s="155"/>
      <c r="HW81" s="155"/>
      <c r="HX81" s="155"/>
      <c r="HY81" s="155"/>
      <c r="HZ81" s="155"/>
      <c r="IA81" s="155"/>
      <c r="IB81" s="155"/>
      <c r="IC81" s="155"/>
      <c r="ID81" s="155"/>
      <c r="IE81" s="155"/>
      <c r="IF81" s="155"/>
      <c r="IG81" s="155"/>
      <c r="IH81" s="155"/>
      <c r="II81" s="155"/>
      <c r="IJ81" s="155"/>
      <c r="IK81" s="155"/>
      <c r="IL81" s="155"/>
      <c r="IM81" s="155"/>
      <c r="IN81" s="155"/>
      <c r="IO81" s="155"/>
      <c r="IP81" s="155"/>
      <c r="IQ81" s="155"/>
    </row>
    <row r="82" spans="2:251" s="156" customFormat="1" ht="12" hidden="1" customHeight="1">
      <c r="B82" s="199" t="s">
        <v>1212</v>
      </c>
      <c r="C82" s="200"/>
      <c r="D82" s="200"/>
      <c r="E82" s="157"/>
      <c r="F82" s="157"/>
      <c r="G82" s="157"/>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155"/>
      <c r="DQ82" s="155"/>
      <c r="DR82" s="155"/>
      <c r="DS82" s="155"/>
      <c r="DT82" s="155"/>
      <c r="DU82" s="155"/>
      <c r="DV82" s="155"/>
      <c r="DW82" s="155"/>
      <c r="DX82" s="155"/>
      <c r="DY82" s="155"/>
      <c r="DZ82" s="155"/>
      <c r="EA82" s="155"/>
      <c r="EB82" s="155"/>
      <c r="EC82" s="155"/>
      <c r="ED82" s="155"/>
      <c r="EE82" s="155"/>
      <c r="EF82" s="155"/>
      <c r="EG82" s="155"/>
      <c r="EH82" s="155"/>
      <c r="EI82" s="155"/>
      <c r="EJ82" s="155"/>
      <c r="EK82" s="155"/>
      <c r="EL82" s="155"/>
      <c r="EM82" s="155"/>
      <c r="EN82" s="155"/>
      <c r="EO82" s="155"/>
      <c r="EP82" s="155"/>
      <c r="EQ82" s="155"/>
      <c r="ER82" s="155"/>
      <c r="ES82" s="155"/>
      <c r="ET82" s="155"/>
      <c r="EU82" s="155"/>
      <c r="EV82" s="155"/>
      <c r="EW82" s="155"/>
      <c r="EX82" s="155"/>
      <c r="EY82" s="155"/>
      <c r="EZ82" s="155"/>
      <c r="FA82" s="155"/>
      <c r="FB82" s="155"/>
      <c r="FC82" s="155"/>
      <c r="FD82" s="155"/>
      <c r="FE82" s="155"/>
      <c r="FF82" s="155"/>
      <c r="FG82" s="155"/>
      <c r="FH82" s="155"/>
      <c r="FI82" s="155"/>
      <c r="FJ82" s="155"/>
      <c r="FK82" s="155"/>
      <c r="FL82" s="155"/>
      <c r="FM82" s="155"/>
      <c r="FN82" s="155"/>
      <c r="FO82" s="155"/>
      <c r="FP82" s="155"/>
      <c r="FQ82" s="155"/>
      <c r="FR82" s="155"/>
      <c r="FS82" s="155"/>
      <c r="FT82" s="155"/>
      <c r="FU82" s="155"/>
      <c r="FV82" s="155"/>
      <c r="FW82" s="155"/>
      <c r="FX82" s="155"/>
      <c r="FY82" s="155"/>
      <c r="FZ82" s="155"/>
      <c r="GA82" s="155"/>
      <c r="GB82" s="155"/>
      <c r="GC82" s="155"/>
      <c r="GD82" s="155"/>
      <c r="GE82" s="155"/>
      <c r="GF82" s="155"/>
      <c r="GG82" s="155"/>
      <c r="GH82" s="155"/>
      <c r="GI82" s="155"/>
      <c r="GJ82" s="155"/>
      <c r="GK82" s="155"/>
      <c r="GL82" s="155"/>
      <c r="GM82" s="155"/>
      <c r="GN82" s="155"/>
      <c r="GO82" s="155"/>
      <c r="GP82" s="155"/>
      <c r="GQ82" s="155"/>
      <c r="GR82" s="155"/>
      <c r="GS82" s="155"/>
      <c r="GT82" s="155"/>
      <c r="GU82" s="155"/>
      <c r="GV82" s="155"/>
      <c r="GW82" s="155"/>
      <c r="GX82" s="155"/>
      <c r="GY82" s="155"/>
      <c r="GZ82" s="155"/>
      <c r="HA82" s="155"/>
      <c r="HB82" s="155"/>
      <c r="HC82" s="155"/>
      <c r="HD82" s="155"/>
      <c r="HE82" s="155"/>
      <c r="HF82" s="155"/>
      <c r="HG82" s="155"/>
      <c r="HH82" s="155"/>
      <c r="HI82" s="155"/>
      <c r="HJ82" s="155"/>
      <c r="HK82" s="155"/>
      <c r="HL82" s="155"/>
      <c r="HM82" s="155"/>
      <c r="HN82" s="155"/>
      <c r="HO82" s="155"/>
      <c r="HP82" s="155"/>
      <c r="HQ82" s="155"/>
      <c r="HR82" s="155"/>
      <c r="HS82" s="155"/>
      <c r="HT82" s="155"/>
      <c r="HU82" s="155"/>
      <c r="HV82" s="155"/>
      <c r="HW82" s="155"/>
      <c r="HX82" s="155"/>
      <c r="HY82" s="155"/>
      <c r="HZ82" s="155"/>
      <c r="IA82" s="155"/>
      <c r="IB82" s="155"/>
      <c r="IC82" s="155"/>
      <c r="ID82" s="155"/>
      <c r="IE82" s="155"/>
      <c r="IF82" s="155"/>
      <c r="IG82" s="155"/>
      <c r="IH82" s="155"/>
      <c r="II82" s="155"/>
      <c r="IJ82" s="155"/>
      <c r="IK82" s="155"/>
      <c r="IL82" s="155"/>
      <c r="IM82" s="155"/>
      <c r="IN82" s="155"/>
      <c r="IO82" s="155"/>
      <c r="IP82" s="155"/>
      <c r="IQ82" s="155"/>
    </row>
    <row r="83" spans="2:251" s="156" customFormat="1" ht="12" hidden="1" customHeight="1">
      <c r="B83" s="199" t="s">
        <v>1213</v>
      </c>
      <c r="C83" s="200"/>
      <c r="D83" s="200"/>
      <c r="E83" s="157"/>
      <c r="F83" s="157"/>
      <c r="G83" s="157"/>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155"/>
      <c r="DQ83" s="155"/>
      <c r="DR83" s="155"/>
      <c r="DS83" s="155"/>
      <c r="DT83" s="155"/>
      <c r="DU83" s="155"/>
      <c r="DV83" s="155"/>
      <c r="DW83" s="155"/>
      <c r="DX83" s="155"/>
      <c r="DY83" s="155"/>
      <c r="DZ83" s="155"/>
      <c r="EA83" s="155"/>
      <c r="EB83" s="155"/>
      <c r="EC83" s="155"/>
      <c r="ED83" s="155"/>
      <c r="EE83" s="155"/>
      <c r="EF83" s="155"/>
      <c r="EG83" s="155"/>
      <c r="EH83" s="155"/>
      <c r="EI83" s="155"/>
      <c r="EJ83" s="155"/>
      <c r="EK83" s="155"/>
      <c r="EL83" s="155"/>
      <c r="EM83" s="155"/>
      <c r="EN83" s="155"/>
      <c r="EO83" s="155"/>
      <c r="EP83" s="155"/>
      <c r="EQ83" s="155"/>
      <c r="ER83" s="155"/>
      <c r="ES83" s="155"/>
      <c r="ET83" s="155"/>
      <c r="EU83" s="155"/>
      <c r="EV83" s="155"/>
      <c r="EW83" s="155"/>
      <c r="EX83" s="155"/>
      <c r="EY83" s="155"/>
      <c r="EZ83" s="155"/>
      <c r="FA83" s="155"/>
      <c r="FB83" s="155"/>
      <c r="FC83" s="155"/>
      <c r="FD83" s="155"/>
      <c r="FE83" s="155"/>
      <c r="FF83" s="155"/>
      <c r="FG83" s="155"/>
      <c r="FH83" s="155"/>
      <c r="FI83" s="155"/>
      <c r="FJ83" s="155"/>
      <c r="FK83" s="155"/>
      <c r="FL83" s="155"/>
      <c r="FM83" s="155"/>
      <c r="FN83" s="155"/>
      <c r="FO83" s="155"/>
      <c r="FP83" s="155"/>
      <c r="FQ83" s="155"/>
      <c r="FR83" s="155"/>
      <c r="FS83" s="155"/>
      <c r="FT83" s="155"/>
      <c r="FU83" s="155"/>
      <c r="FV83" s="155"/>
      <c r="FW83" s="155"/>
      <c r="FX83" s="155"/>
      <c r="FY83" s="155"/>
      <c r="FZ83" s="155"/>
      <c r="GA83" s="155"/>
      <c r="GB83" s="155"/>
      <c r="GC83" s="155"/>
      <c r="GD83" s="155"/>
      <c r="GE83" s="155"/>
      <c r="GF83" s="155"/>
      <c r="GG83" s="155"/>
      <c r="GH83" s="155"/>
      <c r="GI83" s="155"/>
      <c r="GJ83" s="155"/>
      <c r="GK83" s="155"/>
      <c r="GL83" s="155"/>
      <c r="GM83" s="155"/>
      <c r="GN83" s="155"/>
      <c r="GO83" s="155"/>
      <c r="GP83" s="155"/>
      <c r="GQ83" s="155"/>
      <c r="GR83" s="155"/>
      <c r="GS83" s="155"/>
      <c r="GT83" s="155"/>
      <c r="GU83" s="155"/>
      <c r="GV83" s="155"/>
      <c r="GW83" s="155"/>
      <c r="GX83" s="155"/>
      <c r="GY83" s="155"/>
      <c r="GZ83" s="155"/>
      <c r="HA83" s="155"/>
      <c r="HB83" s="155"/>
      <c r="HC83" s="155"/>
      <c r="HD83" s="155"/>
      <c r="HE83" s="155"/>
      <c r="HF83" s="155"/>
      <c r="HG83" s="155"/>
      <c r="HH83" s="155"/>
      <c r="HI83" s="155"/>
      <c r="HJ83" s="155"/>
      <c r="HK83" s="155"/>
      <c r="HL83" s="155"/>
      <c r="HM83" s="155"/>
      <c r="HN83" s="155"/>
      <c r="HO83" s="155"/>
      <c r="HP83" s="155"/>
      <c r="HQ83" s="155"/>
      <c r="HR83" s="155"/>
      <c r="HS83" s="155"/>
      <c r="HT83" s="155"/>
      <c r="HU83" s="155"/>
      <c r="HV83" s="155"/>
      <c r="HW83" s="155"/>
      <c r="HX83" s="155"/>
      <c r="HY83" s="155"/>
      <c r="HZ83" s="155"/>
      <c r="IA83" s="155"/>
      <c r="IB83" s="155"/>
      <c r="IC83" s="155"/>
      <c r="ID83" s="155"/>
      <c r="IE83" s="155"/>
      <c r="IF83" s="155"/>
      <c r="IG83" s="155"/>
      <c r="IH83" s="155"/>
      <c r="II83" s="155"/>
      <c r="IJ83" s="155"/>
      <c r="IK83" s="155"/>
      <c r="IL83" s="155"/>
      <c r="IM83" s="155"/>
      <c r="IN83" s="155"/>
      <c r="IO83" s="155"/>
      <c r="IP83" s="155"/>
      <c r="IQ83" s="155"/>
    </row>
    <row r="84" spans="2:251" s="156" customFormat="1" ht="12" hidden="1" customHeight="1">
      <c r="B84" s="199" t="s">
        <v>1214</v>
      </c>
      <c r="C84" s="200"/>
      <c r="D84" s="200"/>
      <c r="E84" s="157"/>
      <c r="F84" s="157"/>
      <c r="G84" s="157"/>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5"/>
      <c r="DZ84" s="155"/>
      <c r="EA84" s="155"/>
      <c r="EB84" s="155"/>
      <c r="EC84" s="155"/>
      <c r="ED84" s="155"/>
      <c r="EE84" s="155"/>
      <c r="EF84" s="155"/>
      <c r="EG84" s="155"/>
      <c r="EH84" s="155"/>
      <c r="EI84" s="155"/>
      <c r="EJ84" s="155"/>
      <c r="EK84" s="155"/>
      <c r="EL84" s="155"/>
      <c r="EM84" s="155"/>
      <c r="EN84" s="155"/>
      <c r="EO84" s="155"/>
      <c r="EP84" s="155"/>
      <c r="EQ84" s="155"/>
      <c r="ER84" s="155"/>
      <c r="ES84" s="155"/>
      <c r="ET84" s="155"/>
      <c r="EU84" s="155"/>
      <c r="EV84" s="155"/>
      <c r="EW84" s="155"/>
      <c r="EX84" s="155"/>
      <c r="EY84" s="155"/>
      <c r="EZ84" s="155"/>
      <c r="FA84" s="155"/>
      <c r="FB84" s="155"/>
      <c r="FC84" s="155"/>
      <c r="FD84" s="155"/>
      <c r="FE84" s="155"/>
      <c r="FF84" s="155"/>
      <c r="FG84" s="155"/>
      <c r="FH84" s="155"/>
      <c r="FI84" s="155"/>
      <c r="FJ84" s="155"/>
      <c r="FK84" s="155"/>
      <c r="FL84" s="155"/>
      <c r="FM84" s="155"/>
      <c r="FN84" s="155"/>
      <c r="FO84" s="155"/>
      <c r="FP84" s="155"/>
      <c r="FQ84" s="155"/>
      <c r="FR84" s="155"/>
      <c r="FS84" s="155"/>
      <c r="FT84" s="155"/>
      <c r="FU84" s="155"/>
      <c r="FV84" s="155"/>
      <c r="FW84" s="155"/>
      <c r="FX84" s="155"/>
      <c r="FY84" s="155"/>
      <c r="FZ84" s="155"/>
      <c r="GA84" s="155"/>
      <c r="GB84" s="155"/>
      <c r="GC84" s="155"/>
      <c r="GD84" s="155"/>
      <c r="GE84" s="155"/>
      <c r="GF84" s="155"/>
      <c r="GG84" s="155"/>
      <c r="GH84" s="155"/>
      <c r="GI84" s="155"/>
      <c r="GJ84" s="155"/>
      <c r="GK84" s="155"/>
      <c r="GL84" s="155"/>
      <c r="GM84" s="155"/>
      <c r="GN84" s="155"/>
      <c r="GO84" s="155"/>
      <c r="GP84" s="155"/>
      <c r="GQ84" s="155"/>
      <c r="GR84" s="155"/>
      <c r="GS84" s="155"/>
      <c r="GT84" s="155"/>
      <c r="GU84" s="155"/>
      <c r="GV84" s="155"/>
      <c r="GW84" s="155"/>
      <c r="GX84" s="155"/>
      <c r="GY84" s="155"/>
      <c r="GZ84" s="155"/>
      <c r="HA84" s="155"/>
      <c r="HB84" s="155"/>
      <c r="HC84" s="155"/>
      <c r="HD84" s="155"/>
      <c r="HE84" s="155"/>
      <c r="HF84" s="155"/>
      <c r="HG84" s="155"/>
      <c r="HH84" s="155"/>
      <c r="HI84" s="155"/>
      <c r="HJ84" s="155"/>
      <c r="HK84" s="155"/>
      <c r="HL84" s="155"/>
      <c r="HM84" s="155"/>
      <c r="HN84" s="155"/>
      <c r="HO84" s="155"/>
      <c r="HP84" s="155"/>
      <c r="HQ84" s="155"/>
      <c r="HR84" s="155"/>
      <c r="HS84" s="155"/>
      <c r="HT84" s="155"/>
      <c r="HU84" s="155"/>
      <c r="HV84" s="155"/>
      <c r="HW84" s="155"/>
      <c r="HX84" s="155"/>
      <c r="HY84" s="155"/>
      <c r="HZ84" s="155"/>
      <c r="IA84" s="155"/>
      <c r="IB84" s="155"/>
      <c r="IC84" s="155"/>
      <c r="ID84" s="155"/>
      <c r="IE84" s="155"/>
      <c r="IF84" s="155"/>
      <c r="IG84" s="155"/>
      <c r="IH84" s="155"/>
      <c r="II84" s="155"/>
      <c r="IJ84" s="155"/>
      <c r="IK84" s="155"/>
      <c r="IL84" s="155"/>
      <c r="IM84" s="155"/>
      <c r="IN84" s="155"/>
      <c r="IO84" s="155"/>
      <c r="IP84" s="155"/>
      <c r="IQ84" s="155"/>
    </row>
    <row r="85" spans="2:251" s="156" customFormat="1" ht="12" hidden="1" customHeight="1">
      <c r="B85" s="199" t="s">
        <v>1215</v>
      </c>
      <c r="C85" s="200"/>
      <c r="D85" s="200"/>
      <c r="E85" s="157"/>
      <c r="F85" s="157"/>
      <c r="G85" s="157"/>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c r="EN85" s="155"/>
      <c r="EO85" s="155"/>
      <c r="EP85" s="155"/>
      <c r="EQ85" s="155"/>
      <c r="ER85" s="155"/>
      <c r="ES85" s="155"/>
      <c r="ET85" s="155"/>
      <c r="EU85" s="155"/>
      <c r="EV85" s="155"/>
      <c r="EW85" s="155"/>
      <c r="EX85" s="155"/>
      <c r="EY85" s="155"/>
      <c r="EZ85" s="155"/>
      <c r="FA85" s="155"/>
      <c r="FB85" s="155"/>
      <c r="FC85" s="155"/>
      <c r="FD85" s="155"/>
      <c r="FE85" s="155"/>
      <c r="FF85" s="155"/>
      <c r="FG85" s="155"/>
      <c r="FH85" s="155"/>
      <c r="FI85" s="155"/>
      <c r="FJ85" s="155"/>
      <c r="FK85" s="155"/>
      <c r="FL85" s="155"/>
      <c r="FM85" s="155"/>
      <c r="FN85" s="155"/>
      <c r="FO85" s="155"/>
      <c r="FP85" s="155"/>
      <c r="FQ85" s="155"/>
      <c r="FR85" s="155"/>
      <c r="FS85" s="155"/>
      <c r="FT85" s="155"/>
      <c r="FU85" s="155"/>
      <c r="FV85" s="155"/>
      <c r="FW85" s="155"/>
      <c r="FX85" s="155"/>
      <c r="FY85" s="155"/>
      <c r="FZ85" s="155"/>
      <c r="GA85" s="155"/>
      <c r="GB85" s="155"/>
      <c r="GC85" s="155"/>
      <c r="GD85" s="155"/>
      <c r="GE85" s="155"/>
      <c r="GF85" s="155"/>
      <c r="GG85" s="155"/>
      <c r="GH85" s="155"/>
      <c r="GI85" s="155"/>
      <c r="GJ85" s="155"/>
      <c r="GK85" s="155"/>
      <c r="GL85" s="155"/>
      <c r="GM85" s="155"/>
      <c r="GN85" s="155"/>
      <c r="GO85" s="155"/>
      <c r="GP85" s="155"/>
      <c r="GQ85" s="155"/>
      <c r="GR85" s="155"/>
      <c r="GS85" s="155"/>
      <c r="GT85" s="155"/>
      <c r="GU85" s="155"/>
      <c r="GV85" s="155"/>
      <c r="GW85" s="155"/>
      <c r="GX85" s="155"/>
      <c r="GY85" s="155"/>
      <c r="GZ85" s="155"/>
      <c r="HA85" s="155"/>
      <c r="HB85" s="155"/>
      <c r="HC85" s="155"/>
      <c r="HD85" s="155"/>
      <c r="HE85" s="155"/>
      <c r="HF85" s="155"/>
      <c r="HG85" s="155"/>
      <c r="HH85" s="155"/>
      <c r="HI85" s="155"/>
      <c r="HJ85" s="155"/>
      <c r="HK85" s="155"/>
      <c r="HL85" s="155"/>
      <c r="HM85" s="155"/>
      <c r="HN85" s="155"/>
      <c r="HO85" s="155"/>
      <c r="HP85" s="155"/>
      <c r="HQ85" s="155"/>
      <c r="HR85" s="155"/>
      <c r="HS85" s="155"/>
      <c r="HT85" s="155"/>
      <c r="HU85" s="155"/>
      <c r="HV85" s="155"/>
      <c r="HW85" s="155"/>
      <c r="HX85" s="155"/>
      <c r="HY85" s="155"/>
      <c r="HZ85" s="155"/>
      <c r="IA85" s="155"/>
      <c r="IB85" s="155"/>
      <c r="IC85" s="155"/>
      <c r="ID85" s="155"/>
      <c r="IE85" s="155"/>
      <c r="IF85" s="155"/>
      <c r="IG85" s="155"/>
      <c r="IH85" s="155"/>
      <c r="II85" s="155"/>
      <c r="IJ85" s="155"/>
      <c r="IK85" s="155"/>
      <c r="IL85" s="155"/>
      <c r="IM85" s="155"/>
      <c r="IN85" s="155"/>
      <c r="IO85" s="155"/>
      <c r="IP85" s="155"/>
      <c r="IQ85" s="155"/>
    </row>
    <row r="86" spans="2:251" s="156" customFormat="1" ht="12" hidden="1" customHeight="1">
      <c r="B86" s="199" t="s">
        <v>1216</v>
      </c>
      <c r="C86" s="200"/>
      <c r="D86" s="200"/>
      <c r="E86" s="157"/>
      <c r="F86" s="157"/>
      <c r="G86" s="157"/>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155"/>
      <c r="DQ86" s="155"/>
      <c r="DR86" s="155"/>
      <c r="DS86" s="155"/>
      <c r="DT86" s="155"/>
      <c r="DU86" s="155"/>
      <c r="DV86" s="155"/>
      <c r="DW86" s="155"/>
      <c r="DX86" s="155"/>
      <c r="DY86" s="155"/>
      <c r="DZ86" s="155"/>
      <c r="EA86" s="155"/>
      <c r="EB86" s="155"/>
      <c r="EC86" s="155"/>
      <c r="ED86" s="155"/>
      <c r="EE86" s="155"/>
      <c r="EF86" s="155"/>
      <c r="EG86" s="155"/>
      <c r="EH86" s="155"/>
      <c r="EI86" s="155"/>
      <c r="EJ86" s="155"/>
      <c r="EK86" s="155"/>
      <c r="EL86" s="155"/>
      <c r="EM86" s="155"/>
      <c r="EN86" s="155"/>
      <c r="EO86" s="155"/>
      <c r="EP86" s="155"/>
      <c r="EQ86" s="155"/>
      <c r="ER86" s="155"/>
      <c r="ES86" s="155"/>
      <c r="ET86" s="155"/>
      <c r="EU86" s="155"/>
      <c r="EV86" s="155"/>
      <c r="EW86" s="155"/>
      <c r="EX86" s="155"/>
      <c r="EY86" s="155"/>
      <c r="EZ86" s="155"/>
      <c r="FA86" s="155"/>
      <c r="FB86" s="155"/>
      <c r="FC86" s="155"/>
      <c r="FD86" s="155"/>
      <c r="FE86" s="155"/>
      <c r="FF86" s="155"/>
      <c r="FG86" s="155"/>
      <c r="FH86" s="155"/>
      <c r="FI86" s="155"/>
      <c r="FJ86" s="155"/>
      <c r="FK86" s="155"/>
      <c r="FL86" s="155"/>
      <c r="FM86" s="155"/>
      <c r="FN86" s="155"/>
      <c r="FO86" s="155"/>
      <c r="FP86" s="155"/>
      <c r="FQ86" s="155"/>
      <c r="FR86" s="155"/>
      <c r="FS86" s="155"/>
      <c r="FT86" s="155"/>
      <c r="FU86" s="155"/>
      <c r="FV86" s="155"/>
      <c r="FW86" s="155"/>
      <c r="FX86" s="155"/>
      <c r="FY86" s="155"/>
      <c r="FZ86" s="155"/>
      <c r="GA86" s="155"/>
      <c r="GB86" s="155"/>
      <c r="GC86" s="155"/>
      <c r="GD86" s="155"/>
      <c r="GE86" s="155"/>
      <c r="GF86" s="155"/>
      <c r="GG86" s="155"/>
      <c r="GH86" s="155"/>
      <c r="GI86" s="155"/>
      <c r="GJ86" s="155"/>
      <c r="GK86" s="155"/>
      <c r="GL86" s="155"/>
      <c r="GM86" s="155"/>
      <c r="GN86" s="155"/>
      <c r="GO86" s="155"/>
      <c r="GP86" s="155"/>
      <c r="GQ86" s="155"/>
      <c r="GR86" s="155"/>
      <c r="GS86" s="155"/>
      <c r="GT86" s="155"/>
      <c r="GU86" s="155"/>
      <c r="GV86" s="155"/>
      <c r="GW86" s="155"/>
      <c r="GX86" s="155"/>
      <c r="GY86" s="155"/>
      <c r="GZ86" s="155"/>
      <c r="HA86" s="155"/>
      <c r="HB86" s="155"/>
      <c r="HC86" s="155"/>
      <c r="HD86" s="155"/>
      <c r="HE86" s="155"/>
      <c r="HF86" s="155"/>
      <c r="HG86" s="155"/>
      <c r="HH86" s="155"/>
      <c r="HI86" s="155"/>
      <c r="HJ86" s="155"/>
      <c r="HK86" s="155"/>
      <c r="HL86" s="155"/>
      <c r="HM86" s="155"/>
      <c r="HN86" s="155"/>
      <c r="HO86" s="155"/>
      <c r="HP86" s="155"/>
      <c r="HQ86" s="155"/>
      <c r="HR86" s="155"/>
      <c r="HS86" s="155"/>
      <c r="HT86" s="155"/>
      <c r="HU86" s="155"/>
      <c r="HV86" s="155"/>
      <c r="HW86" s="155"/>
      <c r="HX86" s="155"/>
      <c r="HY86" s="155"/>
      <c r="HZ86" s="155"/>
      <c r="IA86" s="155"/>
      <c r="IB86" s="155"/>
      <c r="IC86" s="155"/>
      <c r="ID86" s="155"/>
      <c r="IE86" s="155"/>
      <c r="IF86" s="155"/>
      <c r="IG86" s="155"/>
      <c r="IH86" s="155"/>
      <c r="II86" s="155"/>
      <c r="IJ86" s="155"/>
      <c r="IK86" s="155"/>
      <c r="IL86" s="155"/>
      <c r="IM86" s="155"/>
      <c r="IN86" s="155"/>
      <c r="IO86" s="155"/>
      <c r="IP86" s="155"/>
      <c r="IQ86" s="155"/>
    </row>
    <row r="87" spans="2:251" s="156" customFormat="1" ht="12" hidden="1" customHeight="1">
      <c r="B87" s="199" t="s">
        <v>1217</v>
      </c>
      <c r="C87" s="200"/>
      <c r="D87" s="200"/>
      <c r="E87" s="157"/>
      <c r="F87" s="157"/>
      <c r="G87" s="157"/>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c r="EN87" s="155"/>
      <c r="EO87" s="155"/>
      <c r="EP87" s="155"/>
      <c r="EQ87" s="155"/>
      <c r="ER87" s="155"/>
      <c r="ES87" s="155"/>
      <c r="ET87" s="155"/>
      <c r="EU87" s="155"/>
      <c r="EV87" s="155"/>
      <c r="EW87" s="155"/>
      <c r="EX87" s="155"/>
      <c r="EY87" s="155"/>
      <c r="EZ87" s="155"/>
      <c r="FA87" s="155"/>
      <c r="FB87" s="155"/>
      <c r="FC87" s="155"/>
      <c r="FD87" s="155"/>
      <c r="FE87" s="155"/>
      <c r="FF87" s="155"/>
      <c r="FG87" s="155"/>
      <c r="FH87" s="155"/>
      <c r="FI87" s="155"/>
      <c r="FJ87" s="155"/>
      <c r="FK87" s="155"/>
      <c r="FL87" s="155"/>
      <c r="FM87" s="155"/>
      <c r="FN87" s="155"/>
      <c r="FO87" s="155"/>
      <c r="FP87" s="155"/>
      <c r="FQ87" s="155"/>
      <c r="FR87" s="155"/>
      <c r="FS87" s="155"/>
      <c r="FT87" s="155"/>
      <c r="FU87" s="155"/>
      <c r="FV87" s="155"/>
      <c r="FW87" s="155"/>
      <c r="FX87" s="155"/>
      <c r="FY87" s="155"/>
      <c r="FZ87" s="155"/>
      <c r="GA87" s="155"/>
      <c r="GB87" s="155"/>
      <c r="GC87" s="155"/>
      <c r="GD87" s="155"/>
      <c r="GE87" s="155"/>
      <c r="GF87" s="155"/>
      <c r="GG87" s="155"/>
      <c r="GH87" s="155"/>
      <c r="GI87" s="155"/>
      <c r="GJ87" s="155"/>
      <c r="GK87" s="155"/>
      <c r="GL87" s="155"/>
      <c r="GM87" s="155"/>
      <c r="GN87" s="155"/>
      <c r="GO87" s="155"/>
      <c r="GP87" s="155"/>
      <c r="GQ87" s="155"/>
      <c r="GR87" s="155"/>
      <c r="GS87" s="155"/>
      <c r="GT87" s="155"/>
      <c r="GU87" s="155"/>
      <c r="GV87" s="155"/>
      <c r="GW87" s="155"/>
      <c r="GX87" s="155"/>
      <c r="GY87" s="155"/>
      <c r="GZ87" s="155"/>
      <c r="HA87" s="155"/>
      <c r="HB87" s="155"/>
      <c r="HC87" s="155"/>
      <c r="HD87" s="155"/>
      <c r="HE87" s="155"/>
      <c r="HF87" s="155"/>
      <c r="HG87" s="155"/>
      <c r="HH87" s="155"/>
      <c r="HI87" s="155"/>
      <c r="HJ87" s="155"/>
      <c r="HK87" s="155"/>
      <c r="HL87" s="155"/>
      <c r="HM87" s="155"/>
      <c r="HN87" s="155"/>
      <c r="HO87" s="155"/>
      <c r="HP87" s="155"/>
      <c r="HQ87" s="155"/>
      <c r="HR87" s="155"/>
      <c r="HS87" s="155"/>
      <c r="HT87" s="155"/>
      <c r="HU87" s="155"/>
      <c r="HV87" s="155"/>
      <c r="HW87" s="155"/>
      <c r="HX87" s="155"/>
      <c r="HY87" s="155"/>
      <c r="HZ87" s="155"/>
      <c r="IA87" s="155"/>
      <c r="IB87" s="155"/>
      <c r="IC87" s="155"/>
      <c r="ID87" s="155"/>
      <c r="IE87" s="155"/>
      <c r="IF87" s="155"/>
      <c r="IG87" s="155"/>
      <c r="IH87" s="155"/>
      <c r="II87" s="155"/>
      <c r="IJ87" s="155"/>
      <c r="IK87" s="155"/>
      <c r="IL87" s="155"/>
      <c r="IM87" s="155"/>
      <c r="IN87" s="155"/>
      <c r="IO87" s="155"/>
      <c r="IP87" s="155"/>
      <c r="IQ87" s="155"/>
    </row>
    <row r="88" spans="2:251" s="156" customFormat="1" ht="12" hidden="1" customHeight="1">
      <c r="B88" s="199" t="s">
        <v>1218</v>
      </c>
      <c r="C88" s="200"/>
      <c r="D88" s="200"/>
      <c r="E88" s="157"/>
      <c r="F88" s="157"/>
      <c r="G88" s="157"/>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155"/>
      <c r="DQ88" s="155"/>
      <c r="DR88" s="155"/>
      <c r="DS88" s="155"/>
      <c r="DT88" s="155"/>
      <c r="DU88" s="155"/>
      <c r="DV88" s="155"/>
      <c r="DW88" s="155"/>
      <c r="DX88" s="155"/>
      <c r="DY88" s="155"/>
      <c r="DZ88" s="155"/>
      <c r="EA88" s="155"/>
      <c r="EB88" s="155"/>
      <c r="EC88" s="155"/>
      <c r="ED88" s="155"/>
      <c r="EE88" s="155"/>
      <c r="EF88" s="155"/>
      <c r="EG88" s="155"/>
      <c r="EH88" s="155"/>
      <c r="EI88" s="155"/>
      <c r="EJ88" s="155"/>
      <c r="EK88" s="155"/>
      <c r="EL88" s="155"/>
      <c r="EM88" s="155"/>
      <c r="EN88" s="155"/>
      <c r="EO88" s="155"/>
      <c r="EP88" s="155"/>
      <c r="EQ88" s="155"/>
      <c r="ER88" s="155"/>
      <c r="ES88" s="155"/>
      <c r="ET88" s="155"/>
      <c r="EU88" s="155"/>
      <c r="EV88" s="155"/>
      <c r="EW88" s="155"/>
      <c r="EX88" s="155"/>
      <c r="EY88" s="155"/>
      <c r="EZ88" s="155"/>
      <c r="FA88" s="155"/>
      <c r="FB88" s="155"/>
      <c r="FC88" s="155"/>
      <c r="FD88" s="155"/>
      <c r="FE88" s="155"/>
      <c r="FF88" s="155"/>
      <c r="FG88" s="155"/>
      <c r="FH88" s="155"/>
      <c r="FI88" s="155"/>
      <c r="FJ88" s="155"/>
      <c r="FK88" s="155"/>
      <c r="FL88" s="155"/>
      <c r="FM88" s="155"/>
      <c r="FN88" s="155"/>
      <c r="FO88" s="155"/>
      <c r="FP88" s="155"/>
      <c r="FQ88" s="155"/>
      <c r="FR88" s="155"/>
      <c r="FS88" s="155"/>
      <c r="FT88" s="155"/>
      <c r="FU88" s="155"/>
      <c r="FV88" s="155"/>
      <c r="FW88" s="155"/>
      <c r="FX88" s="155"/>
      <c r="FY88" s="155"/>
      <c r="FZ88" s="155"/>
      <c r="GA88" s="155"/>
      <c r="GB88" s="155"/>
      <c r="GC88" s="155"/>
      <c r="GD88" s="155"/>
      <c r="GE88" s="155"/>
      <c r="GF88" s="155"/>
      <c r="GG88" s="155"/>
      <c r="GH88" s="155"/>
      <c r="GI88" s="155"/>
      <c r="GJ88" s="155"/>
      <c r="GK88" s="155"/>
      <c r="GL88" s="155"/>
      <c r="GM88" s="155"/>
      <c r="GN88" s="155"/>
      <c r="GO88" s="155"/>
      <c r="GP88" s="155"/>
      <c r="GQ88" s="155"/>
      <c r="GR88" s="155"/>
      <c r="GS88" s="155"/>
      <c r="GT88" s="155"/>
      <c r="GU88" s="155"/>
      <c r="GV88" s="155"/>
      <c r="GW88" s="155"/>
      <c r="GX88" s="155"/>
      <c r="GY88" s="155"/>
      <c r="GZ88" s="155"/>
      <c r="HA88" s="155"/>
      <c r="HB88" s="155"/>
      <c r="HC88" s="155"/>
      <c r="HD88" s="155"/>
      <c r="HE88" s="155"/>
      <c r="HF88" s="155"/>
      <c r="HG88" s="155"/>
      <c r="HH88" s="155"/>
      <c r="HI88" s="155"/>
      <c r="HJ88" s="155"/>
      <c r="HK88" s="155"/>
      <c r="HL88" s="155"/>
      <c r="HM88" s="155"/>
      <c r="HN88" s="155"/>
      <c r="HO88" s="155"/>
      <c r="HP88" s="155"/>
      <c r="HQ88" s="155"/>
      <c r="HR88" s="155"/>
      <c r="HS88" s="155"/>
      <c r="HT88" s="155"/>
      <c r="HU88" s="155"/>
      <c r="HV88" s="155"/>
      <c r="HW88" s="155"/>
      <c r="HX88" s="155"/>
      <c r="HY88" s="155"/>
      <c r="HZ88" s="155"/>
      <c r="IA88" s="155"/>
      <c r="IB88" s="155"/>
      <c r="IC88" s="155"/>
      <c r="ID88" s="155"/>
      <c r="IE88" s="155"/>
      <c r="IF88" s="155"/>
      <c r="IG88" s="155"/>
      <c r="IH88" s="155"/>
      <c r="II88" s="155"/>
      <c r="IJ88" s="155"/>
      <c r="IK88" s="155"/>
      <c r="IL88" s="155"/>
      <c r="IM88" s="155"/>
      <c r="IN88" s="155"/>
      <c r="IO88" s="155"/>
      <c r="IP88" s="155"/>
      <c r="IQ88" s="155"/>
    </row>
    <row r="89" spans="2:251" s="156" customFormat="1" ht="12" hidden="1" customHeight="1">
      <c r="B89" s="199" t="s">
        <v>1219</v>
      </c>
      <c r="C89" s="200"/>
      <c r="D89" s="200"/>
      <c r="E89" s="157"/>
      <c r="F89" s="157"/>
      <c r="G89" s="157"/>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155"/>
      <c r="DE89" s="155"/>
      <c r="DF89" s="155"/>
      <c r="DG89" s="155"/>
      <c r="DH89" s="155"/>
      <c r="DI89" s="155"/>
      <c r="DJ89" s="155"/>
      <c r="DK89" s="155"/>
      <c r="DL89" s="155"/>
      <c r="DM89" s="155"/>
      <c r="DN89" s="155"/>
      <c r="DO89" s="155"/>
      <c r="DP89" s="155"/>
      <c r="DQ89" s="155"/>
      <c r="DR89" s="155"/>
      <c r="DS89" s="155"/>
      <c r="DT89" s="155"/>
      <c r="DU89" s="155"/>
      <c r="DV89" s="155"/>
      <c r="DW89" s="155"/>
      <c r="DX89" s="155"/>
      <c r="DY89" s="155"/>
      <c r="DZ89" s="155"/>
      <c r="EA89" s="155"/>
      <c r="EB89" s="155"/>
      <c r="EC89" s="155"/>
      <c r="ED89" s="155"/>
      <c r="EE89" s="155"/>
      <c r="EF89" s="155"/>
      <c r="EG89" s="155"/>
      <c r="EH89" s="155"/>
      <c r="EI89" s="155"/>
      <c r="EJ89" s="155"/>
      <c r="EK89" s="155"/>
      <c r="EL89" s="155"/>
      <c r="EM89" s="155"/>
      <c r="EN89" s="155"/>
      <c r="EO89" s="155"/>
      <c r="EP89" s="155"/>
      <c r="EQ89" s="155"/>
      <c r="ER89" s="155"/>
      <c r="ES89" s="155"/>
      <c r="ET89" s="155"/>
      <c r="EU89" s="155"/>
      <c r="EV89" s="155"/>
      <c r="EW89" s="155"/>
      <c r="EX89" s="155"/>
      <c r="EY89" s="155"/>
      <c r="EZ89" s="155"/>
      <c r="FA89" s="155"/>
      <c r="FB89" s="155"/>
      <c r="FC89" s="155"/>
      <c r="FD89" s="155"/>
      <c r="FE89" s="155"/>
      <c r="FF89" s="155"/>
      <c r="FG89" s="155"/>
      <c r="FH89" s="155"/>
      <c r="FI89" s="155"/>
      <c r="FJ89" s="155"/>
      <c r="FK89" s="155"/>
      <c r="FL89" s="155"/>
      <c r="FM89" s="155"/>
      <c r="FN89" s="155"/>
      <c r="FO89" s="155"/>
      <c r="FP89" s="155"/>
      <c r="FQ89" s="155"/>
      <c r="FR89" s="155"/>
      <c r="FS89" s="155"/>
      <c r="FT89" s="155"/>
      <c r="FU89" s="155"/>
      <c r="FV89" s="155"/>
      <c r="FW89" s="155"/>
      <c r="FX89" s="155"/>
      <c r="FY89" s="155"/>
      <c r="FZ89" s="155"/>
      <c r="GA89" s="155"/>
      <c r="GB89" s="155"/>
      <c r="GC89" s="155"/>
      <c r="GD89" s="155"/>
      <c r="GE89" s="155"/>
      <c r="GF89" s="155"/>
      <c r="GG89" s="155"/>
      <c r="GH89" s="155"/>
      <c r="GI89" s="155"/>
      <c r="GJ89" s="155"/>
      <c r="GK89" s="155"/>
      <c r="GL89" s="155"/>
      <c r="GM89" s="155"/>
      <c r="GN89" s="155"/>
      <c r="GO89" s="155"/>
      <c r="GP89" s="155"/>
      <c r="GQ89" s="155"/>
      <c r="GR89" s="155"/>
      <c r="GS89" s="155"/>
      <c r="GT89" s="155"/>
      <c r="GU89" s="155"/>
      <c r="GV89" s="155"/>
      <c r="GW89" s="155"/>
      <c r="GX89" s="155"/>
      <c r="GY89" s="155"/>
      <c r="GZ89" s="155"/>
      <c r="HA89" s="155"/>
      <c r="HB89" s="155"/>
      <c r="HC89" s="155"/>
      <c r="HD89" s="155"/>
      <c r="HE89" s="155"/>
      <c r="HF89" s="155"/>
      <c r="HG89" s="155"/>
      <c r="HH89" s="155"/>
      <c r="HI89" s="155"/>
      <c r="HJ89" s="155"/>
      <c r="HK89" s="155"/>
      <c r="HL89" s="155"/>
      <c r="HM89" s="155"/>
      <c r="HN89" s="155"/>
      <c r="HO89" s="155"/>
      <c r="HP89" s="155"/>
      <c r="HQ89" s="155"/>
      <c r="HR89" s="155"/>
      <c r="HS89" s="155"/>
      <c r="HT89" s="155"/>
      <c r="HU89" s="155"/>
      <c r="HV89" s="155"/>
      <c r="HW89" s="155"/>
      <c r="HX89" s="155"/>
      <c r="HY89" s="155"/>
      <c r="HZ89" s="155"/>
      <c r="IA89" s="155"/>
      <c r="IB89" s="155"/>
      <c r="IC89" s="155"/>
      <c r="ID89" s="155"/>
      <c r="IE89" s="155"/>
      <c r="IF89" s="155"/>
      <c r="IG89" s="155"/>
      <c r="IH89" s="155"/>
      <c r="II89" s="155"/>
      <c r="IJ89" s="155"/>
      <c r="IK89" s="155"/>
      <c r="IL89" s="155"/>
      <c r="IM89" s="155"/>
      <c r="IN89" s="155"/>
      <c r="IO89" s="155"/>
      <c r="IP89" s="155"/>
      <c r="IQ89" s="155"/>
    </row>
    <row r="90" spans="2:251" s="156" customFormat="1" ht="12" hidden="1" customHeight="1">
      <c r="B90" s="199"/>
      <c r="C90" s="200"/>
      <c r="D90" s="200"/>
      <c r="E90" s="157"/>
      <c r="F90" s="157"/>
      <c r="G90" s="157"/>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c r="EI90" s="155"/>
      <c r="EJ90" s="155"/>
      <c r="EK90" s="155"/>
      <c r="EL90" s="155"/>
      <c r="EM90" s="155"/>
      <c r="EN90" s="155"/>
      <c r="EO90" s="155"/>
      <c r="EP90" s="155"/>
      <c r="EQ90" s="155"/>
      <c r="ER90" s="155"/>
      <c r="ES90" s="155"/>
      <c r="ET90" s="155"/>
      <c r="EU90" s="155"/>
      <c r="EV90" s="155"/>
      <c r="EW90" s="155"/>
      <c r="EX90" s="155"/>
      <c r="EY90" s="155"/>
      <c r="EZ90" s="155"/>
      <c r="FA90" s="155"/>
      <c r="FB90" s="155"/>
      <c r="FC90" s="155"/>
      <c r="FD90" s="155"/>
      <c r="FE90" s="155"/>
      <c r="FF90" s="155"/>
      <c r="FG90" s="155"/>
      <c r="FH90" s="155"/>
      <c r="FI90" s="155"/>
      <c r="FJ90" s="155"/>
      <c r="FK90" s="155"/>
      <c r="FL90" s="155"/>
      <c r="FM90" s="155"/>
      <c r="FN90" s="155"/>
      <c r="FO90" s="155"/>
      <c r="FP90" s="155"/>
      <c r="FQ90" s="155"/>
      <c r="FR90" s="155"/>
      <c r="FS90" s="155"/>
      <c r="FT90" s="155"/>
      <c r="FU90" s="155"/>
      <c r="FV90" s="155"/>
      <c r="FW90" s="155"/>
      <c r="FX90" s="155"/>
      <c r="FY90" s="155"/>
      <c r="FZ90" s="155"/>
      <c r="GA90" s="155"/>
      <c r="GB90" s="155"/>
      <c r="GC90" s="155"/>
      <c r="GD90" s="155"/>
      <c r="GE90" s="155"/>
      <c r="GF90" s="155"/>
      <c r="GG90" s="155"/>
      <c r="GH90" s="155"/>
      <c r="GI90" s="155"/>
      <c r="GJ90" s="155"/>
      <c r="GK90" s="155"/>
      <c r="GL90" s="155"/>
      <c r="GM90" s="155"/>
      <c r="GN90" s="155"/>
      <c r="GO90" s="155"/>
      <c r="GP90" s="155"/>
      <c r="GQ90" s="155"/>
      <c r="GR90" s="155"/>
      <c r="GS90" s="155"/>
      <c r="GT90" s="155"/>
      <c r="GU90" s="155"/>
      <c r="GV90" s="155"/>
      <c r="GW90" s="155"/>
      <c r="GX90" s="155"/>
      <c r="GY90" s="155"/>
      <c r="GZ90" s="155"/>
      <c r="HA90" s="155"/>
      <c r="HB90" s="155"/>
      <c r="HC90" s="155"/>
      <c r="HD90" s="155"/>
      <c r="HE90" s="155"/>
      <c r="HF90" s="155"/>
      <c r="HG90" s="155"/>
      <c r="HH90" s="155"/>
      <c r="HI90" s="155"/>
      <c r="HJ90" s="155"/>
      <c r="HK90" s="155"/>
      <c r="HL90" s="155"/>
      <c r="HM90" s="155"/>
      <c r="HN90" s="155"/>
      <c r="HO90" s="155"/>
      <c r="HP90" s="155"/>
      <c r="HQ90" s="155"/>
      <c r="HR90" s="155"/>
      <c r="HS90" s="155"/>
      <c r="HT90" s="155"/>
      <c r="HU90" s="155"/>
      <c r="HV90" s="155"/>
      <c r="HW90" s="155"/>
      <c r="HX90" s="155"/>
      <c r="HY90" s="155"/>
      <c r="HZ90" s="155"/>
      <c r="IA90" s="155"/>
      <c r="IB90" s="155"/>
      <c r="IC90" s="155"/>
      <c r="ID90" s="155"/>
      <c r="IE90" s="155"/>
      <c r="IF90" s="155"/>
      <c r="IG90" s="155"/>
      <c r="IH90" s="155"/>
      <c r="II90" s="155"/>
      <c r="IJ90" s="155"/>
      <c r="IK90" s="155"/>
      <c r="IL90" s="155"/>
      <c r="IM90" s="155"/>
      <c r="IN90" s="155"/>
      <c r="IO90" s="155"/>
      <c r="IP90" s="155"/>
      <c r="IQ90" s="155"/>
    </row>
    <row r="91" spans="2:251" s="156" customFormat="1" ht="12" hidden="1" customHeight="1">
      <c r="B91" s="196" t="s">
        <v>1220</v>
      </c>
      <c r="C91" s="200"/>
      <c r="D91" s="200"/>
      <c r="E91" s="157"/>
      <c r="F91" s="157"/>
      <c r="G91" s="157"/>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55"/>
      <c r="CT91" s="155"/>
      <c r="CU91" s="155"/>
      <c r="CV91" s="155"/>
      <c r="CW91" s="155"/>
      <c r="CX91" s="155"/>
      <c r="CY91" s="155"/>
      <c r="CZ91" s="155"/>
      <c r="DA91" s="155"/>
      <c r="DB91" s="155"/>
      <c r="DC91" s="155"/>
      <c r="DD91" s="155"/>
      <c r="DE91" s="155"/>
      <c r="DF91" s="155"/>
      <c r="DG91" s="155"/>
      <c r="DH91" s="155"/>
      <c r="DI91" s="155"/>
      <c r="DJ91" s="155"/>
      <c r="DK91" s="155"/>
      <c r="DL91" s="155"/>
      <c r="DM91" s="155"/>
      <c r="DN91" s="155"/>
      <c r="DO91" s="155"/>
      <c r="DP91" s="155"/>
      <c r="DQ91" s="155"/>
      <c r="DR91" s="155"/>
      <c r="DS91" s="155"/>
      <c r="DT91" s="155"/>
      <c r="DU91" s="155"/>
      <c r="DV91" s="155"/>
      <c r="DW91" s="155"/>
      <c r="DX91" s="155"/>
      <c r="DY91" s="155"/>
      <c r="DZ91" s="155"/>
      <c r="EA91" s="155"/>
      <c r="EB91" s="155"/>
      <c r="EC91" s="155"/>
      <c r="ED91" s="155"/>
      <c r="EE91" s="155"/>
      <c r="EF91" s="155"/>
      <c r="EG91" s="155"/>
      <c r="EH91" s="155"/>
      <c r="EI91" s="155"/>
      <c r="EJ91" s="155"/>
      <c r="EK91" s="155"/>
      <c r="EL91" s="155"/>
      <c r="EM91" s="155"/>
      <c r="EN91" s="155"/>
      <c r="EO91" s="155"/>
      <c r="EP91" s="155"/>
      <c r="EQ91" s="155"/>
      <c r="ER91" s="155"/>
      <c r="ES91" s="155"/>
      <c r="ET91" s="155"/>
      <c r="EU91" s="155"/>
      <c r="EV91" s="155"/>
      <c r="EW91" s="155"/>
      <c r="EX91" s="155"/>
      <c r="EY91" s="155"/>
      <c r="EZ91" s="155"/>
      <c r="FA91" s="155"/>
      <c r="FB91" s="155"/>
      <c r="FC91" s="155"/>
      <c r="FD91" s="155"/>
      <c r="FE91" s="155"/>
      <c r="FF91" s="155"/>
      <c r="FG91" s="155"/>
      <c r="FH91" s="155"/>
      <c r="FI91" s="155"/>
      <c r="FJ91" s="155"/>
      <c r="FK91" s="155"/>
      <c r="FL91" s="155"/>
      <c r="FM91" s="155"/>
      <c r="FN91" s="155"/>
      <c r="FO91" s="155"/>
      <c r="FP91" s="155"/>
      <c r="FQ91" s="155"/>
      <c r="FR91" s="155"/>
      <c r="FS91" s="155"/>
      <c r="FT91" s="155"/>
      <c r="FU91" s="155"/>
      <c r="FV91" s="155"/>
      <c r="FW91" s="155"/>
      <c r="FX91" s="155"/>
      <c r="FY91" s="155"/>
      <c r="FZ91" s="155"/>
      <c r="GA91" s="155"/>
      <c r="GB91" s="155"/>
      <c r="GC91" s="155"/>
      <c r="GD91" s="155"/>
      <c r="GE91" s="155"/>
      <c r="GF91" s="155"/>
      <c r="GG91" s="155"/>
      <c r="GH91" s="155"/>
      <c r="GI91" s="155"/>
      <c r="GJ91" s="155"/>
      <c r="GK91" s="155"/>
      <c r="GL91" s="155"/>
      <c r="GM91" s="155"/>
      <c r="GN91" s="155"/>
      <c r="GO91" s="155"/>
      <c r="GP91" s="155"/>
      <c r="GQ91" s="155"/>
      <c r="GR91" s="155"/>
      <c r="GS91" s="155"/>
      <c r="GT91" s="155"/>
      <c r="GU91" s="155"/>
      <c r="GV91" s="155"/>
      <c r="GW91" s="155"/>
      <c r="GX91" s="155"/>
      <c r="GY91" s="155"/>
      <c r="GZ91" s="155"/>
      <c r="HA91" s="155"/>
      <c r="HB91" s="155"/>
      <c r="HC91" s="155"/>
      <c r="HD91" s="155"/>
      <c r="HE91" s="155"/>
      <c r="HF91" s="155"/>
      <c r="HG91" s="155"/>
      <c r="HH91" s="155"/>
      <c r="HI91" s="155"/>
      <c r="HJ91" s="155"/>
      <c r="HK91" s="155"/>
      <c r="HL91" s="155"/>
      <c r="HM91" s="155"/>
      <c r="HN91" s="155"/>
      <c r="HO91" s="155"/>
      <c r="HP91" s="155"/>
      <c r="HQ91" s="155"/>
      <c r="HR91" s="155"/>
      <c r="HS91" s="155"/>
      <c r="HT91" s="155"/>
      <c r="HU91" s="155"/>
      <c r="HV91" s="155"/>
      <c r="HW91" s="155"/>
      <c r="HX91" s="155"/>
      <c r="HY91" s="155"/>
      <c r="HZ91" s="155"/>
      <c r="IA91" s="155"/>
      <c r="IB91" s="155"/>
      <c r="IC91" s="155"/>
      <c r="ID91" s="155"/>
      <c r="IE91" s="155"/>
      <c r="IF91" s="155"/>
      <c r="IG91" s="155"/>
      <c r="IH91" s="155"/>
      <c r="II91" s="155"/>
      <c r="IJ91" s="155"/>
      <c r="IK91" s="155"/>
      <c r="IL91" s="155"/>
      <c r="IM91" s="155"/>
      <c r="IN91" s="155"/>
      <c r="IO91" s="155"/>
      <c r="IP91" s="155"/>
      <c r="IQ91" s="155"/>
    </row>
    <row r="92" spans="2:251" s="156" customFormat="1" ht="12" hidden="1" customHeight="1">
      <c r="B92" s="199" t="s">
        <v>1207</v>
      </c>
      <c r="C92" s="200"/>
      <c r="D92" s="200"/>
      <c r="E92" s="157"/>
      <c r="F92" s="157"/>
      <c r="G92" s="157"/>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c r="CA92" s="155"/>
      <c r="CB92" s="155"/>
      <c r="CC92" s="155"/>
      <c r="CD92" s="155"/>
      <c r="CE92" s="155"/>
      <c r="CF92" s="155"/>
      <c r="CG92" s="155"/>
      <c r="CH92" s="155"/>
      <c r="CI92" s="155"/>
      <c r="CJ92" s="155"/>
      <c r="CK92" s="155"/>
      <c r="CL92" s="155"/>
      <c r="CM92" s="155"/>
      <c r="CN92" s="155"/>
      <c r="CO92" s="155"/>
      <c r="CP92" s="155"/>
      <c r="CQ92" s="155"/>
      <c r="CR92" s="155"/>
      <c r="CS92" s="155"/>
      <c r="CT92" s="155"/>
      <c r="CU92" s="155"/>
      <c r="CV92" s="155"/>
      <c r="CW92" s="155"/>
      <c r="CX92" s="155"/>
      <c r="CY92" s="155"/>
      <c r="CZ92" s="155"/>
      <c r="DA92" s="155"/>
      <c r="DB92" s="155"/>
      <c r="DC92" s="155"/>
      <c r="DD92" s="155"/>
      <c r="DE92" s="155"/>
      <c r="DF92" s="155"/>
      <c r="DG92" s="155"/>
      <c r="DH92" s="155"/>
      <c r="DI92" s="155"/>
      <c r="DJ92" s="155"/>
      <c r="DK92" s="155"/>
      <c r="DL92" s="155"/>
      <c r="DM92" s="155"/>
      <c r="DN92" s="155"/>
      <c r="DO92" s="155"/>
      <c r="DP92" s="155"/>
      <c r="DQ92" s="155"/>
      <c r="DR92" s="155"/>
      <c r="DS92" s="155"/>
      <c r="DT92" s="155"/>
      <c r="DU92" s="155"/>
      <c r="DV92" s="155"/>
      <c r="DW92" s="155"/>
      <c r="DX92" s="155"/>
      <c r="DY92" s="155"/>
      <c r="DZ92" s="155"/>
      <c r="EA92" s="155"/>
      <c r="EB92" s="155"/>
      <c r="EC92" s="155"/>
      <c r="ED92" s="155"/>
      <c r="EE92" s="155"/>
      <c r="EF92" s="155"/>
      <c r="EG92" s="155"/>
      <c r="EH92" s="155"/>
      <c r="EI92" s="155"/>
      <c r="EJ92" s="155"/>
      <c r="EK92" s="155"/>
      <c r="EL92" s="155"/>
      <c r="EM92" s="155"/>
      <c r="EN92" s="155"/>
      <c r="EO92" s="155"/>
      <c r="EP92" s="155"/>
      <c r="EQ92" s="155"/>
      <c r="ER92" s="155"/>
      <c r="ES92" s="155"/>
      <c r="ET92" s="155"/>
      <c r="EU92" s="155"/>
      <c r="EV92" s="155"/>
      <c r="EW92" s="155"/>
      <c r="EX92" s="155"/>
      <c r="EY92" s="155"/>
      <c r="EZ92" s="155"/>
      <c r="FA92" s="155"/>
      <c r="FB92" s="155"/>
      <c r="FC92" s="155"/>
      <c r="FD92" s="155"/>
      <c r="FE92" s="155"/>
      <c r="FF92" s="155"/>
      <c r="FG92" s="155"/>
      <c r="FH92" s="155"/>
      <c r="FI92" s="155"/>
      <c r="FJ92" s="155"/>
      <c r="FK92" s="155"/>
      <c r="FL92" s="155"/>
      <c r="FM92" s="155"/>
      <c r="FN92" s="155"/>
      <c r="FO92" s="155"/>
      <c r="FP92" s="155"/>
      <c r="FQ92" s="155"/>
      <c r="FR92" s="155"/>
      <c r="FS92" s="155"/>
      <c r="FT92" s="155"/>
      <c r="FU92" s="155"/>
      <c r="FV92" s="155"/>
      <c r="FW92" s="155"/>
      <c r="FX92" s="155"/>
      <c r="FY92" s="155"/>
      <c r="FZ92" s="155"/>
      <c r="GA92" s="155"/>
      <c r="GB92" s="155"/>
      <c r="GC92" s="155"/>
      <c r="GD92" s="155"/>
      <c r="GE92" s="155"/>
      <c r="GF92" s="155"/>
      <c r="GG92" s="155"/>
      <c r="GH92" s="155"/>
      <c r="GI92" s="155"/>
      <c r="GJ92" s="155"/>
      <c r="GK92" s="155"/>
      <c r="GL92" s="155"/>
      <c r="GM92" s="155"/>
      <c r="GN92" s="155"/>
      <c r="GO92" s="155"/>
      <c r="GP92" s="155"/>
      <c r="GQ92" s="155"/>
      <c r="GR92" s="155"/>
      <c r="GS92" s="155"/>
      <c r="GT92" s="155"/>
      <c r="GU92" s="155"/>
      <c r="GV92" s="155"/>
      <c r="GW92" s="155"/>
      <c r="GX92" s="155"/>
      <c r="GY92" s="155"/>
      <c r="GZ92" s="155"/>
      <c r="HA92" s="155"/>
      <c r="HB92" s="155"/>
      <c r="HC92" s="155"/>
      <c r="HD92" s="155"/>
      <c r="HE92" s="155"/>
      <c r="HF92" s="155"/>
      <c r="HG92" s="155"/>
      <c r="HH92" s="155"/>
      <c r="HI92" s="155"/>
      <c r="HJ92" s="155"/>
      <c r="HK92" s="155"/>
      <c r="HL92" s="155"/>
      <c r="HM92" s="155"/>
      <c r="HN92" s="155"/>
      <c r="HO92" s="155"/>
      <c r="HP92" s="155"/>
      <c r="HQ92" s="155"/>
      <c r="HR92" s="155"/>
      <c r="HS92" s="155"/>
      <c r="HT92" s="155"/>
      <c r="HU92" s="155"/>
      <c r="HV92" s="155"/>
      <c r="HW92" s="155"/>
      <c r="HX92" s="155"/>
      <c r="HY92" s="155"/>
      <c r="HZ92" s="155"/>
      <c r="IA92" s="155"/>
      <c r="IB92" s="155"/>
      <c r="IC92" s="155"/>
      <c r="ID92" s="155"/>
      <c r="IE92" s="155"/>
      <c r="IF92" s="155"/>
      <c r="IG92" s="155"/>
      <c r="IH92" s="155"/>
      <c r="II92" s="155"/>
      <c r="IJ92" s="155"/>
      <c r="IK92" s="155"/>
      <c r="IL92" s="155"/>
      <c r="IM92" s="155"/>
      <c r="IN92" s="155"/>
      <c r="IO92" s="155"/>
      <c r="IP92" s="155"/>
      <c r="IQ92" s="155"/>
    </row>
    <row r="93" spans="2:251" s="156" customFormat="1" ht="12" hidden="1" customHeight="1">
      <c r="B93" s="199" t="s">
        <v>1208</v>
      </c>
      <c r="C93" s="200"/>
      <c r="D93" s="200"/>
      <c r="E93" s="157"/>
      <c r="F93" s="157"/>
      <c r="G93" s="157"/>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5"/>
      <c r="CH93" s="155"/>
      <c r="CI93" s="155"/>
      <c r="CJ93" s="155"/>
      <c r="CK93" s="155"/>
      <c r="CL93" s="155"/>
      <c r="CM93" s="155"/>
      <c r="CN93" s="155"/>
      <c r="CO93" s="155"/>
      <c r="CP93" s="155"/>
      <c r="CQ93" s="155"/>
      <c r="CR93" s="155"/>
      <c r="CS93" s="155"/>
      <c r="CT93" s="155"/>
      <c r="CU93" s="155"/>
      <c r="CV93" s="155"/>
      <c r="CW93" s="155"/>
      <c r="CX93" s="155"/>
      <c r="CY93" s="155"/>
      <c r="CZ93" s="155"/>
      <c r="DA93" s="155"/>
      <c r="DB93" s="155"/>
      <c r="DC93" s="155"/>
      <c r="DD93" s="155"/>
      <c r="DE93" s="155"/>
      <c r="DF93" s="155"/>
      <c r="DG93" s="155"/>
      <c r="DH93" s="155"/>
      <c r="DI93" s="155"/>
      <c r="DJ93" s="155"/>
      <c r="DK93" s="155"/>
      <c r="DL93" s="155"/>
      <c r="DM93" s="155"/>
      <c r="DN93" s="155"/>
      <c r="DO93" s="155"/>
      <c r="DP93" s="155"/>
      <c r="DQ93" s="155"/>
      <c r="DR93" s="155"/>
      <c r="DS93" s="155"/>
      <c r="DT93" s="155"/>
      <c r="DU93" s="155"/>
      <c r="DV93" s="155"/>
      <c r="DW93" s="155"/>
      <c r="DX93" s="155"/>
      <c r="DY93" s="155"/>
      <c r="DZ93" s="155"/>
      <c r="EA93" s="155"/>
      <c r="EB93" s="155"/>
      <c r="EC93" s="155"/>
      <c r="ED93" s="155"/>
      <c r="EE93" s="155"/>
      <c r="EF93" s="155"/>
      <c r="EG93" s="155"/>
      <c r="EH93" s="155"/>
      <c r="EI93" s="155"/>
      <c r="EJ93" s="155"/>
      <c r="EK93" s="155"/>
      <c r="EL93" s="155"/>
      <c r="EM93" s="155"/>
      <c r="EN93" s="155"/>
      <c r="EO93" s="155"/>
      <c r="EP93" s="155"/>
      <c r="EQ93" s="155"/>
      <c r="ER93" s="155"/>
      <c r="ES93" s="155"/>
      <c r="ET93" s="155"/>
      <c r="EU93" s="155"/>
      <c r="EV93" s="155"/>
      <c r="EW93" s="155"/>
      <c r="EX93" s="155"/>
      <c r="EY93" s="155"/>
      <c r="EZ93" s="155"/>
      <c r="FA93" s="155"/>
      <c r="FB93" s="155"/>
      <c r="FC93" s="155"/>
      <c r="FD93" s="155"/>
      <c r="FE93" s="155"/>
      <c r="FF93" s="155"/>
      <c r="FG93" s="155"/>
      <c r="FH93" s="155"/>
      <c r="FI93" s="155"/>
      <c r="FJ93" s="155"/>
      <c r="FK93" s="155"/>
      <c r="FL93" s="155"/>
      <c r="FM93" s="155"/>
      <c r="FN93" s="155"/>
      <c r="FO93" s="155"/>
      <c r="FP93" s="155"/>
      <c r="FQ93" s="155"/>
      <c r="FR93" s="155"/>
      <c r="FS93" s="155"/>
      <c r="FT93" s="155"/>
      <c r="FU93" s="155"/>
      <c r="FV93" s="155"/>
      <c r="FW93" s="155"/>
      <c r="FX93" s="155"/>
      <c r="FY93" s="155"/>
      <c r="FZ93" s="155"/>
      <c r="GA93" s="155"/>
      <c r="GB93" s="155"/>
      <c r="GC93" s="155"/>
      <c r="GD93" s="155"/>
      <c r="GE93" s="155"/>
      <c r="GF93" s="155"/>
      <c r="GG93" s="155"/>
      <c r="GH93" s="155"/>
      <c r="GI93" s="155"/>
      <c r="GJ93" s="155"/>
      <c r="GK93" s="155"/>
      <c r="GL93" s="155"/>
      <c r="GM93" s="155"/>
      <c r="GN93" s="155"/>
      <c r="GO93" s="155"/>
      <c r="GP93" s="155"/>
      <c r="GQ93" s="155"/>
      <c r="GR93" s="155"/>
      <c r="GS93" s="155"/>
      <c r="GT93" s="155"/>
      <c r="GU93" s="155"/>
      <c r="GV93" s="155"/>
      <c r="GW93" s="155"/>
      <c r="GX93" s="155"/>
      <c r="GY93" s="155"/>
      <c r="GZ93" s="155"/>
      <c r="HA93" s="155"/>
      <c r="HB93" s="155"/>
      <c r="HC93" s="155"/>
      <c r="HD93" s="155"/>
      <c r="HE93" s="155"/>
      <c r="HF93" s="155"/>
      <c r="HG93" s="155"/>
      <c r="HH93" s="155"/>
      <c r="HI93" s="155"/>
      <c r="HJ93" s="155"/>
      <c r="HK93" s="155"/>
      <c r="HL93" s="155"/>
      <c r="HM93" s="155"/>
      <c r="HN93" s="155"/>
      <c r="HO93" s="155"/>
      <c r="HP93" s="155"/>
      <c r="HQ93" s="155"/>
      <c r="HR93" s="155"/>
      <c r="HS93" s="155"/>
      <c r="HT93" s="155"/>
      <c r="HU93" s="155"/>
      <c r="HV93" s="155"/>
      <c r="HW93" s="155"/>
      <c r="HX93" s="155"/>
      <c r="HY93" s="155"/>
      <c r="HZ93" s="155"/>
      <c r="IA93" s="155"/>
      <c r="IB93" s="155"/>
      <c r="IC93" s="155"/>
      <c r="ID93" s="155"/>
      <c r="IE93" s="155"/>
      <c r="IF93" s="155"/>
      <c r="IG93" s="155"/>
      <c r="IH93" s="155"/>
      <c r="II93" s="155"/>
      <c r="IJ93" s="155"/>
      <c r="IK93" s="155"/>
      <c r="IL93" s="155"/>
      <c r="IM93" s="155"/>
      <c r="IN93" s="155"/>
      <c r="IO93" s="155"/>
      <c r="IP93" s="155"/>
      <c r="IQ93" s="155"/>
    </row>
    <row r="94" spans="2:251" s="156" customFormat="1" ht="12" hidden="1" customHeight="1">
      <c r="B94" s="199" t="s">
        <v>1209</v>
      </c>
      <c r="C94" s="200"/>
      <c r="D94" s="200"/>
      <c r="E94" s="157"/>
      <c r="F94" s="157"/>
      <c r="G94" s="157"/>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c r="CA94" s="155"/>
      <c r="CB94" s="155"/>
      <c r="CC94" s="155"/>
      <c r="CD94" s="155"/>
      <c r="CE94" s="155"/>
      <c r="CF94" s="155"/>
      <c r="CG94" s="155"/>
      <c r="CH94" s="155"/>
      <c r="CI94" s="155"/>
      <c r="CJ94" s="155"/>
      <c r="CK94" s="155"/>
      <c r="CL94" s="155"/>
      <c r="CM94" s="155"/>
      <c r="CN94" s="155"/>
      <c r="CO94" s="155"/>
      <c r="CP94" s="155"/>
      <c r="CQ94" s="155"/>
      <c r="CR94" s="155"/>
      <c r="CS94" s="155"/>
      <c r="CT94" s="155"/>
      <c r="CU94" s="155"/>
      <c r="CV94" s="155"/>
      <c r="CW94" s="155"/>
      <c r="CX94" s="155"/>
      <c r="CY94" s="155"/>
      <c r="CZ94" s="155"/>
      <c r="DA94" s="155"/>
      <c r="DB94" s="155"/>
      <c r="DC94" s="155"/>
      <c r="DD94" s="155"/>
      <c r="DE94" s="155"/>
      <c r="DF94" s="155"/>
      <c r="DG94" s="155"/>
      <c r="DH94" s="155"/>
      <c r="DI94" s="155"/>
      <c r="DJ94" s="155"/>
      <c r="DK94" s="155"/>
      <c r="DL94" s="155"/>
      <c r="DM94" s="155"/>
      <c r="DN94" s="155"/>
      <c r="DO94" s="155"/>
      <c r="DP94" s="155"/>
      <c r="DQ94" s="155"/>
      <c r="DR94" s="155"/>
      <c r="DS94" s="155"/>
      <c r="DT94" s="155"/>
      <c r="DU94" s="155"/>
      <c r="DV94" s="155"/>
      <c r="DW94" s="155"/>
      <c r="DX94" s="155"/>
      <c r="DY94" s="155"/>
      <c r="DZ94" s="155"/>
      <c r="EA94" s="155"/>
      <c r="EB94" s="155"/>
      <c r="EC94" s="155"/>
      <c r="ED94" s="155"/>
      <c r="EE94" s="155"/>
      <c r="EF94" s="155"/>
      <c r="EG94" s="155"/>
      <c r="EH94" s="155"/>
      <c r="EI94" s="155"/>
      <c r="EJ94" s="155"/>
      <c r="EK94" s="155"/>
      <c r="EL94" s="155"/>
      <c r="EM94" s="155"/>
      <c r="EN94" s="155"/>
      <c r="EO94" s="155"/>
      <c r="EP94" s="155"/>
      <c r="EQ94" s="155"/>
      <c r="ER94" s="155"/>
      <c r="ES94" s="155"/>
      <c r="ET94" s="155"/>
      <c r="EU94" s="155"/>
      <c r="EV94" s="155"/>
      <c r="EW94" s="155"/>
      <c r="EX94" s="155"/>
      <c r="EY94" s="155"/>
      <c r="EZ94" s="155"/>
      <c r="FA94" s="155"/>
      <c r="FB94" s="155"/>
      <c r="FC94" s="155"/>
      <c r="FD94" s="155"/>
      <c r="FE94" s="155"/>
      <c r="FF94" s="155"/>
      <c r="FG94" s="155"/>
      <c r="FH94" s="155"/>
      <c r="FI94" s="155"/>
      <c r="FJ94" s="155"/>
      <c r="FK94" s="155"/>
      <c r="FL94" s="155"/>
      <c r="FM94" s="155"/>
      <c r="FN94" s="155"/>
      <c r="FO94" s="155"/>
      <c r="FP94" s="155"/>
      <c r="FQ94" s="155"/>
      <c r="FR94" s="155"/>
      <c r="FS94" s="155"/>
      <c r="FT94" s="155"/>
      <c r="FU94" s="155"/>
      <c r="FV94" s="155"/>
      <c r="FW94" s="155"/>
      <c r="FX94" s="155"/>
      <c r="FY94" s="155"/>
      <c r="FZ94" s="155"/>
      <c r="GA94" s="155"/>
      <c r="GB94" s="155"/>
      <c r="GC94" s="155"/>
      <c r="GD94" s="155"/>
      <c r="GE94" s="155"/>
      <c r="GF94" s="155"/>
      <c r="GG94" s="155"/>
      <c r="GH94" s="155"/>
      <c r="GI94" s="155"/>
      <c r="GJ94" s="155"/>
      <c r="GK94" s="155"/>
      <c r="GL94" s="155"/>
      <c r="GM94" s="155"/>
      <c r="GN94" s="155"/>
      <c r="GO94" s="155"/>
      <c r="GP94" s="155"/>
      <c r="GQ94" s="155"/>
      <c r="GR94" s="155"/>
      <c r="GS94" s="155"/>
      <c r="GT94" s="155"/>
      <c r="GU94" s="155"/>
      <c r="GV94" s="155"/>
      <c r="GW94" s="155"/>
      <c r="GX94" s="155"/>
      <c r="GY94" s="155"/>
      <c r="GZ94" s="155"/>
      <c r="HA94" s="155"/>
      <c r="HB94" s="155"/>
      <c r="HC94" s="155"/>
      <c r="HD94" s="155"/>
      <c r="HE94" s="155"/>
      <c r="HF94" s="155"/>
      <c r="HG94" s="155"/>
      <c r="HH94" s="155"/>
      <c r="HI94" s="155"/>
      <c r="HJ94" s="155"/>
      <c r="HK94" s="155"/>
      <c r="HL94" s="155"/>
      <c r="HM94" s="155"/>
      <c r="HN94" s="155"/>
      <c r="HO94" s="155"/>
      <c r="HP94" s="155"/>
      <c r="HQ94" s="155"/>
      <c r="HR94" s="155"/>
      <c r="HS94" s="155"/>
      <c r="HT94" s="155"/>
      <c r="HU94" s="155"/>
      <c r="HV94" s="155"/>
      <c r="HW94" s="155"/>
      <c r="HX94" s="155"/>
      <c r="HY94" s="155"/>
      <c r="HZ94" s="155"/>
      <c r="IA94" s="155"/>
      <c r="IB94" s="155"/>
      <c r="IC94" s="155"/>
      <c r="ID94" s="155"/>
      <c r="IE94" s="155"/>
      <c r="IF94" s="155"/>
      <c r="IG94" s="155"/>
      <c r="IH94" s="155"/>
      <c r="II94" s="155"/>
      <c r="IJ94" s="155"/>
      <c r="IK94" s="155"/>
      <c r="IL94" s="155"/>
      <c r="IM94" s="155"/>
      <c r="IN94" s="155"/>
      <c r="IO94" s="155"/>
      <c r="IP94" s="155"/>
      <c r="IQ94" s="155"/>
    </row>
    <row r="95" spans="2:251" s="156" customFormat="1" ht="12" hidden="1" customHeight="1">
      <c r="B95" s="199" t="s">
        <v>1210</v>
      </c>
      <c r="C95" s="200"/>
      <c r="D95" s="200"/>
      <c r="E95" s="157"/>
      <c r="F95" s="157"/>
      <c r="G95" s="157"/>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c r="DC95" s="155"/>
      <c r="DD95" s="155"/>
      <c r="DE95" s="155"/>
      <c r="DF95" s="155"/>
      <c r="DG95" s="155"/>
      <c r="DH95" s="155"/>
      <c r="DI95" s="155"/>
      <c r="DJ95" s="155"/>
      <c r="DK95" s="155"/>
      <c r="DL95" s="155"/>
      <c r="DM95" s="155"/>
      <c r="DN95" s="155"/>
      <c r="DO95" s="155"/>
      <c r="DP95" s="155"/>
      <c r="DQ95" s="155"/>
      <c r="DR95" s="155"/>
      <c r="DS95" s="155"/>
      <c r="DT95" s="155"/>
      <c r="DU95" s="155"/>
      <c r="DV95" s="155"/>
      <c r="DW95" s="155"/>
      <c r="DX95" s="155"/>
      <c r="DY95" s="155"/>
      <c r="DZ95" s="155"/>
      <c r="EA95" s="155"/>
      <c r="EB95" s="155"/>
      <c r="EC95" s="155"/>
      <c r="ED95" s="155"/>
      <c r="EE95" s="155"/>
      <c r="EF95" s="155"/>
      <c r="EG95" s="155"/>
      <c r="EH95" s="155"/>
      <c r="EI95" s="155"/>
      <c r="EJ95" s="155"/>
      <c r="EK95" s="155"/>
      <c r="EL95" s="155"/>
      <c r="EM95" s="155"/>
      <c r="EN95" s="155"/>
      <c r="EO95" s="155"/>
      <c r="EP95" s="155"/>
      <c r="EQ95" s="155"/>
      <c r="ER95" s="155"/>
      <c r="ES95" s="155"/>
      <c r="ET95" s="155"/>
      <c r="EU95" s="155"/>
      <c r="EV95" s="155"/>
      <c r="EW95" s="155"/>
      <c r="EX95" s="155"/>
      <c r="EY95" s="155"/>
      <c r="EZ95" s="155"/>
      <c r="FA95" s="155"/>
      <c r="FB95" s="155"/>
      <c r="FC95" s="155"/>
      <c r="FD95" s="155"/>
      <c r="FE95" s="155"/>
      <c r="FF95" s="155"/>
      <c r="FG95" s="155"/>
      <c r="FH95" s="155"/>
      <c r="FI95" s="155"/>
      <c r="FJ95" s="155"/>
      <c r="FK95" s="155"/>
      <c r="FL95" s="155"/>
      <c r="FM95" s="155"/>
      <c r="FN95" s="155"/>
      <c r="FO95" s="155"/>
      <c r="FP95" s="155"/>
      <c r="FQ95" s="155"/>
      <c r="FR95" s="155"/>
      <c r="FS95" s="155"/>
      <c r="FT95" s="155"/>
      <c r="FU95" s="155"/>
      <c r="FV95" s="155"/>
      <c r="FW95" s="155"/>
      <c r="FX95" s="155"/>
      <c r="FY95" s="155"/>
      <c r="FZ95" s="155"/>
      <c r="GA95" s="155"/>
      <c r="GB95" s="155"/>
      <c r="GC95" s="155"/>
      <c r="GD95" s="155"/>
      <c r="GE95" s="155"/>
      <c r="GF95" s="155"/>
      <c r="GG95" s="155"/>
      <c r="GH95" s="155"/>
      <c r="GI95" s="155"/>
      <c r="GJ95" s="155"/>
      <c r="GK95" s="155"/>
      <c r="GL95" s="155"/>
      <c r="GM95" s="155"/>
      <c r="GN95" s="155"/>
      <c r="GO95" s="155"/>
      <c r="GP95" s="155"/>
      <c r="GQ95" s="155"/>
      <c r="GR95" s="155"/>
      <c r="GS95" s="155"/>
      <c r="GT95" s="155"/>
      <c r="GU95" s="155"/>
      <c r="GV95" s="155"/>
      <c r="GW95" s="155"/>
      <c r="GX95" s="155"/>
      <c r="GY95" s="155"/>
      <c r="GZ95" s="155"/>
      <c r="HA95" s="155"/>
      <c r="HB95" s="155"/>
      <c r="HC95" s="155"/>
      <c r="HD95" s="155"/>
      <c r="HE95" s="155"/>
      <c r="HF95" s="155"/>
      <c r="HG95" s="155"/>
      <c r="HH95" s="155"/>
      <c r="HI95" s="155"/>
      <c r="HJ95" s="155"/>
      <c r="HK95" s="155"/>
      <c r="HL95" s="155"/>
      <c r="HM95" s="155"/>
      <c r="HN95" s="155"/>
      <c r="HO95" s="155"/>
      <c r="HP95" s="155"/>
      <c r="HQ95" s="155"/>
      <c r="HR95" s="155"/>
      <c r="HS95" s="155"/>
      <c r="HT95" s="155"/>
      <c r="HU95" s="155"/>
      <c r="HV95" s="155"/>
      <c r="HW95" s="155"/>
      <c r="HX95" s="155"/>
      <c r="HY95" s="155"/>
      <c r="HZ95" s="155"/>
      <c r="IA95" s="155"/>
      <c r="IB95" s="155"/>
      <c r="IC95" s="155"/>
      <c r="ID95" s="155"/>
      <c r="IE95" s="155"/>
      <c r="IF95" s="155"/>
      <c r="IG95" s="155"/>
      <c r="IH95" s="155"/>
      <c r="II95" s="155"/>
      <c r="IJ95" s="155"/>
      <c r="IK95" s="155"/>
      <c r="IL95" s="155"/>
      <c r="IM95" s="155"/>
      <c r="IN95" s="155"/>
      <c r="IO95" s="155"/>
      <c r="IP95" s="155"/>
      <c r="IQ95" s="155"/>
    </row>
    <row r="96" spans="2:251" s="156" customFormat="1" ht="12" hidden="1" customHeight="1">
      <c r="B96" s="199" t="s">
        <v>1211</v>
      </c>
      <c r="C96" s="200"/>
      <c r="D96" s="200"/>
      <c r="E96" s="157"/>
      <c r="F96" s="157"/>
      <c r="G96" s="157"/>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155"/>
      <c r="DQ96" s="155"/>
      <c r="DR96" s="155"/>
      <c r="DS96" s="155"/>
      <c r="DT96" s="155"/>
      <c r="DU96" s="155"/>
      <c r="DV96" s="155"/>
      <c r="DW96" s="155"/>
      <c r="DX96" s="155"/>
      <c r="DY96" s="155"/>
      <c r="DZ96" s="155"/>
      <c r="EA96" s="155"/>
      <c r="EB96" s="155"/>
      <c r="EC96" s="155"/>
      <c r="ED96" s="155"/>
      <c r="EE96" s="155"/>
      <c r="EF96" s="155"/>
      <c r="EG96" s="155"/>
      <c r="EH96" s="155"/>
      <c r="EI96" s="155"/>
      <c r="EJ96" s="155"/>
      <c r="EK96" s="155"/>
      <c r="EL96" s="155"/>
      <c r="EM96" s="155"/>
      <c r="EN96" s="155"/>
      <c r="EO96" s="155"/>
      <c r="EP96" s="155"/>
      <c r="EQ96" s="155"/>
      <c r="ER96" s="155"/>
      <c r="ES96" s="155"/>
      <c r="ET96" s="155"/>
      <c r="EU96" s="155"/>
      <c r="EV96" s="155"/>
      <c r="EW96" s="155"/>
      <c r="EX96" s="155"/>
      <c r="EY96" s="155"/>
      <c r="EZ96" s="155"/>
      <c r="FA96" s="155"/>
      <c r="FB96" s="155"/>
      <c r="FC96" s="155"/>
      <c r="FD96" s="155"/>
      <c r="FE96" s="155"/>
      <c r="FF96" s="155"/>
      <c r="FG96" s="155"/>
      <c r="FH96" s="155"/>
      <c r="FI96" s="155"/>
      <c r="FJ96" s="155"/>
      <c r="FK96" s="155"/>
      <c r="FL96" s="155"/>
      <c r="FM96" s="155"/>
      <c r="FN96" s="155"/>
      <c r="FO96" s="155"/>
      <c r="FP96" s="155"/>
      <c r="FQ96" s="155"/>
      <c r="FR96" s="155"/>
      <c r="FS96" s="155"/>
      <c r="FT96" s="155"/>
      <c r="FU96" s="155"/>
      <c r="FV96" s="155"/>
      <c r="FW96" s="155"/>
      <c r="FX96" s="155"/>
      <c r="FY96" s="155"/>
      <c r="FZ96" s="155"/>
      <c r="GA96" s="155"/>
      <c r="GB96" s="155"/>
      <c r="GC96" s="155"/>
      <c r="GD96" s="155"/>
      <c r="GE96" s="155"/>
      <c r="GF96" s="155"/>
      <c r="GG96" s="155"/>
      <c r="GH96" s="155"/>
      <c r="GI96" s="155"/>
      <c r="GJ96" s="155"/>
      <c r="GK96" s="155"/>
      <c r="GL96" s="155"/>
      <c r="GM96" s="155"/>
      <c r="GN96" s="155"/>
      <c r="GO96" s="155"/>
      <c r="GP96" s="155"/>
      <c r="GQ96" s="155"/>
      <c r="GR96" s="155"/>
      <c r="GS96" s="155"/>
      <c r="GT96" s="155"/>
      <c r="GU96" s="155"/>
      <c r="GV96" s="155"/>
      <c r="GW96" s="155"/>
      <c r="GX96" s="155"/>
      <c r="GY96" s="155"/>
      <c r="GZ96" s="155"/>
      <c r="HA96" s="155"/>
      <c r="HB96" s="155"/>
      <c r="HC96" s="155"/>
      <c r="HD96" s="155"/>
      <c r="HE96" s="155"/>
      <c r="HF96" s="155"/>
      <c r="HG96" s="155"/>
      <c r="HH96" s="155"/>
      <c r="HI96" s="155"/>
      <c r="HJ96" s="155"/>
      <c r="HK96" s="155"/>
      <c r="HL96" s="155"/>
      <c r="HM96" s="155"/>
      <c r="HN96" s="155"/>
      <c r="HO96" s="155"/>
      <c r="HP96" s="155"/>
      <c r="HQ96" s="155"/>
      <c r="HR96" s="155"/>
      <c r="HS96" s="155"/>
      <c r="HT96" s="155"/>
      <c r="HU96" s="155"/>
      <c r="HV96" s="155"/>
      <c r="HW96" s="155"/>
      <c r="HX96" s="155"/>
      <c r="HY96" s="155"/>
      <c r="HZ96" s="155"/>
      <c r="IA96" s="155"/>
      <c r="IB96" s="155"/>
      <c r="IC96" s="155"/>
      <c r="ID96" s="155"/>
      <c r="IE96" s="155"/>
      <c r="IF96" s="155"/>
      <c r="IG96" s="155"/>
      <c r="IH96" s="155"/>
      <c r="II96" s="155"/>
      <c r="IJ96" s="155"/>
      <c r="IK96" s="155"/>
      <c r="IL96" s="155"/>
      <c r="IM96" s="155"/>
      <c r="IN96" s="155"/>
      <c r="IO96" s="155"/>
      <c r="IP96" s="155"/>
      <c r="IQ96" s="155"/>
    </row>
    <row r="97" spans="2:251" s="156" customFormat="1" ht="12" hidden="1" customHeight="1">
      <c r="B97" s="199" t="s">
        <v>1212</v>
      </c>
      <c r="C97" s="200"/>
      <c r="D97" s="200"/>
      <c r="E97" s="157"/>
      <c r="F97" s="157"/>
      <c r="G97" s="157"/>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c r="CH97" s="155"/>
      <c r="CI97" s="155"/>
      <c r="CJ97" s="155"/>
      <c r="CK97" s="155"/>
      <c r="CL97" s="155"/>
      <c r="CM97" s="155"/>
      <c r="CN97" s="155"/>
      <c r="CO97" s="155"/>
      <c r="CP97" s="155"/>
      <c r="CQ97" s="155"/>
      <c r="CR97" s="155"/>
      <c r="CS97" s="155"/>
      <c r="CT97" s="155"/>
      <c r="CU97" s="155"/>
      <c r="CV97" s="155"/>
      <c r="CW97" s="155"/>
      <c r="CX97" s="155"/>
      <c r="CY97" s="155"/>
      <c r="CZ97" s="155"/>
      <c r="DA97" s="155"/>
      <c r="DB97" s="155"/>
      <c r="DC97" s="155"/>
      <c r="DD97" s="155"/>
      <c r="DE97" s="155"/>
      <c r="DF97" s="155"/>
      <c r="DG97" s="155"/>
      <c r="DH97" s="155"/>
      <c r="DI97" s="155"/>
      <c r="DJ97" s="155"/>
      <c r="DK97" s="155"/>
      <c r="DL97" s="155"/>
      <c r="DM97" s="155"/>
      <c r="DN97" s="155"/>
      <c r="DO97" s="155"/>
      <c r="DP97" s="155"/>
      <c r="DQ97" s="155"/>
      <c r="DR97" s="155"/>
      <c r="DS97" s="155"/>
      <c r="DT97" s="155"/>
      <c r="DU97" s="155"/>
      <c r="DV97" s="155"/>
      <c r="DW97" s="155"/>
      <c r="DX97" s="155"/>
      <c r="DY97" s="155"/>
      <c r="DZ97" s="155"/>
      <c r="EA97" s="155"/>
      <c r="EB97" s="155"/>
      <c r="EC97" s="155"/>
      <c r="ED97" s="155"/>
      <c r="EE97" s="155"/>
      <c r="EF97" s="155"/>
      <c r="EG97" s="155"/>
      <c r="EH97" s="155"/>
      <c r="EI97" s="155"/>
      <c r="EJ97" s="155"/>
      <c r="EK97" s="155"/>
      <c r="EL97" s="155"/>
      <c r="EM97" s="155"/>
      <c r="EN97" s="155"/>
      <c r="EO97" s="155"/>
      <c r="EP97" s="155"/>
      <c r="EQ97" s="155"/>
      <c r="ER97" s="155"/>
      <c r="ES97" s="155"/>
      <c r="ET97" s="155"/>
      <c r="EU97" s="155"/>
      <c r="EV97" s="155"/>
      <c r="EW97" s="155"/>
      <c r="EX97" s="155"/>
      <c r="EY97" s="155"/>
      <c r="EZ97" s="155"/>
      <c r="FA97" s="155"/>
      <c r="FB97" s="155"/>
      <c r="FC97" s="155"/>
      <c r="FD97" s="155"/>
      <c r="FE97" s="155"/>
      <c r="FF97" s="155"/>
      <c r="FG97" s="155"/>
      <c r="FH97" s="155"/>
      <c r="FI97" s="155"/>
      <c r="FJ97" s="155"/>
      <c r="FK97" s="155"/>
      <c r="FL97" s="155"/>
      <c r="FM97" s="155"/>
      <c r="FN97" s="155"/>
      <c r="FO97" s="155"/>
      <c r="FP97" s="155"/>
      <c r="FQ97" s="155"/>
      <c r="FR97" s="155"/>
      <c r="FS97" s="155"/>
      <c r="FT97" s="155"/>
      <c r="FU97" s="155"/>
      <c r="FV97" s="155"/>
      <c r="FW97" s="155"/>
      <c r="FX97" s="155"/>
      <c r="FY97" s="155"/>
      <c r="FZ97" s="155"/>
      <c r="GA97" s="155"/>
      <c r="GB97" s="155"/>
      <c r="GC97" s="155"/>
      <c r="GD97" s="155"/>
      <c r="GE97" s="155"/>
      <c r="GF97" s="155"/>
      <c r="GG97" s="155"/>
      <c r="GH97" s="155"/>
      <c r="GI97" s="155"/>
      <c r="GJ97" s="155"/>
      <c r="GK97" s="155"/>
      <c r="GL97" s="155"/>
      <c r="GM97" s="155"/>
      <c r="GN97" s="155"/>
      <c r="GO97" s="155"/>
      <c r="GP97" s="155"/>
      <c r="GQ97" s="155"/>
      <c r="GR97" s="155"/>
      <c r="GS97" s="155"/>
      <c r="GT97" s="155"/>
      <c r="GU97" s="155"/>
      <c r="GV97" s="155"/>
      <c r="GW97" s="155"/>
      <c r="GX97" s="155"/>
      <c r="GY97" s="155"/>
      <c r="GZ97" s="155"/>
      <c r="HA97" s="155"/>
      <c r="HB97" s="155"/>
      <c r="HC97" s="155"/>
      <c r="HD97" s="155"/>
      <c r="HE97" s="155"/>
      <c r="HF97" s="155"/>
      <c r="HG97" s="155"/>
      <c r="HH97" s="155"/>
      <c r="HI97" s="155"/>
      <c r="HJ97" s="155"/>
      <c r="HK97" s="155"/>
      <c r="HL97" s="155"/>
      <c r="HM97" s="155"/>
      <c r="HN97" s="155"/>
      <c r="HO97" s="155"/>
      <c r="HP97" s="155"/>
      <c r="HQ97" s="155"/>
      <c r="HR97" s="155"/>
      <c r="HS97" s="155"/>
      <c r="HT97" s="155"/>
      <c r="HU97" s="155"/>
      <c r="HV97" s="155"/>
      <c r="HW97" s="155"/>
      <c r="HX97" s="155"/>
      <c r="HY97" s="155"/>
      <c r="HZ97" s="155"/>
      <c r="IA97" s="155"/>
      <c r="IB97" s="155"/>
      <c r="IC97" s="155"/>
      <c r="ID97" s="155"/>
      <c r="IE97" s="155"/>
      <c r="IF97" s="155"/>
      <c r="IG97" s="155"/>
      <c r="IH97" s="155"/>
      <c r="II97" s="155"/>
      <c r="IJ97" s="155"/>
      <c r="IK97" s="155"/>
      <c r="IL97" s="155"/>
      <c r="IM97" s="155"/>
      <c r="IN97" s="155"/>
      <c r="IO97" s="155"/>
      <c r="IP97" s="155"/>
      <c r="IQ97" s="155"/>
    </row>
    <row r="98" spans="2:251" s="156" customFormat="1" ht="12" hidden="1" customHeight="1">
      <c r="B98" s="199" t="s">
        <v>1213</v>
      </c>
      <c r="C98" s="200"/>
      <c r="D98" s="200"/>
      <c r="E98" s="157"/>
      <c r="F98" s="157"/>
      <c r="G98" s="157"/>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c r="CA98" s="155"/>
      <c r="CB98" s="155"/>
      <c r="CC98" s="155"/>
      <c r="CD98" s="155"/>
      <c r="CE98" s="155"/>
      <c r="CF98" s="155"/>
      <c r="CG98" s="155"/>
      <c r="CH98" s="155"/>
      <c r="CI98" s="155"/>
      <c r="CJ98" s="155"/>
      <c r="CK98" s="155"/>
      <c r="CL98" s="155"/>
      <c r="CM98" s="155"/>
      <c r="CN98" s="155"/>
      <c r="CO98" s="155"/>
      <c r="CP98" s="155"/>
      <c r="CQ98" s="155"/>
      <c r="CR98" s="155"/>
      <c r="CS98" s="155"/>
      <c r="CT98" s="155"/>
      <c r="CU98" s="155"/>
      <c r="CV98" s="155"/>
      <c r="CW98" s="155"/>
      <c r="CX98" s="155"/>
      <c r="CY98" s="155"/>
      <c r="CZ98" s="155"/>
      <c r="DA98" s="155"/>
      <c r="DB98" s="155"/>
      <c r="DC98" s="155"/>
      <c r="DD98" s="155"/>
      <c r="DE98" s="155"/>
      <c r="DF98" s="155"/>
      <c r="DG98" s="155"/>
      <c r="DH98" s="155"/>
      <c r="DI98" s="155"/>
      <c r="DJ98" s="155"/>
      <c r="DK98" s="155"/>
      <c r="DL98" s="155"/>
      <c r="DM98" s="155"/>
      <c r="DN98" s="155"/>
      <c r="DO98" s="155"/>
      <c r="DP98" s="155"/>
      <c r="DQ98" s="155"/>
      <c r="DR98" s="155"/>
      <c r="DS98" s="155"/>
      <c r="DT98" s="155"/>
      <c r="DU98" s="155"/>
      <c r="DV98" s="155"/>
      <c r="DW98" s="155"/>
      <c r="DX98" s="155"/>
      <c r="DY98" s="155"/>
      <c r="DZ98" s="155"/>
      <c r="EA98" s="155"/>
      <c r="EB98" s="155"/>
      <c r="EC98" s="155"/>
      <c r="ED98" s="155"/>
      <c r="EE98" s="155"/>
      <c r="EF98" s="155"/>
      <c r="EG98" s="155"/>
      <c r="EH98" s="155"/>
      <c r="EI98" s="155"/>
      <c r="EJ98" s="155"/>
      <c r="EK98" s="155"/>
      <c r="EL98" s="155"/>
      <c r="EM98" s="155"/>
      <c r="EN98" s="155"/>
      <c r="EO98" s="155"/>
      <c r="EP98" s="155"/>
      <c r="EQ98" s="155"/>
      <c r="ER98" s="155"/>
      <c r="ES98" s="155"/>
      <c r="ET98" s="155"/>
      <c r="EU98" s="155"/>
      <c r="EV98" s="155"/>
      <c r="EW98" s="155"/>
      <c r="EX98" s="155"/>
      <c r="EY98" s="155"/>
      <c r="EZ98" s="155"/>
      <c r="FA98" s="155"/>
      <c r="FB98" s="155"/>
      <c r="FC98" s="155"/>
      <c r="FD98" s="155"/>
      <c r="FE98" s="155"/>
      <c r="FF98" s="155"/>
      <c r="FG98" s="155"/>
      <c r="FH98" s="155"/>
      <c r="FI98" s="155"/>
      <c r="FJ98" s="155"/>
      <c r="FK98" s="155"/>
      <c r="FL98" s="155"/>
      <c r="FM98" s="155"/>
      <c r="FN98" s="155"/>
      <c r="FO98" s="155"/>
      <c r="FP98" s="155"/>
      <c r="FQ98" s="155"/>
      <c r="FR98" s="155"/>
      <c r="FS98" s="155"/>
      <c r="FT98" s="155"/>
      <c r="FU98" s="155"/>
      <c r="FV98" s="155"/>
      <c r="FW98" s="155"/>
      <c r="FX98" s="155"/>
      <c r="FY98" s="155"/>
      <c r="FZ98" s="155"/>
      <c r="GA98" s="155"/>
      <c r="GB98" s="155"/>
      <c r="GC98" s="155"/>
      <c r="GD98" s="155"/>
      <c r="GE98" s="155"/>
      <c r="GF98" s="155"/>
      <c r="GG98" s="155"/>
      <c r="GH98" s="155"/>
      <c r="GI98" s="155"/>
      <c r="GJ98" s="155"/>
      <c r="GK98" s="155"/>
      <c r="GL98" s="155"/>
      <c r="GM98" s="155"/>
      <c r="GN98" s="155"/>
      <c r="GO98" s="155"/>
      <c r="GP98" s="155"/>
      <c r="GQ98" s="155"/>
      <c r="GR98" s="155"/>
      <c r="GS98" s="155"/>
      <c r="GT98" s="155"/>
      <c r="GU98" s="155"/>
      <c r="GV98" s="155"/>
      <c r="GW98" s="155"/>
      <c r="GX98" s="155"/>
      <c r="GY98" s="155"/>
      <c r="GZ98" s="155"/>
      <c r="HA98" s="155"/>
      <c r="HB98" s="155"/>
      <c r="HC98" s="155"/>
      <c r="HD98" s="155"/>
      <c r="HE98" s="155"/>
      <c r="HF98" s="155"/>
      <c r="HG98" s="155"/>
      <c r="HH98" s="155"/>
      <c r="HI98" s="155"/>
      <c r="HJ98" s="155"/>
      <c r="HK98" s="155"/>
      <c r="HL98" s="155"/>
      <c r="HM98" s="155"/>
      <c r="HN98" s="155"/>
      <c r="HO98" s="155"/>
      <c r="HP98" s="155"/>
      <c r="HQ98" s="155"/>
      <c r="HR98" s="155"/>
      <c r="HS98" s="155"/>
      <c r="HT98" s="155"/>
      <c r="HU98" s="155"/>
      <c r="HV98" s="155"/>
      <c r="HW98" s="155"/>
      <c r="HX98" s="155"/>
      <c r="HY98" s="155"/>
      <c r="HZ98" s="155"/>
      <c r="IA98" s="155"/>
      <c r="IB98" s="155"/>
      <c r="IC98" s="155"/>
      <c r="ID98" s="155"/>
      <c r="IE98" s="155"/>
      <c r="IF98" s="155"/>
      <c r="IG98" s="155"/>
      <c r="IH98" s="155"/>
      <c r="II98" s="155"/>
      <c r="IJ98" s="155"/>
      <c r="IK98" s="155"/>
      <c r="IL98" s="155"/>
      <c r="IM98" s="155"/>
      <c r="IN98" s="155"/>
      <c r="IO98" s="155"/>
      <c r="IP98" s="155"/>
      <c r="IQ98" s="155"/>
    </row>
    <row r="99" spans="2:251" s="156" customFormat="1" ht="12" hidden="1" customHeight="1">
      <c r="B99" s="199" t="s">
        <v>1214</v>
      </c>
      <c r="C99" s="200"/>
      <c r="D99" s="200"/>
      <c r="E99" s="157"/>
      <c r="F99" s="157"/>
      <c r="G99" s="157"/>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c r="CI99" s="155"/>
      <c r="CJ99" s="155"/>
      <c r="CK99" s="155"/>
      <c r="CL99" s="155"/>
      <c r="CM99" s="155"/>
      <c r="CN99" s="155"/>
      <c r="CO99" s="155"/>
      <c r="CP99" s="155"/>
      <c r="CQ99" s="155"/>
      <c r="CR99" s="155"/>
      <c r="CS99" s="155"/>
      <c r="CT99" s="155"/>
      <c r="CU99" s="155"/>
      <c r="CV99" s="155"/>
      <c r="CW99" s="155"/>
      <c r="CX99" s="155"/>
      <c r="CY99" s="155"/>
      <c r="CZ99" s="155"/>
      <c r="DA99" s="155"/>
      <c r="DB99" s="155"/>
      <c r="DC99" s="155"/>
      <c r="DD99" s="155"/>
      <c r="DE99" s="155"/>
      <c r="DF99" s="155"/>
      <c r="DG99" s="155"/>
      <c r="DH99" s="155"/>
      <c r="DI99" s="155"/>
      <c r="DJ99" s="155"/>
      <c r="DK99" s="155"/>
      <c r="DL99" s="155"/>
      <c r="DM99" s="155"/>
      <c r="DN99" s="155"/>
      <c r="DO99" s="155"/>
      <c r="DP99" s="155"/>
      <c r="DQ99" s="155"/>
      <c r="DR99" s="155"/>
      <c r="DS99" s="155"/>
      <c r="DT99" s="155"/>
      <c r="DU99" s="155"/>
      <c r="DV99" s="155"/>
      <c r="DW99" s="155"/>
      <c r="DX99" s="155"/>
      <c r="DY99" s="155"/>
      <c r="DZ99" s="155"/>
      <c r="EA99" s="155"/>
      <c r="EB99" s="155"/>
      <c r="EC99" s="155"/>
      <c r="ED99" s="155"/>
      <c r="EE99" s="155"/>
      <c r="EF99" s="155"/>
      <c r="EG99" s="155"/>
      <c r="EH99" s="155"/>
      <c r="EI99" s="155"/>
      <c r="EJ99" s="155"/>
      <c r="EK99" s="155"/>
      <c r="EL99" s="155"/>
      <c r="EM99" s="155"/>
      <c r="EN99" s="155"/>
      <c r="EO99" s="155"/>
      <c r="EP99" s="155"/>
      <c r="EQ99" s="155"/>
      <c r="ER99" s="155"/>
      <c r="ES99" s="155"/>
      <c r="ET99" s="155"/>
      <c r="EU99" s="155"/>
      <c r="EV99" s="155"/>
      <c r="EW99" s="155"/>
      <c r="EX99" s="155"/>
      <c r="EY99" s="155"/>
      <c r="EZ99" s="155"/>
      <c r="FA99" s="155"/>
      <c r="FB99" s="155"/>
      <c r="FC99" s="155"/>
      <c r="FD99" s="155"/>
      <c r="FE99" s="155"/>
      <c r="FF99" s="155"/>
      <c r="FG99" s="155"/>
      <c r="FH99" s="155"/>
      <c r="FI99" s="155"/>
      <c r="FJ99" s="155"/>
      <c r="FK99" s="155"/>
      <c r="FL99" s="155"/>
      <c r="FM99" s="155"/>
      <c r="FN99" s="155"/>
      <c r="FO99" s="155"/>
      <c r="FP99" s="155"/>
      <c r="FQ99" s="155"/>
      <c r="FR99" s="155"/>
      <c r="FS99" s="155"/>
      <c r="FT99" s="155"/>
      <c r="FU99" s="155"/>
      <c r="FV99" s="155"/>
      <c r="FW99" s="155"/>
      <c r="FX99" s="155"/>
      <c r="FY99" s="155"/>
      <c r="FZ99" s="155"/>
      <c r="GA99" s="155"/>
      <c r="GB99" s="155"/>
      <c r="GC99" s="155"/>
      <c r="GD99" s="155"/>
      <c r="GE99" s="155"/>
      <c r="GF99" s="155"/>
      <c r="GG99" s="155"/>
      <c r="GH99" s="155"/>
      <c r="GI99" s="155"/>
      <c r="GJ99" s="155"/>
      <c r="GK99" s="155"/>
      <c r="GL99" s="155"/>
      <c r="GM99" s="155"/>
      <c r="GN99" s="155"/>
      <c r="GO99" s="155"/>
      <c r="GP99" s="155"/>
      <c r="GQ99" s="155"/>
      <c r="GR99" s="155"/>
      <c r="GS99" s="155"/>
      <c r="GT99" s="155"/>
      <c r="GU99" s="155"/>
      <c r="GV99" s="155"/>
      <c r="GW99" s="155"/>
      <c r="GX99" s="155"/>
      <c r="GY99" s="155"/>
      <c r="GZ99" s="155"/>
      <c r="HA99" s="155"/>
      <c r="HB99" s="155"/>
      <c r="HC99" s="155"/>
      <c r="HD99" s="155"/>
      <c r="HE99" s="155"/>
      <c r="HF99" s="155"/>
      <c r="HG99" s="155"/>
      <c r="HH99" s="155"/>
      <c r="HI99" s="155"/>
      <c r="HJ99" s="155"/>
      <c r="HK99" s="155"/>
      <c r="HL99" s="155"/>
      <c r="HM99" s="155"/>
      <c r="HN99" s="155"/>
      <c r="HO99" s="155"/>
      <c r="HP99" s="155"/>
      <c r="HQ99" s="155"/>
      <c r="HR99" s="155"/>
      <c r="HS99" s="155"/>
      <c r="HT99" s="155"/>
      <c r="HU99" s="155"/>
      <c r="HV99" s="155"/>
      <c r="HW99" s="155"/>
      <c r="HX99" s="155"/>
      <c r="HY99" s="155"/>
      <c r="HZ99" s="155"/>
      <c r="IA99" s="155"/>
      <c r="IB99" s="155"/>
      <c r="IC99" s="155"/>
      <c r="ID99" s="155"/>
      <c r="IE99" s="155"/>
      <c r="IF99" s="155"/>
      <c r="IG99" s="155"/>
      <c r="IH99" s="155"/>
      <c r="II99" s="155"/>
      <c r="IJ99" s="155"/>
      <c r="IK99" s="155"/>
      <c r="IL99" s="155"/>
      <c r="IM99" s="155"/>
      <c r="IN99" s="155"/>
      <c r="IO99" s="155"/>
      <c r="IP99" s="155"/>
      <c r="IQ99" s="155"/>
    </row>
    <row r="100" spans="2:251" s="156" customFormat="1" ht="12" hidden="1" customHeight="1">
      <c r="B100" s="199" t="s">
        <v>1215</v>
      </c>
      <c r="C100" s="200"/>
      <c r="D100" s="200"/>
      <c r="E100" s="157"/>
      <c r="F100" s="157"/>
      <c r="G100" s="157"/>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c r="CI100" s="155"/>
      <c r="CJ100" s="155"/>
      <c r="CK100" s="155"/>
      <c r="CL100" s="155"/>
      <c r="CM100" s="155"/>
      <c r="CN100" s="155"/>
      <c r="CO100" s="155"/>
      <c r="CP100" s="155"/>
      <c r="CQ100" s="155"/>
      <c r="CR100" s="155"/>
      <c r="CS100" s="155"/>
      <c r="CT100" s="155"/>
      <c r="CU100" s="155"/>
      <c r="CV100" s="155"/>
      <c r="CW100" s="155"/>
      <c r="CX100" s="155"/>
      <c r="CY100" s="155"/>
      <c r="CZ100" s="155"/>
      <c r="DA100" s="155"/>
      <c r="DB100" s="155"/>
      <c r="DC100" s="155"/>
      <c r="DD100" s="155"/>
      <c r="DE100" s="155"/>
      <c r="DF100" s="155"/>
      <c r="DG100" s="155"/>
      <c r="DH100" s="155"/>
      <c r="DI100" s="155"/>
      <c r="DJ100" s="155"/>
      <c r="DK100" s="155"/>
      <c r="DL100" s="155"/>
      <c r="DM100" s="155"/>
      <c r="DN100" s="155"/>
      <c r="DO100" s="155"/>
      <c r="DP100" s="155"/>
      <c r="DQ100" s="155"/>
      <c r="DR100" s="155"/>
      <c r="DS100" s="155"/>
      <c r="DT100" s="155"/>
      <c r="DU100" s="155"/>
      <c r="DV100" s="155"/>
      <c r="DW100" s="155"/>
      <c r="DX100" s="155"/>
      <c r="DY100" s="155"/>
      <c r="DZ100" s="155"/>
      <c r="EA100" s="155"/>
      <c r="EB100" s="155"/>
      <c r="EC100" s="155"/>
      <c r="ED100" s="155"/>
      <c r="EE100" s="155"/>
      <c r="EF100" s="155"/>
      <c r="EG100" s="155"/>
      <c r="EH100" s="155"/>
      <c r="EI100" s="155"/>
      <c r="EJ100" s="155"/>
      <c r="EK100" s="155"/>
      <c r="EL100" s="155"/>
      <c r="EM100" s="155"/>
      <c r="EN100" s="155"/>
      <c r="EO100" s="155"/>
      <c r="EP100" s="155"/>
      <c r="EQ100" s="155"/>
      <c r="ER100" s="155"/>
      <c r="ES100" s="155"/>
      <c r="ET100" s="155"/>
      <c r="EU100" s="155"/>
      <c r="EV100" s="155"/>
      <c r="EW100" s="155"/>
      <c r="EX100" s="155"/>
      <c r="EY100" s="155"/>
      <c r="EZ100" s="155"/>
      <c r="FA100" s="155"/>
      <c r="FB100" s="155"/>
      <c r="FC100" s="155"/>
      <c r="FD100" s="155"/>
      <c r="FE100" s="155"/>
      <c r="FF100" s="155"/>
      <c r="FG100" s="155"/>
      <c r="FH100" s="155"/>
      <c r="FI100" s="155"/>
      <c r="FJ100" s="155"/>
      <c r="FK100" s="155"/>
      <c r="FL100" s="155"/>
      <c r="FM100" s="155"/>
      <c r="FN100" s="155"/>
      <c r="FO100" s="155"/>
      <c r="FP100" s="155"/>
      <c r="FQ100" s="155"/>
      <c r="FR100" s="155"/>
      <c r="FS100" s="155"/>
      <c r="FT100" s="155"/>
      <c r="FU100" s="155"/>
      <c r="FV100" s="155"/>
      <c r="FW100" s="155"/>
      <c r="FX100" s="155"/>
      <c r="FY100" s="155"/>
      <c r="FZ100" s="155"/>
      <c r="GA100" s="155"/>
      <c r="GB100" s="155"/>
      <c r="GC100" s="155"/>
      <c r="GD100" s="155"/>
      <c r="GE100" s="155"/>
      <c r="GF100" s="155"/>
      <c r="GG100" s="155"/>
      <c r="GH100" s="155"/>
      <c r="GI100" s="155"/>
      <c r="GJ100" s="155"/>
      <c r="GK100" s="155"/>
      <c r="GL100" s="155"/>
      <c r="GM100" s="155"/>
      <c r="GN100" s="155"/>
      <c r="GO100" s="155"/>
      <c r="GP100" s="155"/>
      <c r="GQ100" s="155"/>
      <c r="GR100" s="155"/>
      <c r="GS100" s="155"/>
      <c r="GT100" s="155"/>
      <c r="GU100" s="155"/>
      <c r="GV100" s="155"/>
      <c r="GW100" s="155"/>
      <c r="GX100" s="155"/>
      <c r="GY100" s="155"/>
      <c r="GZ100" s="155"/>
      <c r="HA100" s="155"/>
      <c r="HB100" s="155"/>
      <c r="HC100" s="155"/>
      <c r="HD100" s="155"/>
      <c r="HE100" s="155"/>
      <c r="HF100" s="155"/>
      <c r="HG100" s="155"/>
      <c r="HH100" s="155"/>
      <c r="HI100" s="155"/>
      <c r="HJ100" s="155"/>
      <c r="HK100" s="155"/>
      <c r="HL100" s="155"/>
      <c r="HM100" s="155"/>
      <c r="HN100" s="155"/>
      <c r="HO100" s="155"/>
      <c r="HP100" s="155"/>
      <c r="HQ100" s="155"/>
      <c r="HR100" s="155"/>
      <c r="HS100" s="155"/>
      <c r="HT100" s="155"/>
      <c r="HU100" s="155"/>
      <c r="HV100" s="155"/>
      <c r="HW100" s="155"/>
      <c r="HX100" s="155"/>
      <c r="HY100" s="155"/>
      <c r="HZ100" s="155"/>
      <c r="IA100" s="155"/>
      <c r="IB100" s="155"/>
      <c r="IC100" s="155"/>
      <c r="ID100" s="155"/>
      <c r="IE100" s="155"/>
      <c r="IF100" s="155"/>
      <c r="IG100" s="155"/>
      <c r="IH100" s="155"/>
      <c r="II100" s="155"/>
      <c r="IJ100" s="155"/>
      <c r="IK100" s="155"/>
      <c r="IL100" s="155"/>
      <c r="IM100" s="155"/>
      <c r="IN100" s="155"/>
      <c r="IO100" s="155"/>
      <c r="IP100" s="155"/>
      <c r="IQ100" s="155"/>
    </row>
    <row r="101" spans="2:251" s="156" customFormat="1" ht="12" hidden="1" customHeight="1">
      <c r="B101" s="199" t="s">
        <v>1216</v>
      </c>
      <c r="C101" s="200"/>
      <c r="D101" s="200"/>
      <c r="E101" s="157"/>
      <c r="F101" s="157"/>
      <c r="G101" s="157"/>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c r="CI101" s="155"/>
      <c r="CJ101" s="155"/>
      <c r="CK101" s="155"/>
      <c r="CL101" s="155"/>
      <c r="CM101" s="155"/>
      <c r="CN101" s="155"/>
      <c r="CO101" s="155"/>
      <c r="CP101" s="155"/>
      <c r="CQ101" s="155"/>
      <c r="CR101" s="155"/>
      <c r="CS101" s="155"/>
      <c r="CT101" s="155"/>
      <c r="CU101" s="155"/>
      <c r="CV101" s="155"/>
      <c r="CW101" s="155"/>
      <c r="CX101" s="155"/>
      <c r="CY101" s="155"/>
      <c r="CZ101" s="155"/>
      <c r="DA101" s="155"/>
      <c r="DB101" s="155"/>
      <c r="DC101" s="155"/>
      <c r="DD101" s="155"/>
      <c r="DE101" s="155"/>
      <c r="DF101" s="155"/>
      <c r="DG101" s="155"/>
      <c r="DH101" s="155"/>
      <c r="DI101" s="155"/>
      <c r="DJ101" s="155"/>
      <c r="DK101" s="155"/>
      <c r="DL101" s="155"/>
      <c r="DM101" s="155"/>
      <c r="DN101" s="155"/>
      <c r="DO101" s="155"/>
      <c r="DP101" s="155"/>
      <c r="DQ101" s="155"/>
      <c r="DR101" s="155"/>
      <c r="DS101" s="155"/>
      <c r="DT101" s="155"/>
      <c r="DU101" s="155"/>
      <c r="DV101" s="155"/>
      <c r="DW101" s="155"/>
      <c r="DX101" s="155"/>
      <c r="DY101" s="155"/>
      <c r="DZ101" s="155"/>
      <c r="EA101" s="155"/>
      <c r="EB101" s="155"/>
      <c r="EC101" s="155"/>
      <c r="ED101" s="155"/>
      <c r="EE101" s="155"/>
      <c r="EF101" s="155"/>
      <c r="EG101" s="155"/>
      <c r="EH101" s="155"/>
      <c r="EI101" s="155"/>
      <c r="EJ101" s="155"/>
      <c r="EK101" s="155"/>
      <c r="EL101" s="155"/>
      <c r="EM101" s="155"/>
      <c r="EN101" s="155"/>
      <c r="EO101" s="155"/>
      <c r="EP101" s="155"/>
      <c r="EQ101" s="155"/>
      <c r="ER101" s="155"/>
      <c r="ES101" s="155"/>
      <c r="ET101" s="155"/>
      <c r="EU101" s="155"/>
      <c r="EV101" s="155"/>
      <c r="EW101" s="155"/>
      <c r="EX101" s="155"/>
      <c r="EY101" s="155"/>
      <c r="EZ101" s="155"/>
      <c r="FA101" s="155"/>
      <c r="FB101" s="155"/>
      <c r="FC101" s="155"/>
      <c r="FD101" s="155"/>
      <c r="FE101" s="155"/>
      <c r="FF101" s="155"/>
      <c r="FG101" s="155"/>
      <c r="FH101" s="155"/>
      <c r="FI101" s="155"/>
      <c r="FJ101" s="155"/>
      <c r="FK101" s="155"/>
      <c r="FL101" s="155"/>
      <c r="FM101" s="155"/>
      <c r="FN101" s="155"/>
      <c r="FO101" s="155"/>
      <c r="FP101" s="155"/>
      <c r="FQ101" s="155"/>
      <c r="FR101" s="155"/>
      <c r="FS101" s="155"/>
      <c r="FT101" s="155"/>
      <c r="FU101" s="155"/>
      <c r="FV101" s="155"/>
      <c r="FW101" s="155"/>
      <c r="FX101" s="155"/>
      <c r="FY101" s="155"/>
      <c r="FZ101" s="155"/>
      <c r="GA101" s="155"/>
      <c r="GB101" s="155"/>
      <c r="GC101" s="155"/>
      <c r="GD101" s="155"/>
      <c r="GE101" s="155"/>
      <c r="GF101" s="155"/>
      <c r="GG101" s="155"/>
      <c r="GH101" s="155"/>
      <c r="GI101" s="155"/>
      <c r="GJ101" s="155"/>
      <c r="GK101" s="155"/>
      <c r="GL101" s="155"/>
      <c r="GM101" s="155"/>
      <c r="GN101" s="155"/>
      <c r="GO101" s="155"/>
      <c r="GP101" s="155"/>
      <c r="GQ101" s="155"/>
      <c r="GR101" s="155"/>
      <c r="GS101" s="155"/>
      <c r="GT101" s="155"/>
      <c r="GU101" s="155"/>
      <c r="GV101" s="155"/>
      <c r="GW101" s="155"/>
      <c r="GX101" s="155"/>
      <c r="GY101" s="155"/>
      <c r="GZ101" s="155"/>
      <c r="HA101" s="155"/>
      <c r="HB101" s="155"/>
      <c r="HC101" s="155"/>
      <c r="HD101" s="155"/>
      <c r="HE101" s="155"/>
      <c r="HF101" s="155"/>
      <c r="HG101" s="155"/>
      <c r="HH101" s="155"/>
      <c r="HI101" s="155"/>
      <c r="HJ101" s="155"/>
      <c r="HK101" s="155"/>
      <c r="HL101" s="155"/>
      <c r="HM101" s="155"/>
      <c r="HN101" s="155"/>
      <c r="HO101" s="155"/>
      <c r="HP101" s="155"/>
      <c r="HQ101" s="155"/>
      <c r="HR101" s="155"/>
      <c r="HS101" s="155"/>
      <c r="HT101" s="155"/>
      <c r="HU101" s="155"/>
      <c r="HV101" s="155"/>
      <c r="HW101" s="155"/>
      <c r="HX101" s="155"/>
      <c r="HY101" s="155"/>
      <c r="HZ101" s="155"/>
      <c r="IA101" s="155"/>
      <c r="IB101" s="155"/>
      <c r="IC101" s="155"/>
      <c r="ID101" s="155"/>
      <c r="IE101" s="155"/>
      <c r="IF101" s="155"/>
      <c r="IG101" s="155"/>
      <c r="IH101" s="155"/>
      <c r="II101" s="155"/>
      <c r="IJ101" s="155"/>
      <c r="IK101" s="155"/>
      <c r="IL101" s="155"/>
      <c r="IM101" s="155"/>
      <c r="IN101" s="155"/>
      <c r="IO101" s="155"/>
      <c r="IP101" s="155"/>
      <c r="IQ101" s="155"/>
    </row>
    <row r="102" spans="2:251" s="156" customFormat="1" ht="12" hidden="1" customHeight="1">
      <c r="B102" s="199" t="s">
        <v>1217</v>
      </c>
      <c r="C102" s="200"/>
      <c r="D102" s="200"/>
      <c r="E102" s="157"/>
      <c r="F102" s="157"/>
      <c r="G102" s="157"/>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c r="DF102" s="155"/>
      <c r="DG102" s="155"/>
      <c r="DH102" s="155"/>
      <c r="DI102" s="155"/>
      <c r="DJ102" s="155"/>
      <c r="DK102" s="155"/>
      <c r="DL102" s="155"/>
      <c r="DM102" s="155"/>
      <c r="DN102" s="155"/>
      <c r="DO102" s="155"/>
      <c r="DP102" s="155"/>
      <c r="DQ102" s="155"/>
      <c r="DR102" s="155"/>
      <c r="DS102" s="155"/>
      <c r="DT102" s="155"/>
      <c r="DU102" s="155"/>
      <c r="DV102" s="155"/>
      <c r="DW102" s="155"/>
      <c r="DX102" s="155"/>
      <c r="DY102" s="155"/>
      <c r="DZ102" s="155"/>
      <c r="EA102" s="155"/>
      <c r="EB102" s="155"/>
      <c r="EC102" s="155"/>
      <c r="ED102" s="155"/>
      <c r="EE102" s="155"/>
      <c r="EF102" s="155"/>
      <c r="EG102" s="155"/>
      <c r="EH102" s="155"/>
      <c r="EI102" s="155"/>
      <c r="EJ102" s="155"/>
      <c r="EK102" s="155"/>
      <c r="EL102" s="155"/>
      <c r="EM102" s="155"/>
      <c r="EN102" s="155"/>
      <c r="EO102" s="155"/>
      <c r="EP102" s="155"/>
      <c r="EQ102" s="155"/>
      <c r="ER102" s="155"/>
      <c r="ES102" s="155"/>
      <c r="ET102" s="155"/>
      <c r="EU102" s="155"/>
      <c r="EV102" s="155"/>
      <c r="EW102" s="155"/>
      <c r="EX102" s="155"/>
      <c r="EY102" s="155"/>
      <c r="EZ102" s="155"/>
      <c r="FA102" s="155"/>
      <c r="FB102" s="155"/>
      <c r="FC102" s="155"/>
      <c r="FD102" s="155"/>
      <c r="FE102" s="155"/>
      <c r="FF102" s="155"/>
      <c r="FG102" s="155"/>
      <c r="FH102" s="155"/>
      <c r="FI102" s="155"/>
      <c r="FJ102" s="155"/>
      <c r="FK102" s="155"/>
      <c r="FL102" s="155"/>
      <c r="FM102" s="155"/>
      <c r="FN102" s="155"/>
      <c r="FO102" s="155"/>
      <c r="FP102" s="155"/>
      <c r="FQ102" s="155"/>
      <c r="FR102" s="155"/>
      <c r="FS102" s="155"/>
      <c r="FT102" s="155"/>
      <c r="FU102" s="155"/>
      <c r="FV102" s="155"/>
      <c r="FW102" s="155"/>
      <c r="FX102" s="155"/>
      <c r="FY102" s="155"/>
      <c r="FZ102" s="155"/>
      <c r="GA102" s="155"/>
      <c r="GB102" s="155"/>
      <c r="GC102" s="155"/>
      <c r="GD102" s="155"/>
      <c r="GE102" s="155"/>
      <c r="GF102" s="155"/>
      <c r="GG102" s="155"/>
      <c r="GH102" s="155"/>
      <c r="GI102" s="155"/>
      <c r="GJ102" s="155"/>
      <c r="GK102" s="155"/>
      <c r="GL102" s="155"/>
      <c r="GM102" s="155"/>
      <c r="GN102" s="155"/>
      <c r="GO102" s="155"/>
      <c r="GP102" s="155"/>
      <c r="GQ102" s="155"/>
      <c r="GR102" s="155"/>
      <c r="GS102" s="155"/>
      <c r="GT102" s="155"/>
      <c r="GU102" s="155"/>
      <c r="GV102" s="155"/>
      <c r="GW102" s="155"/>
      <c r="GX102" s="155"/>
      <c r="GY102" s="155"/>
      <c r="GZ102" s="155"/>
      <c r="HA102" s="155"/>
      <c r="HB102" s="155"/>
      <c r="HC102" s="155"/>
      <c r="HD102" s="155"/>
      <c r="HE102" s="155"/>
      <c r="HF102" s="155"/>
      <c r="HG102" s="155"/>
      <c r="HH102" s="155"/>
      <c r="HI102" s="155"/>
      <c r="HJ102" s="155"/>
      <c r="HK102" s="155"/>
      <c r="HL102" s="155"/>
      <c r="HM102" s="155"/>
      <c r="HN102" s="155"/>
      <c r="HO102" s="155"/>
      <c r="HP102" s="155"/>
      <c r="HQ102" s="155"/>
      <c r="HR102" s="155"/>
      <c r="HS102" s="155"/>
      <c r="HT102" s="155"/>
      <c r="HU102" s="155"/>
      <c r="HV102" s="155"/>
      <c r="HW102" s="155"/>
      <c r="HX102" s="155"/>
      <c r="HY102" s="155"/>
      <c r="HZ102" s="155"/>
      <c r="IA102" s="155"/>
      <c r="IB102" s="155"/>
      <c r="IC102" s="155"/>
      <c r="ID102" s="155"/>
      <c r="IE102" s="155"/>
      <c r="IF102" s="155"/>
      <c r="IG102" s="155"/>
      <c r="IH102" s="155"/>
      <c r="II102" s="155"/>
      <c r="IJ102" s="155"/>
      <c r="IK102" s="155"/>
      <c r="IL102" s="155"/>
      <c r="IM102" s="155"/>
      <c r="IN102" s="155"/>
      <c r="IO102" s="155"/>
      <c r="IP102" s="155"/>
      <c r="IQ102" s="155"/>
    </row>
    <row r="103" spans="2:251" s="156" customFormat="1" ht="12" hidden="1" customHeight="1">
      <c r="B103" s="199" t="s">
        <v>1218</v>
      </c>
      <c r="C103" s="200"/>
      <c r="D103" s="200"/>
      <c r="E103" s="157"/>
      <c r="F103" s="157"/>
      <c r="G103" s="157"/>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c r="DF103" s="155"/>
      <c r="DG103" s="155"/>
      <c r="DH103" s="155"/>
      <c r="DI103" s="155"/>
      <c r="DJ103" s="155"/>
      <c r="DK103" s="155"/>
      <c r="DL103" s="155"/>
      <c r="DM103" s="155"/>
      <c r="DN103" s="155"/>
      <c r="DO103" s="155"/>
      <c r="DP103" s="155"/>
      <c r="DQ103" s="155"/>
      <c r="DR103" s="155"/>
      <c r="DS103" s="155"/>
      <c r="DT103" s="155"/>
      <c r="DU103" s="155"/>
      <c r="DV103" s="155"/>
      <c r="DW103" s="155"/>
      <c r="DX103" s="155"/>
      <c r="DY103" s="155"/>
      <c r="DZ103" s="155"/>
      <c r="EA103" s="155"/>
      <c r="EB103" s="155"/>
      <c r="EC103" s="155"/>
      <c r="ED103" s="155"/>
      <c r="EE103" s="155"/>
      <c r="EF103" s="155"/>
      <c r="EG103" s="155"/>
      <c r="EH103" s="155"/>
      <c r="EI103" s="155"/>
      <c r="EJ103" s="155"/>
      <c r="EK103" s="155"/>
      <c r="EL103" s="155"/>
      <c r="EM103" s="155"/>
      <c r="EN103" s="155"/>
      <c r="EO103" s="155"/>
      <c r="EP103" s="155"/>
      <c r="EQ103" s="155"/>
      <c r="ER103" s="155"/>
      <c r="ES103" s="155"/>
      <c r="ET103" s="155"/>
      <c r="EU103" s="155"/>
      <c r="EV103" s="155"/>
      <c r="EW103" s="155"/>
      <c r="EX103" s="155"/>
      <c r="EY103" s="155"/>
      <c r="EZ103" s="155"/>
      <c r="FA103" s="155"/>
      <c r="FB103" s="155"/>
      <c r="FC103" s="155"/>
      <c r="FD103" s="155"/>
      <c r="FE103" s="155"/>
      <c r="FF103" s="155"/>
      <c r="FG103" s="155"/>
      <c r="FH103" s="155"/>
      <c r="FI103" s="155"/>
      <c r="FJ103" s="155"/>
      <c r="FK103" s="155"/>
      <c r="FL103" s="155"/>
      <c r="FM103" s="155"/>
      <c r="FN103" s="155"/>
      <c r="FO103" s="155"/>
      <c r="FP103" s="155"/>
      <c r="FQ103" s="155"/>
      <c r="FR103" s="155"/>
      <c r="FS103" s="155"/>
      <c r="FT103" s="155"/>
      <c r="FU103" s="155"/>
      <c r="FV103" s="155"/>
      <c r="FW103" s="155"/>
      <c r="FX103" s="155"/>
      <c r="FY103" s="155"/>
      <c r="FZ103" s="155"/>
      <c r="GA103" s="155"/>
      <c r="GB103" s="155"/>
      <c r="GC103" s="155"/>
      <c r="GD103" s="155"/>
      <c r="GE103" s="155"/>
      <c r="GF103" s="155"/>
      <c r="GG103" s="155"/>
      <c r="GH103" s="155"/>
      <c r="GI103" s="155"/>
      <c r="GJ103" s="155"/>
      <c r="GK103" s="155"/>
      <c r="GL103" s="155"/>
      <c r="GM103" s="155"/>
      <c r="GN103" s="155"/>
      <c r="GO103" s="155"/>
      <c r="GP103" s="155"/>
      <c r="GQ103" s="155"/>
      <c r="GR103" s="155"/>
      <c r="GS103" s="155"/>
      <c r="GT103" s="155"/>
      <c r="GU103" s="155"/>
      <c r="GV103" s="155"/>
      <c r="GW103" s="155"/>
      <c r="GX103" s="155"/>
      <c r="GY103" s="155"/>
      <c r="GZ103" s="155"/>
      <c r="HA103" s="155"/>
      <c r="HB103" s="155"/>
      <c r="HC103" s="155"/>
      <c r="HD103" s="155"/>
      <c r="HE103" s="155"/>
      <c r="HF103" s="155"/>
      <c r="HG103" s="155"/>
      <c r="HH103" s="155"/>
      <c r="HI103" s="155"/>
      <c r="HJ103" s="155"/>
      <c r="HK103" s="155"/>
      <c r="HL103" s="155"/>
      <c r="HM103" s="155"/>
      <c r="HN103" s="155"/>
      <c r="HO103" s="155"/>
      <c r="HP103" s="155"/>
      <c r="HQ103" s="155"/>
      <c r="HR103" s="155"/>
      <c r="HS103" s="155"/>
      <c r="HT103" s="155"/>
      <c r="HU103" s="155"/>
      <c r="HV103" s="155"/>
      <c r="HW103" s="155"/>
      <c r="HX103" s="155"/>
      <c r="HY103" s="155"/>
      <c r="HZ103" s="155"/>
      <c r="IA103" s="155"/>
      <c r="IB103" s="155"/>
      <c r="IC103" s="155"/>
      <c r="ID103" s="155"/>
      <c r="IE103" s="155"/>
      <c r="IF103" s="155"/>
      <c r="IG103" s="155"/>
      <c r="IH103" s="155"/>
      <c r="II103" s="155"/>
      <c r="IJ103" s="155"/>
      <c r="IK103" s="155"/>
      <c r="IL103" s="155"/>
      <c r="IM103" s="155"/>
      <c r="IN103" s="155"/>
      <c r="IO103" s="155"/>
      <c r="IP103" s="155"/>
      <c r="IQ103" s="155"/>
    </row>
    <row r="104" spans="2:251" s="156" customFormat="1" ht="12" hidden="1" customHeight="1">
      <c r="B104" s="199" t="s">
        <v>1221</v>
      </c>
      <c r="C104" s="200"/>
      <c r="D104" s="200"/>
      <c r="E104" s="157"/>
      <c r="F104" s="157"/>
      <c r="G104" s="157"/>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c r="CI104" s="155"/>
      <c r="CJ104" s="155"/>
      <c r="CK104" s="155"/>
      <c r="CL104" s="155"/>
      <c r="CM104" s="155"/>
      <c r="CN104" s="155"/>
      <c r="CO104" s="155"/>
      <c r="CP104" s="155"/>
      <c r="CQ104" s="155"/>
      <c r="CR104" s="155"/>
      <c r="CS104" s="155"/>
      <c r="CT104" s="155"/>
      <c r="CU104" s="155"/>
      <c r="CV104" s="155"/>
      <c r="CW104" s="155"/>
      <c r="CX104" s="155"/>
      <c r="CY104" s="155"/>
      <c r="CZ104" s="155"/>
      <c r="DA104" s="155"/>
      <c r="DB104" s="155"/>
      <c r="DC104" s="155"/>
      <c r="DD104" s="155"/>
      <c r="DE104" s="155"/>
      <c r="DF104" s="155"/>
      <c r="DG104" s="155"/>
      <c r="DH104" s="155"/>
      <c r="DI104" s="155"/>
      <c r="DJ104" s="155"/>
      <c r="DK104" s="155"/>
      <c r="DL104" s="155"/>
      <c r="DM104" s="155"/>
      <c r="DN104" s="155"/>
      <c r="DO104" s="155"/>
      <c r="DP104" s="155"/>
      <c r="DQ104" s="155"/>
      <c r="DR104" s="155"/>
      <c r="DS104" s="155"/>
      <c r="DT104" s="155"/>
      <c r="DU104" s="155"/>
      <c r="DV104" s="155"/>
      <c r="DW104" s="155"/>
      <c r="DX104" s="155"/>
      <c r="DY104" s="155"/>
      <c r="DZ104" s="155"/>
      <c r="EA104" s="155"/>
      <c r="EB104" s="155"/>
      <c r="EC104" s="155"/>
      <c r="ED104" s="155"/>
      <c r="EE104" s="155"/>
      <c r="EF104" s="155"/>
      <c r="EG104" s="155"/>
      <c r="EH104" s="155"/>
      <c r="EI104" s="155"/>
      <c r="EJ104" s="155"/>
      <c r="EK104" s="155"/>
      <c r="EL104" s="155"/>
      <c r="EM104" s="155"/>
      <c r="EN104" s="155"/>
      <c r="EO104" s="155"/>
      <c r="EP104" s="155"/>
      <c r="EQ104" s="155"/>
      <c r="ER104" s="155"/>
      <c r="ES104" s="155"/>
      <c r="ET104" s="155"/>
      <c r="EU104" s="155"/>
      <c r="EV104" s="155"/>
      <c r="EW104" s="155"/>
      <c r="EX104" s="155"/>
      <c r="EY104" s="155"/>
      <c r="EZ104" s="155"/>
      <c r="FA104" s="155"/>
      <c r="FB104" s="155"/>
      <c r="FC104" s="155"/>
      <c r="FD104" s="155"/>
      <c r="FE104" s="155"/>
      <c r="FF104" s="155"/>
      <c r="FG104" s="155"/>
      <c r="FH104" s="155"/>
      <c r="FI104" s="155"/>
      <c r="FJ104" s="155"/>
      <c r="FK104" s="155"/>
      <c r="FL104" s="155"/>
      <c r="FM104" s="155"/>
      <c r="FN104" s="155"/>
      <c r="FO104" s="155"/>
      <c r="FP104" s="155"/>
      <c r="FQ104" s="155"/>
      <c r="FR104" s="155"/>
      <c r="FS104" s="155"/>
      <c r="FT104" s="155"/>
      <c r="FU104" s="155"/>
      <c r="FV104" s="155"/>
      <c r="FW104" s="155"/>
      <c r="FX104" s="155"/>
      <c r="FY104" s="155"/>
      <c r="FZ104" s="155"/>
      <c r="GA104" s="155"/>
      <c r="GB104" s="155"/>
      <c r="GC104" s="155"/>
      <c r="GD104" s="155"/>
      <c r="GE104" s="155"/>
      <c r="GF104" s="155"/>
      <c r="GG104" s="155"/>
      <c r="GH104" s="155"/>
      <c r="GI104" s="155"/>
      <c r="GJ104" s="155"/>
      <c r="GK104" s="155"/>
      <c r="GL104" s="155"/>
      <c r="GM104" s="155"/>
      <c r="GN104" s="155"/>
      <c r="GO104" s="155"/>
      <c r="GP104" s="155"/>
      <c r="GQ104" s="155"/>
      <c r="GR104" s="155"/>
      <c r="GS104" s="155"/>
      <c r="GT104" s="155"/>
      <c r="GU104" s="155"/>
      <c r="GV104" s="155"/>
      <c r="GW104" s="155"/>
      <c r="GX104" s="155"/>
      <c r="GY104" s="155"/>
      <c r="GZ104" s="155"/>
      <c r="HA104" s="155"/>
      <c r="HB104" s="155"/>
      <c r="HC104" s="155"/>
      <c r="HD104" s="155"/>
      <c r="HE104" s="155"/>
      <c r="HF104" s="155"/>
      <c r="HG104" s="155"/>
      <c r="HH104" s="155"/>
      <c r="HI104" s="155"/>
      <c r="HJ104" s="155"/>
      <c r="HK104" s="155"/>
      <c r="HL104" s="155"/>
      <c r="HM104" s="155"/>
      <c r="HN104" s="155"/>
      <c r="HO104" s="155"/>
      <c r="HP104" s="155"/>
      <c r="HQ104" s="155"/>
      <c r="HR104" s="155"/>
      <c r="HS104" s="155"/>
      <c r="HT104" s="155"/>
      <c r="HU104" s="155"/>
      <c r="HV104" s="155"/>
      <c r="HW104" s="155"/>
      <c r="HX104" s="155"/>
      <c r="HY104" s="155"/>
      <c r="HZ104" s="155"/>
      <c r="IA104" s="155"/>
      <c r="IB104" s="155"/>
      <c r="IC104" s="155"/>
      <c r="ID104" s="155"/>
      <c r="IE104" s="155"/>
      <c r="IF104" s="155"/>
      <c r="IG104" s="155"/>
      <c r="IH104" s="155"/>
      <c r="II104" s="155"/>
      <c r="IJ104" s="155"/>
      <c r="IK104" s="155"/>
      <c r="IL104" s="155"/>
      <c r="IM104" s="155"/>
      <c r="IN104" s="155"/>
      <c r="IO104" s="155"/>
      <c r="IP104" s="155"/>
      <c r="IQ104" s="155"/>
    </row>
    <row r="105" spans="2:251" s="156" customFormat="1" ht="12" hidden="1" customHeight="1">
      <c r="B105" s="201"/>
      <c r="C105" s="157"/>
      <c r="D105" s="157"/>
      <c r="E105" s="157"/>
      <c r="F105" s="157"/>
      <c r="G105" s="157"/>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5"/>
      <c r="CP105" s="155"/>
      <c r="CQ105" s="155"/>
      <c r="CR105" s="155"/>
      <c r="CS105" s="155"/>
      <c r="CT105" s="155"/>
      <c r="CU105" s="155"/>
      <c r="CV105" s="155"/>
      <c r="CW105" s="155"/>
      <c r="CX105" s="155"/>
      <c r="CY105" s="155"/>
      <c r="CZ105" s="155"/>
      <c r="DA105" s="155"/>
      <c r="DB105" s="155"/>
      <c r="DC105" s="155"/>
      <c r="DD105" s="155"/>
      <c r="DE105" s="155"/>
      <c r="DF105" s="155"/>
      <c r="DG105" s="155"/>
      <c r="DH105" s="155"/>
      <c r="DI105" s="155"/>
      <c r="DJ105" s="155"/>
      <c r="DK105" s="155"/>
      <c r="DL105" s="155"/>
      <c r="DM105" s="155"/>
      <c r="DN105" s="155"/>
      <c r="DO105" s="155"/>
      <c r="DP105" s="155"/>
      <c r="DQ105" s="155"/>
      <c r="DR105" s="155"/>
      <c r="DS105" s="155"/>
      <c r="DT105" s="155"/>
      <c r="DU105" s="155"/>
      <c r="DV105" s="155"/>
      <c r="DW105" s="155"/>
      <c r="DX105" s="155"/>
      <c r="DY105" s="155"/>
      <c r="DZ105" s="155"/>
      <c r="EA105" s="155"/>
      <c r="EB105" s="155"/>
      <c r="EC105" s="155"/>
      <c r="ED105" s="155"/>
      <c r="EE105" s="155"/>
      <c r="EF105" s="155"/>
      <c r="EG105" s="155"/>
      <c r="EH105" s="155"/>
      <c r="EI105" s="155"/>
      <c r="EJ105" s="155"/>
      <c r="EK105" s="155"/>
      <c r="EL105" s="155"/>
      <c r="EM105" s="155"/>
      <c r="EN105" s="155"/>
      <c r="EO105" s="155"/>
      <c r="EP105" s="155"/>
      <c r="EQ105" s="155"/>
      <c r="ER105" s="155"/>
      <c r="ES105" s="155"/>
      <c r="ET105" s="155"/>
      <c r="EU105" s="155"/>
      <c r="EV105" s="155"/>
      <c r="EW105" s="155"/>
      <c r="EX105" s="155"/>
      <c r="EY105" s="155"/>
      <c r="EZ105" s="155"/>
      <c r="FA105" s="155"/>
      <c r="FB105" s="155"/>
      <c r="FC105" s="155"/>
      <c r="FD105" s="155"/>
      <c r="FE105" s="155"/>
      <c r="FF105" s="155"/>
      <c r="FG105" s="155"/>
      <c r="FH105" s="155"/>
      <c r="FI105" s="155"/>
      <c r="FJ105" s="155"/>
      <c r="FK105" s="155"/>
      <c r="FL105" s="155"/>
      <c r="FM105" s="155"/>
      <c r="FN105" s="155"/>
      <c r="FO105" s="155"/>
      <c r="FP105" s="155"/>
      <c r="FQ105" s="155"/>
      <c r="FR105" s="155"/>
      <c r="FS105" s="155"/>
      <c r="FT105" s="155"/>
      <c r="FU105" s="155"/>
      <c r="FV105" s="155"/>
      <c r="FW105" s="155"/>
      <c r="FX105" s="155"/>
      <c r="FY105" s="155"/>
      <c r="FZ105" s="155"/>
      <c r="GA105" s="155"/>
      <c r="GB105" s="155"/>
      <c r="GC105" s="155"/>
      <c r="GD105" s="155"/>
      <c r="GE105" s="155"/>
      <c r="GF105" s="155"/>
      <c r="GG105" s="155"/>
      <c r="GH105" s="155"/>
      <c r="GI105" s="155"/>
      <c r="GJ105" s="155"/>
      <c r="GK105" s="155"/>
      <c r="GL105" s="155"/>
      <c r="GM105" s="155"/>
      <c r="GN105" s="155"/>
      <c r="GO105" s="155"/>
      <c r="GP105" s="155"/>
      <c r="GQ105" s="155"/>
      <c r="GR105" s="155"/>
      <c r="GS105" s="155"/>
      <c r="GT105" s="155"/>
      <c r="GU105" s="155"/>
      <c r="GV105" s="155"/>
      <c r="GW105" s="155"/>
      <c r="GX105" s="155"/>
      <c r="GY105" s="155"/>
      <c r="GZ105" s="155"/>
      <c r="HA105" s="155"/>
      <c r="HB105" s="155"/>
      <c r="HC105" s="155"/>
      <c r="HD105" s="155"/>
      <c r="HE105" s="155"/>
      <c r="HF105" s="155"/>
      <c r="HG105" s="155"/>
      <c r="HH105" s="155"/>
      <c r="HI105" s="155"/>
      <c r="HJ105" s="155"/>
      <c r="HK105" s="155"/>
      <c r="HL105" s="155"/>
      <c r="HM105" s="155"/>
      <c r="HN105" s="155"/>
      <c r="HO105" s="155"/>
      <c r="HP105" s="155"/>
      <c r="HQ105" s="155"/>
      <c r="HR105" s="155"/>
      <c r="HS105" s="155"/>
      <c r="HT105" s="155"/>
      <c r="HU105" s="155"/>
      <c r="HV105" s="155"/>
      <c r="HW105" s="155"/>
      <c r="HX105" s="155"/>
      <c r="HY105" s="155"/>
      <c r="HZ105" s="155"/>
      <c r="IA105" s="155"/>
      <c r="IB105" s="155"/>
      <c r="IC105" s="155"/>
      <c r="ID105" s="155"/>
      <c r="IE105" s="155"/>
      <c r="IF105" s="155"/>
      <c r="IG105" s="155"/>
      <c r="IH105" s="155"/>
      <c r="II105" s="155"/>
      <c r="IJ105" s="155"/>
      <c r="IK105" s="155"/>
      <c r="IL105" s="155"/>
      <c r="IM105" s="155"/>
      <c r="IN105" s="155"/>
      <c r="IO105" s="155"/>
      <c r="IP105" s="155"/>
      <c r="IQ105" s="155"/>
    </row>
    <row r="106" spans="2:251" s="156" customFormat="1" ht="12" hidden="1" customHeight="1">
      <c r="B106" s="201" t="s">
        <v>1222</v>
      </c>
      <c r="C106" s="157"/>
      <c r="D106" s="157"/>
      <c r="E106" s="157"/>
      <c r="F106" s="157"/>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c r="CH106" s="155"/>
      <c r="CI106" s="155"/>
      <c r="CJ106" s="155"/>
      <c r="CK106" s="155"/>
      <c r="CL106" s="155"/>
      <c r="CM106" s="155"/>
      <c r="CN106" s="155"/>
      <c r="CO106" s="155"/>
      <c r="CP106" s="155"/>
      <c r="CQ106" s="155"/>
      <c r="CR106" s="155"/>
      <c r="CS106" s="155"/>
      <c r="CT106" s="155"/>
      <c r="CU106" s="155"/>
      <c r="CV106" s="155"/>
      <c r="CW106" s="155"/>
      <c r="CX106" s="155"/>
      <c r="CY106" s="155"/>
      <c r="CZ106" s="155"/>
      <c r="DA106" s="155"/>
      <c r="DB106" s="155"/>
      <c r="DC106" s="155"/>
      <c r="DD106" s="155"/>
      <c r="DE106" s="155"/>
      <c r="DF106" s="155"/>
      <c r="DG106" s="155"/>
      <c r="DH106" s="155"/>
      <c r="DI106" s="155"/>
      <c r="DJ106" s="155"/>
      <c r="DK106" s="155"/>
      <c r="DL106" s="155"/>
      <c r="DM106" s="155"/>
      <c r="DN106" s="155"/>
      <c r="DO106" s="155"/>
      <c r="DP106" s="155"/>
      <c r="DQ106" s="155"/>
      <c r="DR106" s="155"/>
      <c r="DS106" s="155"/>
      <c r="DT106" s="155"/>
      <c r="DU106" s="155"/>
      <c r="DV106" s="155"/>
      <c r="DW106" s="155"/>
      <c r="DX106" s="155"/>
      <c r="DY106" s="155"/>
      <c r="DZ106" s="155"/>
      <c r="EA106" s="155"/>
      <c r="EB106" s="155"/>
      <c r="EC106" s="155"/>
      <c r="ED106" s="155"/>
      <c r="EE106" s="155"/>
      <c r="EF106" s="155"/>
      <c r="EG106" s="155"/>
      <c r="EH106" s="155"/>
      <c r="EI106" s="155"/>
      <c r="EJ106" s="155"/>
      <c r="EK106" s="155"/>
      <c r="EL106" s="155"/>
      <c r="EM106" s="155"/>
      <c r="EN106" s="155"/>
      <c r="EO106" s="155"/>
      <c r="EP106" s="155"/>
      <c r="EQ106" s="155"/>
      <c r="ER106" s="155"/>
      <c r="ES106" s="155"/>
      <c r="ET106" s="155"/>
      <c r="EU106" s="155"/>
      <c r="EV106" s="155"/>
      <c r="EW106" s="155"/>
      <c r="EX106" s="155"/>
      <c r="EY106" s="155"/>
      <c r="EZ106" s="155"/>
      <c r="FA106" s="155"/>
      <c r="FB106" s="155"/>
      <c r="FC106" s="155"/>
      <c r="FD106" s="155"/>
      <c r="FE106" s="155"/>
      <c r="FF106" s="155"/>
      <c r="FG106" s="155"/>
      <c r="FH106" s="155"/>
      <c r="FI106" s="155"/>
      <c r="FJ106" s="155"/>
      <c r="FK106" s="155"/>
      <c r="FL106" s="155"/>
      <c r="FM106" s="155"/>
      <c r="FN106" s="155"/>
      <c r="FO106" s="155"/>
      <c r="FP106" s="155"/>
      <c r="FQ106" s="155"/>
      <c r="FR106" s="155"/>
      <c r="FS106" s="155"/>
      <c r="FT106" s="155"/>
      <c r="FU106" s="155"/>
      <c r="FV106" s="155"/>
      <c r="FW106" s="155"/>
      <c r="FX106" s="155"/>
      <c r="FY106" s="155"/>
      <c r="FZ106" s="155"/>
      <c r="GA106" s="155"/>
      <c r="GB106" s="155"/>
      <c r="GC106" s="155"/>
      <c r="GD106" s="155"/>
      <c r="GE106" s="155"/>
      <c r="GF106" s="155"/>
      <c r="GG106" s="155"/>
      <c r="GH106" s="155"/>
      <c r="GI106" s="155"/>
      <c r="GJ106" s="155"/>
      <c r="GK106" s="155"/>
      <c r="GL106" s="155"/>
      <c r="GM106" s="155"/>
      <c r="GN106" s="155"/>
      <c r="GO106" s="155"/>
      <c r="GP106" s="155"/>
      <c r="GQ106" s="155"/>
      <c r="GR106" s="155"/>
      <c r="GS106" s="155"/>
      <c r="GT106" s="155"/>
      <c r="GU106" s="155"/>
      <c r="GV106" s="155"/>
      <c r="GW106" s="155"/>
      <c r="GX106" s="155"/>
      <c r="GY106" s="155"/>
      <c r="GZ106" s="155"/>
      <c r="HA106" s="155"/>
      <c r="HB106" s="155"/>
      <c r="HC106" s="155"/>
      <c r="HD106" s="155"/>
      <c r="HE106" s="155"/>
      <c r="HF106" s="155"/>
      <c r="HG106" s="155"/>
      <c r="HH106" s="155"/>
      <c r="HI106" s="155"/>
      <c r="HJ106" s="155"/>
      <c r="HK106" s="155"/>
      <c r="HL106" s="155"/>
      <c r="HM106" s="155"/>
      <c r="HN106" s="155"/>
      <c r="HO106" s="155"/>
      <c r="HP106" s="155"/>
      <c r="HQ106" s="155"/>
      <c r="HR106" s="155"/>
      <c r="HS106" s="155"/>
      <c r="HT106" s="155"/>
      <c r="HU106" s="155"/>
      <c r="HV106" s="155"/>
      <c r="HW106" s="155"/>
      <c r="HX106" s="155"/>
      <c r="HY106" s="155"/>
      <c r="HZ106" s="155"/>
      <c r="IA106" s="155"/>
      <c r="IB106" s="155"/>
      <c r="IC106" s="155"/>
      <c r="ID106" s="155"/>
      <c r="IE106" s="155"/>
      <c r="IF106" s="155"/>
      <c r="IG106" s="155"/>
      <c r="IH106" s="155"/>
      <c r="II106" s="155"/>
      <c r="IJ106" s="155"/>
      <c r="IK106" s="155"/>
      <c r="IL106" s="155"/>
      <c r="IM106" s="155"/>
      <c r="IN106" s="155"/>
      <c r="IO106" s="155"/>
      <c r="IP106" s="155"/>
      <c r="IQ106" s="155"/>
    </row>
    <row r="107" spans="2:251" s="156" customFormat="1" ht="12" hidden="1" customHeight="1">
      <c r="B107" s="201" t="s">
        <v>1223</v>
      </c>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155"/>
      <c r="CJ107" s="155"/>
      <c r="CK107" s="155"/>
      <c r="CL107" s="155"/>
      <c r="CM107" s="155"/>
      <c r="CN107" s="155"/>
      <c r="CO107" s="155"/>
      <c r="CP107" s="155"/>
      <c r="CQ107" s="155"/>
      <c r="CR107" s="155"/>
      <c r="CS107" s="155"/>
      <c r="CT107" s="155"/>
      <c r="CU107" s="155"/>
      <c r="CV107" s="155"/>
      <c r="CW107" s="155"/>
      <c r="CX107" s="155"/>
      <c r="CY107" s="155"/>
      <c r="CZ107" s="155"/>
      <c r="DA107" s="155"/>
      <c r="DB107" s="155"/>
      <c r="DC107" s="155"/>
      <c r="DD107" s="155"/>
      <c r="DE107" s="155"/>
      <c r="DF107" s="155"/>
      <c r="DG107" s="155"/>
      <c r="DH107" s="155"/>
      <c r="DI107" s="155"/>
      <c r="DJ107" s="155"/>
      <c r="DK107" s="155"/>
      <c r="DL107" s="155"/>
      <c r="DM107" s="155"/>
      <c r="DN107" s="155"/>
      <c r="DO107" s="155"/>
      <c r="DP107" s="155"/>
      <c r="DQ107" s="155"/>
      <c r="DR107" s="155"/>
      <c r="DS107" s="155"/>
      <c r="DT107" s="155"/>
      <c r="DU107" s="155"/>
      <c r="DV107" s="155"/>
      <c r="DW107" s="155"/>
      <c r="DX107" s="155"/>
      <c r="DY107" s="155"/>
      <c r="DZ107" s="155"/>
      <c r="EA107" s="155"/>
      <c r="EB107" s="155"/>
      <c r="EC107" s="155"/>
      <c r="ED107" s="155"/>
      <c r="EE107" s="155"/>
      <c r="EF107" s="155"/>
      <c r="EG107" s="155"/>
      <c r="EH107" s="155"/>
      <c r="EI107" s="155"/>
      <c r="EJ107" s="155"/>
      <c r="EK107" s="155"/>
      <c r="EL107" s="155"/>
      <c r="EM107" s="155"/>
      <c r="EN107" s="155"/>
      <c r="EO107" s="155"/>
      <c r="EP107" s="155"/>
      <c r="EQ107" s="155"/>
      <c r="ER107" s="155"/>
      <c r="ES107" s="155"/>
      <c r="ET107" s="155"/>
      <c r="EU107" s="155"/>
      <c r="EV107" s="155"/>
      <c r="EW107" s="155"/>
      <c r="EX107" s="155"/>
      <c r="EY107" s="155"/>
      <c r="EZ107" s="155"/>
      <c r="FA107" s="155"/>
      <c r="FB107" s="155"/>
      <c r="FC107" s="155"/>
      <c r="FD107" s="155"/>
      <c r="FE107" s="155"/>
      <c r="FF107" s="155"/>
      <c r="FG107" s="155"/>
      <c r="FH107" s="155"/>
      <c r="FI107" s="155"/>
      <c r="FJ107" s="155"/>
      <c r="FK107" s="155"/>
      <c r="FL107" s="155"/>
      <c r="FM107" s="155"/>
      <c r="FN107" s="155"/>
      <c r="FO107" s="155"/>
      <c r="FP107" s="155"/>
      <c r="FQ107" s="155"/>
      <c r="FR107" s="155"/>
      <c r="FS107" s="155"/>
      <c r="FT107" s="155"/>
      <c r="FU107" s="155"/>
      <c r="FV107" s="155"/>
      <c r="FW107" s="155"/>
      <c r="FX107" s="155"/>
      <c r="FY107" s="155"/>
      <c r="FZ107" s="155"/>
      <c r="GA107" s="155"/>
      <c r="GB107" s="155"/>
      <c r="GC107" s="155"/>
      <c r="GD107" s="155"/>
      <c r="GE107" s="155"/>
      <c r="GF107" s="155"/>
      <c r="GG107" s="155"/>
      <c r="GH107" s="155"/>
      <c r="GI107" s="155"/>
      <c r="GJ107" s="155"/>
      <c r="GK107" s="155"/>
      <c r="GL107" s="155"/>
      <c r="GM107" s="155"/>
      <c r="GN107" s="155"/>
      <c r="GO107" s="155"/>
      <c r="GP107" s="155"/>
      <c r="GQ107" s="155"/>
      <c r="GR107" s="155"/>
      <c r="GS107" s="155"/>
      <c r="GT107" s="155"/>
      <c r="GU107" s="155"/>
      <c r="GV107" s="155"/>
      <c r="GW107" s="155"/>
      <c r="GX107" s="155"/>
      <c r="GY107" s="155"/>
      <c r="GZ107" s="155"/>
      <c r="HA107" s="155"/>
      <c r="HB107" s="155"/>
      <c r="HC107" s="155"/>
      <c r="HD107" s="155"/>
      <c r="HE107" s="155"/>
      <c r="HF107" s="155"/>
      <c r="HG107" s="155"/>
      <c r="HH107" s="155"/>
      <c r="HI107" s="155"/>
      <c r="HJ107" s="155"/>
      <c r="HK107" s="155"/>
      <c r="HL107" s="155"/>
      <c r="HM107" s="155"/>
      <c r="HN107" s="155"/>
      <c r="HO107" s="155"/>
      <c r="HP107" s="155"/>
      <c r="HQ107" s="155"/>
      <c r="HR107" s="155"/>
      <c r="HS107" s="155"/>
      <c r="HT107" s="155"/>
      <c r="HU107" s="155"/>
      <c r="HV107" s="155"/>
      <c r="HW107" s="155"/>
      <c r="HX107" s="155"/>
      <c r="HY107" s="155"/>
      <c r="HZ107" s="155"/>
      <c r="IA107" s="155"/>
      <c r="IB107" s="155"/>
      <c r="IC107" s="155"/>
      <c r="ID107" s="155"/>
      <c r="IE107" s="155"/>
      <c r="IF107" s="155"/>
      <c r="IG107" s="155"/>
      <c r="IH107" s="155"/>
      <c r="II107" s="155"/>
      <c r="IJ107" s="155"/>
      <c r="IK107" s="155"/>
      <c r="IL107" s="155"/>
      <c r="IM107" s="155"/>
      <c r="IN107" s="155"/>
      <c r="IO107" s="155"/>
      <c r="IP107" s="155"/>
      <c r="IQ107" s="155"/>
    </row>
    <row r="108" spans="2:251" s="156" customFormat="1" ht="12" hidden="1" customHeight="1">
      <c r="B108" s="202"/>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c r="CH108" s="155"/>
      <c r="CI108" s="155"/>
      <c r="CJ108" s="155"/>
      <c r="CK108" s="155"/>
      <c r="CL108" s="155"/>
      <c r="CM108" s="155"/>
      <c r="CN108" s="155"/>
      <c r="CO108" s="155"/>
      <c r="CP108" s="155"/>
      <c r="CQ108" s="155"/>
      <c r="CR108" s="155"/>
      <c r="CS108" s="155"/>
      <c r="CT108" s="155"/>
      <c r="CU108" s="155"/>
      <c r="CV108" s="155"/>
      <c r="CW108" s="155"/>
      <c r="CX108" s="155"/>
      <c r="CY108" s="155"/>
      <c r="CZ108" s="155"/>
      <c r="DA108" s="155"/>
      <c r="DB108" s="155"/>
      <c r="DC108" s="155"/>
      <c r="DD108" s="155"/>
      <c r="DE108" s="155"/>
      <c r="DF108" s="155"/>
      <c r="DG108" s="155"/>
      <c r="DH108" s="155"/>
      <c r="DI108" s="155"/>
      <c r="DJ108" s="155"/>
      <c r="DK108" s="155"/>
      <c r="DL108" s="155"/>
      <c r="DM108" s="155"/>
      <c r="DN108" s="155"/>
      <c r="DO108" s="155"/>
      <c r="DP108" s="155"/>
      <c r="DQ108" s="155"/>
      <c r="DR108" s="155"/>
      <c r="DS108" s="155"/>
      <c r="DT108" s="155"/>
      <c r="DU108" s="155"/>
      <c r="DV108" s="155"/>
      <c r="DW108" s="155"/>
      <c r="DX108" s="155"/>
      <c r="DY108" s="155"/>
      <c r="DZ108" s="155"/>
      <c r="EA108" s="155"/>
      <c r="EB108" s="155"/>
      <c r="EC108" s="155"/>
      <c r="ED108" s="155"/>
      <c r="EE108" s="155"/>
      <c r="EF108" s="155"/>
      <c r="EG108" s="155"/>
      <c r="EH108" s="155"/>
      <c r="EI108" s="155"/>
      <c r="EJ108" s="155"/>
      <c r="EK108" s="155"/>
      <c r="EL108" s="155"/>
      <c r="EM108" s="155"/>
      <c r="EN108" s="155"/>
      <c r="EO108" s="155"/>
      <c r="EP108" s="155"/>
      <c r="EQ108" s="155"/>
      <c r="ER108" s="155"/>
      <c r="ES108" s="155"/>
      <c r="ET108" s="155"/>
      <c r="EU108" s="155"/>
      <c r="EV108" s="155"/>
      <c r="EW108" s="155"/>
      <c r="EX108" s="155"/>
      <c r="EY108" s="155"/>
      <c r="EZ108" s="155"/>
      <c r="FA108" s="155"/>
      <c r="FB108" s="155"/>
      <c r="FC108" s="155"/>
      <c r="FD108" s="155"/>
      <c r="FE108" s="155"/>
      <c r="FF108" s="155"/>
      <c r="FG108" s="155"/>
      <c r="FH108" s="155"/>
      <c r="FI108" s="155"/>
      <c r="FJ108" s="155"/>
      <c r="FK108" s="155"/>
      <c r="FL108" s="155"/>
      <c r="FM108" s="155"/>
      <c r="FN108" s="155"/>
      <c r="FO108" s="155"/>
      <c r="FP108" s="155"/>
      <c r="FQ108" s="155"/>
      <c r="FR108" s="155"/>
      <c r="FS108" s="155"/>
      <c r="FT108" s="155"/>
      <c r="FU108" s="155"/>
      <c r="FV108" s="155"/>
      <c r="FW108" s="155"/>
      <c r="FX108" s="155"/>
      <c r="FY108" s="155"/>
      <c r="FZ108" s="155"/>
      <c r="GA108" s="155"/>
      <c r="GB108" s="155"/>
      <c r="GC108" s="155"/>
      <c r="GD108" s="155"/>
      <c r="GE108" s="155"/>
      <c r="GF108" s="155"/>
      <c r="GG108" s="155"/>
      <c r="GH108" s="155"/>
      <c r="GI108" s="155"/>
      <c r="GJ108" s="155"/>
      <c r="GK108" s="155"/>
      <c r="GL108" s="155"/>
      <c r="GM108" s="155"/>
      <c r="GN108" s="155"/>
      <c r="GO108" s="155"/>
      <c r="GP108" s="155"/>
      <c r="GQ108" s="155"/>
      <c r="GR108" s="155"/>
      <c r="GS108" s="155"/>
      <c r="GT108" s="155"/>
      <c r="GU108" s="155"/>
      <c r="GV108" s="155"/>
      <c r="GW108" s="155"/>
      <c r="GX108" s="155"/>
      <c r="GY108" s="155"/>
      <c r="GZ108" s="155"/>
      <c r="HA108" s="155"/>
      <c r="HB108" s="155"/>
      <c r="HC108" s="155"/>
      <c r="HD108" s="155"/>
      <c r="HE108" s="155"/>
      <c r="HF108" s="155"/>
      <c r="HG108" s="155"/>
      <c r="HH108" s="155"/>
      <c r="HI108" s="155"/>
      <c r="HJ108" s="155"/>
      <c r="HK108" s="155"/>
      <c r="HL108" s="155"/>
      <c r="HM108" s="155"/>
      <c r="HN108" s="155"/>
      <c r="HO108" s="155"/>
      <c r="HP108" s="155"/>
      <c r="HQ108" s="155"/>
      <c r="HR108" s="155"/>
      <c r="HS108" s="155"/>
      <c r="HT108" s="155"/>
      <c r="HU108" s="155"/>
      <c r="HV108" s="155"/>
      <c r="HW108" s="155"/>
      <c r="HX108" s="155"/>
      <c r="HY108" s="155"/>
      <c r="HZ108" s="155"/>
      <c r="IA108" s="155"/>
      <c r="IB108" s="155"/>
      <c r="IC108" s="155"/>
      <c r="ID108" s="155"/>
      <c r="IE108" s="155"/>
      <c r="IF108" s="155"/>
      <c r="IG108" s="155"/>
      <c r="IH108" s="155"/>
      <c r="II108" s="155"/>
      <c r="IJ108" s="155"/>
      <c r="IK108" s="155"/>
      <c r="IL108" s="155"/>
      <c r="IM108" s="155"/>
      <c r="IN108" s="155"/>
      <c r="IO108" s="155"/>
      <c r="IP108" s="155"/>
      <c r="IQ108" s="155"/>
    </row>
    <row r="109" spans="2:251" s="156" customFormat="1" ht="12" hidden="1" customHeight="1">
      <c r="B109" s="202"/>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c r="CH109" s="155"/>
      <c r="CI109" s="155"/>
      <c r="CJ109" s="155"/>
      <c r="CK109" s="155"/>
      <c r="CL109" s="155"/>
      <c r="CM109" s="155"/>
      <c r="CN109" s="155"/>
      <c r="CO109" s="155"/>
      <c r="CP109" s="155"/>
      <c r="CQ109" s="155"/>
      <c r="CR109" s="155"/>
      <c r="CS109" s="155"/>
      <c r="CT109" s="155"/>
      <c r="CU109" s="155"/>
      <c r="CV109" s="155"/>
      <c r="CW109" s="155"/>
      <c r="CX109" s="155"/>
      <c r="CY109" s="155"/>
      <c r="CZ109" s="155"/>
      <c r="DA109" s="155"/>
      <c r="DB109" s="155"/>
      <c r="DC109" s="155"/>
      <c r="DD109" s="155"/>
      <c r="DE109" s="155"/>
      <c r="DF109" s="155"/>
      <c r="DG109" s="155"/>
      <c r="DH109" s="155"/>
      <c r="DI109" s="155"/>
      <c r="DJ109" s="155"/>
      <c r="DK109" s="155"/>
      <c r="DL109" s="155"/>
      <c r="DM109" s="155"/>
      <c r="DN109" s="155"/>
      <c r="DO109" s="155"/>
      <c r="DP109" s="155"/>
      <c r="DQ109" s="155"/>
      <c r="DR109" s="155"/>
      <c r="DS109" s="155"/>
      <c r="DT109" s="155"/>
      <c r="DU109" s="155"/>
      <c r="DV109" s="155"/>
      <c r="DW109" s="155"/>
      <c r="DX109" s="155"/>
      <c r="DY109" s="155"/>
      <c r="DZ109" s="155"/>
      <c r="EA109" s="155"/>
      <c r="EB109" s="155"/>
      <c r="EC109" s="155"/>
      <c r="ED109" s="155"/>
      <c r="EE109" s="155"/>
      <c r="EF109" s="155"/>
      <c r="EG109" s="155"/>
      <c r="EH109" s="155"/>
      <c r="EI109" s="155"/>
      <c r="EJ109" s="155"/>
      <c r="EK109" s="155"/>
      <c r="EL109" s="155"/>
      <c r="EM109" s="155"/>
      <c r="EN109" s="155"/>
      <c r="EO109" s="155"/>
      <c r="EP109" s="155"/>
      <c r="EQ109" s="155"/>
      <c r="ER109" s="155"/>
      <c r="ES109" s="155"/>
      <c r="ET109" s="155"/>
      <c r="EU109" s="155"/>
      <c r="EV109" s="155"/>
      <c r="EW109" s="155"/>
      <c r="EX109" s="155"/>
      <c r="EY109" s="155"/>
      <c r="EZ109" s="155"/>
      <c r="FA109" s="155"/>
      <c r="FB109" s="155"/>
      <c r="FC109" s="155"/>
      <c r="FD109" s="155"/>
      <c r="FE109" s="155"/>
      <c r="FF109" s="155"/>
      <c r="FG109" s="155"/>
      <c r="FH109" s="155"/>
      <c r="FI109" s="155"/>
      <c r="FJ109" s="155"/>
      <c r="FK109" s="155"/>
      <c r="FL109" s="155"/>
      <c r="FM109" s="155"/>
      <c r="FN109" s="155"/>
      <c r="FO109" s="155"/>
      <c r="FP109" s="155"/>
      <c r="FQ109" s="155"/>
      <c r="FR109" s="155"/>
      <c r="FS109" s="155"/>
      <c r="FT109" s="155"/>
      <c r="FU109" s="155"/>
      <c r="FV109" s="155"/>
      <c r="FW109" s="155"/>
      <c r="FX109" s="155"/>
      <c r="FY109" s="155"/>
      <c r="FZ109" s="155"/>
      <c r="GA109" s="155"/>
      <c r="GB109" s="155"/>
      <c r="GC109" s="155"/>
      <c r="GD109" s="155"/>
      <c r="GE109" s="155"/>
      <c r="GF109" s="155"/>
      <c r="GG109" s="155"/>
      <c r="GH109" s="155"/>
      <c r="GI109" s="155"/>
      <c r="GJ109" s="155"/>
      <c r="GK109" s="155"/>
      <c r="GL109" s="155"/>
      <c r="GM109" s="155"/>
      <c r="GN109" s="155"/>
      <c r="GO109" s="155"/>
      <c r="GP109" s="155"/>
      <c r="GQ109" s="155"/>
      <c r="GR109" s="155"/>
      <c r="GS109" s="155"/>
      <c r="GT109" s="155"/>
      <c r="GU109" s="155"/>
      <c r="GV109" s="155"/>
      <c r="GW109" s="155"/>
      <c r="GX109" s="155"/>
      <c r="GY109" s="155"/>
      <c r="GZ109" s="155"/>
      <c r="HA109" s="155"/>
      <c r="HB109" s="155"/>
      <c r="HC109" s="155"/>
      <c r="HD109" s="155"/>
      <c r="HE109" s="155"/>
      <c r="HF109" s="155"/>
      <c r="HG109" s="155"/>
      <c r="HH109" s="155"/>
      <c r="HI109" s="155"/>
      <c r="HJ109" s="155"/>
      <c r="HK109" s="155"/>
      <c r="HL109" s="155"/>
      <c r="HM109" s="155"/>
      <c r="HN109" s="155"/>
      <c r="HO109" s="155"/>
      <c r="HP109" s="155"/>
      <c r="HQ109" s="155"/>
      <c r="HR109" s="155"/>
      <c r="HS109" s="155"/>
      <c r="HT109" s="155"/>
      <c r="HU109" s="155"/>
      <c r="HV109" s="155"/>
      <c r="HW109" s="155"/>
      <c r="HX109" s="155"/>
      <c r="HY109" s="155"/>
      <c r="HZ109" s="155"/>
      <c r="IA109" s="155"/>
      <c r="IB109" s="155"/>
      <c r="IC109" s="155"/>
      <c r="ID109" s="155"/>
      <c r="IE109" s="155"/>
      <c r="IF109" s="155"/>
      <c r="IG109" s="155"/>
      <c r="IH109" s="155"/>
      <c r="II109" s="155"/>
      <c r="IJ109" s="155"/>
      <c r="IK109" s="155"/>
      <c r="IL109" s="155"/>
      <c r="IM109" s="155"/>
      <c r="IN109" s="155"/>
      <c r="IO109" s="155"/>
      <c r="IP109" s="155"/>
      <c r="IQ109" s="155"/>
    </row>
    <row r="110" spans="2:251" s="156" customFormat="1" ht="12" hidden="1" customHeight="1">
      <c r="B110" s="202"/>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c r="CH110" s="155"/>
      <c r="CI110" s="155"/>
      <c r="CJ110" s="155"/>
      <c r="CK110" s="155"/>
      <c r="CL110" s="155"/>
      <c r="CM110" s="155"/>
      <c r="CN110" s="155"/>
      <c r="CO110" s="155"/>
      <c r="CP110" s="155"/>
      <c r="CQ110" s="155"/>
      <c r="CR110" s="155"/>
      <c r="CS110" s="155"/>
      <c r="CT110" s="155"/>
      <c r="CU110" s="155"/>
      <c r="CV110" s="155"/>
      <c r="CW110" s="155"/>
      <c r="CX110" s="155"/>
      <c r="CY110" s="155"/>
      <c r="CZ110" s="155"/>
      <c r="DA110" s="155"/>
      <c r="DB110" s="155"/>
      <c r="DC110" s="155"/>
      <c r="DD110" s="155"/>
      <c r="DE110" s="155"/>
      <c r="DF110" s="155"/>
      <c r="DG110" s="155"/>
      <c r="DH110" s="155"/>
      <c r="DI110" s="155"/>
      <c r="DJ110" s="155"/>
      <c r="DK110" s="155"/>
      <c r="DL110" s="155"/>
      <c r="DM110" s="155"/>
      <c r="DN110" s="155"/>
      <c r="DO110" s="155"/>
      <c r="DP110" s="155"/>
      <c r="DQ110" s="155"/>
      <c r="DR110" s="155"/>
      <c r="DS110" s="155"/>
      <c r="DT110" s="155"/>
      <c r="DU110" s="155"/>
      <c r="DV110" s="155"/>
      <c r="DW110" s="155"/>
      <c r="DX110" s="155"/>
      <c r="DY110" s="155"/>
      <c r="DZ110" s="155"/>
      <c r="EA110" s="155"/>
      <c r="EB110" s="155"/>
      <c r="EC110" s="155"/>
      <c r="ED110" s="155"/>
      <c r="EE110" s="155"/>
      <c r="EF110" s="155"/>
      <c r="EG110" s="155"/>
      <c r="EH110" s="155"/>
      <c r="EI110" s="155"/>
      <c r="EJ110" s="155"/>
      <c r="EK110" s="155"/>
      <c r="EL110" s="155"/>
      <c r="EM110" s="155"/>
      <c r="EN110" s="155"/>
      <c r="EO110" s="155"/>
      <c r="EP110" s="155"/>
      <c r="EQ110" s="155"/>
      <c r="ER110" s="155"/>
      <c r="ES110" s="155"/>
      <c r="ET110" s="155"/>
      <c r="EU110" s="155"/>
      <c r="EV110" s="155"/>
      <c r="EW110" s="155"/>
      <c r="EX110" s="155"/>
      <c r="EY110" s="155"/>
      <c r="EZ110" s="155"/>
      <c r="FA110" s="155"/>
      <c r="FB110" s="155"/>
      <c r="FC110" s="155"/>
      <c r="FD110" s="155"/>
      <c r="FE110" s="155"/>
      <c r="FF110" s="155"/>
      <c r="FG110" s="155"/>
      <c r="FH110" s="155"/>
      <c r="FI110" s="155"/>
      <c r="FJ110" s="155"/>
      <c r="FK110" s="155"/>
      <c r="FL110" s="155"/>
      <c r="FM110" s="155"/>
      <c r="FN110" s="155"/>
      <c r="FO110" s="155"/>
      <c r="FP110" s="155"/>
      <c r="FQ110" s="155"/>
      <c r="FR110" s="155"/>
      <c r="FS110" s="155"/>
      <c r="FT110" s="155"/>
      <c r="FU110" s="155"/>
      <c r="FV110" s="155"/>
      <c r="FW110" s="155"/>
      <c r="FX110" s="155"/>
      <c r="FY110" s="155"/>
      <c r="FZ110" s="155"/>
      <c r="GA110" s="155"/>
      <c r="GB110" s="155"/>
      <c r="GC110" s="155"/>
      <c r="GD110" s="155"/>
      <c r="GE110" s="155"/>
      <c r="GF110" s="155"/>
      <c r="GG110" s="155"/>
      <c r="GH110" s="155"/>
      <c r="GI110" s="155"/>
      <c r="GJ110" s="155"/>
      <c r="GK110" s="155"/>
      <c r="GL110" s="155"/>
      <c r="GM110" s="155"/>
      <c r="GN110" s="155"/>
      <c r="GO110" s="155"/>
      <c r="GP110" s="155"/>
      <c r="GQ110" s="155"/>
      <c r="GR110" s="155"/>
      <c r="GS110" s="155"/>
      <c r="GT110" s="155"/>
      <c r="GU110" s="155"/>
      <c r="GV110" s="155"/>
      <c r="GW110" s="155"/>
      <c r="GX110" s="155"/>
      <c r="GY110" s="155"/>
      <c r="GZ110" s="155"/>
      <c r="HA110" s="155"/>
      <c r="HB110" s="155"/>
      <c r="HC110" s="155"/>
      <c r="HD110" s="155"/>
      <c r="HE110" s="155"/>
      <c r="HF110" s="155"/>
      <c r="HG110" s="155"/>
      <c r="HH110" s="155"/>
      <c r="HI110" s="155"/>
      <c r="HJ110" s="155"/>
      <c r="HK110" s="155"/>
      <c r="HL110" s="155"/>
      <c r="HM110" s="155"/>
      <c r="HN110" s="155"/>
      <c r="HO110" s="155"/>
      <c r="HP110" s="155"/>
      <c r="HQ110" s="155"/>
      <c r="HR110" s="155"/>
      <c r="HS110" s="155"/>
      <c r="HT110" s="155"/>
      <c r="HU110" s="155"/>
      <c r="HV110" s="155"/>
      <c r="HW110" s="155"/>
      <c r="HX110" s="155"/>
      <c r="HY110" s="155"/>
      <c r="HZ110" s="155"/>
      <c r="IA110" s="155"/>
      <c r="IB110" s="155"/>
      <c r="IC110" s="155"/>
      <c r="ID110" s="155"/>
      <c r="IE110" s="155"/>
      <c r="IF110" s="155"/>
      <c r="IG110" s="155"/>
      <c r="IH110" s="155"/>
      <c r="II110" s="155"/>
      <c r="IJ110" s="155"/>
      <c r="IK110" s="155"/>
      <c r="IL110" s="155"/>
      <c r="IM110" s="155"/>
      <c r="IN110" s="155"/>
      <c r="IO110" s="155"/>
      <c r="IP110" s="155"/>
      <c r="IQ110" s="155"/>
    </row>
    <row r="111" spans="2:251" s="156" customFormat="1" ht="12" hidden="1" customHeight="1">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c r="CI111" s="155"/>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c r="DG111" s="155"/>
      <c r="DH111" s="155"/>
      <c r="DI111" s="155"/>
      <c r="DJ111" s="155"/>
      <c r="DK111" s="155"/>
      <c r="DL111" s="155"/>
      <c r="DM111" s="155"/>
      <c r="DN111" s="155"/>
      <c r="DO111" s="155"/>
      <c r="DP111" s="155"/>
      <c r="DQ111" s="155"/>
      <c r="DR111" s="155"/>
      <c r="DS111" s="155"/>
      <c r="DT111" s="155"/>
      <c r="DU111" s="155"/>
      <c r="DV111" s="155"/>
      <c r="DW111" s="155"/>
      <c r="DX111" s="155"/>
      <c r="DY111" s="155"/>
      <c r="DZ111" s="155"/>
      <c r="EA111" s="155"/>
      <c r="EB111" s="155"/>
      <c r="EC111" s="155"/>
      <c r="ED111" s="155"/>
      <c r="EE111" s="155"/>
      <c r="EF111" s="155"/>
      <c r="EG111" s="155"/>
      <c r="EH111" s="155"/>
      <c r="EI111" s="155"/>
      <c r="EJ111" s="155"/>
      <c r="EK111" s="155"/>
      <c r="EL111" s="155"/>
      <c r="EM111" s="155"/>
      <c r="EN111" s="155"/>
      <c r="EO111" s="155"/>
      <c r="EP111" s="155"/>
      <c r="EQ111" s="155"/>
      <c r="ER111" s="155"/>
      <c r="ES111" s="155"/>
      <c r="ET111" s="155"/>
      <c r="EU111" s="155"/>
      <c r="EV111" s="155"/>
      <c r="EW111" s="155"/>
      <c r="EX111" s="155"/>
      <c r="EY111" s="155"/>
      <c r="EZ111" s="155"/>
      <c r="FA111" s="155"/>
      <c r="FB111" s="155"/>
      <c r="FC111" s="155"/>
      <c r="FD111" s="155"/>
      <c r="FE111" s="155"/>
      <c r="FF111" s="155"/>
      <c r="FG111" s="155"/>
      <c r="FH111" s="155"/>
      <c r="FI111" s="155"/>
      <c r="FJ111" s="155"/>
      <c r="FK111" s="155"/>
      <c r="FL111" s="155"/>
      <c r="FM111" s="155"/>
      <c r="FN111" s="155"/>
      <c r="FO111" s="155"/>
      <c r="FP111" s="155"/>
      <c r="FQ111" s="155"/>
      <c r="FR111" s="155"/>
      <c r="FS111" s="155"/>
      <c r="FT111" s="155"/>
      <c r="FU111" s="155"/>
      <c r="FV111" s="155"/>
      <c r="FW111" s="155"/>
      <c r="FX111" s="155"/>
      <c r="FY111" s="155"/>
      <c r="FZ111" s="155"/>
      <c r="GA111" s="155"/>
      <c r="GB111" s="155"/>
      <c r="GC111" s="155"/>
      <c r="GD111" s="155"/>
      <c r="GE111" s="155"/>
      <c r="GF111" s="155"/>
      <c r="GG111" s="155"/>
      <c r="GH111" s="155"/>
      <c r="GI111" s="155"/>
      <c r="GJ111" s="155"/>
      <c r="GK111" s="155"/>
      <c r="GL111" s="155"/>
      <c r="GM111" s="155"/>
      <c r="GN111" s="155"/>
      <c r="GO111" s="155"/>
      <c r="GP111" s="155"/>
      <c r="GQ111" s="155"/>
      <c r="GR111" s="155"/>
      <c r="GS111" s="155"/>
      <c r="GT111" s="155"/>
      <c r="GU111" s="155"/>
      <c r="GV111" s="155"/>
      <c r="GW111" s="155"/>
      <c r="GX111" s="155"/>
      <c r="GY111" s="155"/>
      <c r="GZ111" s="155"/>
      <c r="HA111" s="155"/>
      <c r="HB111" s="155"/>
      <c r="HC111" s="155"/>
      <c r="HD111" s="155"/>
      <c r="HE111" s="155"/>
      <c r="HF111" s="155"/>
      <c r="HG111" s="155"/>
      <c r="HH111" s="155"/>
      <c r="HI111" s="155"/>
      <c r="HJ111" s="155"/>
      <c r="HK111" s="155"/>
      <c r="HL111" s="155"/>
      <c r="HM111" s="155"/>
      <c r="HN111" s="155"/>
      <c r="HO111" s="155"/>
      <c r="HP111" s="155"/>
      <c r="HQ111" s="155"/>
      <c r="HR111" s="155"/>
      <c r="HS111" s="155"/>
      <c r="HT111" s="155"/>
      <c r="HU111" s="155"/>
      <c r="HV111" s="155"/>
      <c r="HW111" s="155"/>
      <c r="HX111" s="155"/>
      <c r="HY111" s="155"/>
      <c r="HZ111" s="155"/>
      <c r="IA111" s="155"/>
      <c r="IB111" s="155"/>
      <c r="IC111" s="155"/>
      <c r="ID111" s="155"/>
      <c r="IE111" s="155"/>
      <c r="IF111" s="155"/>
      <c r="IG111" s="155"/>
      <c r="IH111" s="155"/>
      <c r="II111" s="155"/>
      <c r="IJ111" s="155"/>
      <c r="IK111" s="155"/>
      <c r="IL111" s="155"/>
      <c r="IM111" s="155"/>
      <c r="IN111" s="155"/>
      <c r="IO111" s="155"/>
      <c r="IP111" s="155"/>
      <c r="IQ111" s="155"/>
    </row>
    <row r="112" spans="2:251" s="156" customFormat="1" ht="12" hidden="1" customHeight="1">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c r="CH112" s="155"/>
      <c r="CI112" s="155"/>
      <c r="CJ112" s="155"/>
      <c r="CK112" s="155"/>
      <c r="CL112" s="155"/>
      <c r="CM112" s="155"/>
      <c r="CN112" s="155"/>
      <c r="CO112" s="155"/>
      <c r="CP112" s="155"/>
      <c r="CQ112" s="155"/>
      <c r="CR112" s="155"/>
      <c r="CS112" s="155"/>
      <c r="CT112" s="155"/>
      <c r="CU112" s="155"/>
      <c r="CV112" s="155"/>
      <c r="CW112" s="155"/>
      <c r="CX112" s="155"/>
      <c r="CY112" s="155"/>
      <c r="CZ112" s="155"/>
      <c r="DA112" s="155"/>
      <c r="DB112" s="155"/>
      <c r="DC112" s="155"/>
      <c r="DD112" s="155"/>
      <c r="DE112" s="155"/>
      <c r="DF112" s="155"/>
      <c r="DG112" s="155"/>
      <c r="DH112" s="155"/>
      <c r="DI112" s="155"/>
      <c r="DJ112" s="155"/>
      <c r="DK112" s="155"/>
      <c r="DL112" s="155"/>
      <c r="DM112" s="155"/>
      <c r="DN112" s="155"/>
      <c r="DO112" s="155"/>
      <c r="DP112" s="155"/>
      <c r="DQ112" s="155"/>
      <c r="DR112" s="155"/>
      <c r="DS112" s="155"/>
      <c r="DT112" s="155"/>
      <c r="DU112" s="155"/>
      <c r="DV112" s="155"/>
      <c r="DW112" s="155"/>
      <c r="DX112" s="155"/>
      <c r="DY112" s="155"/>
      <c r="DZ112" s="155"/>
      <c r="EA112" s="155"/>
      <c r="EB112" s="155"/>
      <c r="EC112" s="155"/>
      <c r="ED112" s="155"/>
      <c r="EE112" s="155"/>
      <c r="EF112" s="155"/>
      <c r="EG112" s="155"/>
      <c r="EH112" s="155"/>
      <c r="EI112" s="155"/>
      <c r="EJ112" s="155"/>
      <c r="EK112" s="155"/>
      <c r="EL112" s="155"/>
      <c r="EM112" s="155"/>
      <c r="EN112" s="155"/>
      <c r="EO112" s="155"/>
      <c r="EP112" s="155"/>
      <c r="EQ112" s="155"/>
      <c r="ER112" s="155"/>
      <c r="ES112" s="155"/>
      <c r="ET112" s="155"/>
      <c r="EU112" s="155"/>
      <c r="EV112" s="155"/>
      <c r="EW112" s="155"/>
      <c r="EX112" s="155"/>
      <c r="EY112" s="155"/>
      <c r="EZ112" s="155"/>
      <c r="FA112" s="155"/>
      <c r="FB112" s="155"/>
      <c r="FC112" s="155"/>
      <c r="FD112" s="155"/>
      <c r="FE112" s="155"/>
      <c r="FF112" s="155"/>
      <c r="FG112" s="155"/>
      <c r="FH112" s="155"/>
      <c r="FI112" s="155"/>
      <c r="FJ112" s="155"/>
      <c r="FK112" s="155"/>
      <c r="FL112" s="155"/>
      <c r="FM112" s="155"/>
      <c r="FN112" s="155"/>
      <c r="FO112" s="155"/>
      <c r="FP112" s="155"/>
      <c r="FQ112" s="155"/>
      <c r="FR112" s="155"/>
      <c r="FS112" s="155"/>
      <c r="FT112" s="155"/>
      <c r="FU112" s="155"/>
      <c r="FV112" s="155"/>
      <c r="FW112" s="155"/>
      <c r="FX112" s="155"/>
      <c r="FY112" s="155"/>
      <c r="FZ112" s="155"/>
      <c r="GA112" s="155"/>
      <c r="GB112" s="155"/>
      <c r="GC112" s="155"/>
      <c r="GD112" s="155"/>
      <c r="GE112" s="155"/>
      <c r="GF112" s="155"/>
      <c r="GG112" s="155"/>
      <c r="GH112" s="155"/>
      <c r="GI112" s="155"/>
      <c r="GJ112" s="155"/>
      <c r="GK112" s="155"/>
      <c r="GL112" s="155"/>
      <c r="GM112" s="155"/>
      <c r="GN112" s="155"/>
      <c r="GO112" s="155"/>
      <c r="GP112" s="155"/>
      <c r="GQ112" s="155"/>
      <c r="GR112" s="155"/>
      <c r="GS112" s="155"/>
      <c r="GT112" s="155"/>
      <c r="GU112" s="155"/>
      <c r="GV112" s="155"/>
      <c r="GW112" s="155"/>
      <c r="GX112" s="155"/>
      <c r="GY112" s="155"/>
      <c r="GZ112" s="155"/>
      <c r="HA112" s="155"/>
      <c r="HB112" s="155"/>
      <c r="HC112" s="155"/>
      <c r="HD112" s="155"/>
      <c r="HE112" s="155"/>
      <c r="HF112" s="155"/>
      <c r="HG112" s="155"/>
      <c r="HH112" s="155"/>
      <c r="HI112" s="155"/>
      <c r="HJ112" s="155"/>
      <c r="HK112" s="155"/>
      <c r="HL112" s="155"/>
      <c r="HM112" s="155"/>
      <c r="HN112" s="155"/>
      <c r="HO112" s="155"/>
      <c r="HP112" s="155"/>
      <c r="HQ112" s="155"/>
      <c r="HR112" s="155"/>
      <c r="HS112" s="155"/>
      <c r="HT112" s="155"/>
      <c r="HU112" s="155"/>
      <c r="HV112" s="155"/>
      <c r="HW112" s="155"/>
      <c r="HX112" s="155"/>
      <c r="HY112" s="155"/>
      <c r="HZ112" s="155"/>
      <c r="IA112" s="155"/>
      <c r="IB112" s="155"/>
      <c r="IC112" s="155"/>
      <c r="ID112" s="155"/>
      <c r="IE112" s="155"/>
      <c r="IF112" s="155"/>
      <c r="IG112" s="155"/>
      <c r="IH112" s="155"/>
      <c r="II112" s="155"/>
      <c r="IJ112" s="155"/>
      <c r="IK112" s="155"/>
      <c r="IL112" s="155"/>
      <c r="IM112" s="155"/>
      <c r="IN112" s="155"/>
      <c r="IO112" s="155"/>
      <c r="IP112" s="155"/>
      <c r="IQ112" s="155"/>
    </row>
    <row r="113" ht="12" hidden="1" customHeight="1"/>
    <row r="114" ht="12" hidden="1" customHeight="1"/>
    <row r="115" ht="12" hidden="1" customHeight="1"/>
    <row r="116" ht="12" hidden="1" customHeight="1"/>
    <row r="117" ht="12" hidden="1" customHeight="1"/>
    <row r="1048415" ht="12" customHeight="1"/>
    <row r="1048416" ht="12" customHeight="1"/>
    <row r="1048417" ht="12" customHeight="1"/>
    <row r="1048418" ht="12" customHeight="1"/>
    <row r="1048419" ht="12" customHeight="1"/>
    <row r="1048420" ht="12" customHeight="1"/>
    <row r="1048421" ht="12" customHeight="1"/>
    <row r="1048422" ht="12" customHeight="1"/>
    <row r="1048423" ht="12" customHeight="1"/>
    <row r="1048424" ht="12" customHeight="1"/>
    <row r="1048425" ht="12" customHeight="1"/>
    <row r="1048426" ht="12" customHeight="1"/>
    <row r="1048427" ht="12" customHeight="1"/>
    <row r="1048428" ht="12" customHeight="1"/>
    <row r="1048429" ht="12" customHeight="1"/>
    <row r="1048430" ht="12" customHeight="1"/>
    <row r="1048431" ht="12" customHeight="1"/>
    <row r="1048432" ht="12" customHeight="1"/>
    <row r="1048433" ht="12" customHeight="1"/>
    <row r="1048434" ht="12" customHeight="1"/>
    <row r="1048435" ht="12" customHeight="1"/>
    <row r="1048436" ht="12" customHeight="1"/>
    <row r="1048437" ht="12" customHeight="1"/>
    <row r="1048438" ht="12" customHeight="1"/>
    <row r="1048439" ht="12" customHeight="1"/>
    <row r="1048440" ht="12" customHeight="1"/>
    <row r="1048441" ht="12" customHeight="1"/>
    <row r="1048442" ht="12" customHeight="1"/>
    <row r="1048443" ht="12" customHeight="1"/>
    <row r="1048444" ht="12" customHeight="1"/>
    <row r="1048445" ht="12" customHeight="1"/>
    <row r="1048446" ht="12" customHeight="1"/>
    <row r="1048447" ht="12" customHeight="1"/>
    <row r="1048448" ht="12" customHeight="1"/>
    <row r="1048449" ht="12" customHeight="1"/>
    <row r="1048450" ht="12" customHeight="1"/>
    <row r="1048451" ht="12" customHeight="1"/>
    <row r="1048452" ht="12" customHeight="1"/>
    <row r="1048453" ht="12" customHeight="1"/>
    <row r="1048454" ht="12" customHeight="1"/>
    <row r="1048455" ht="12" customHeight="1"/>
    <row r="1048456" ht="12" customHeight="1"/>
    <row r="1048457" ht="12" customHeight="1"/>
    <row r="1048458" ht="12" customHeight="1"/>
    <row r="1048459" ht="12" customHeight="1"/>
    <row r="1048460" ht="12" customHeight="1"/>
    <row r="1048461" ht="12" customHeight="1"/>
    <row r="1048462" ht="12" customHeight="1"/>
    <row r="1048463" ht="12" customHeight="1"/>
    <row r="1048464" ht="12" customHeight="1"/>
    <row r="1048465" ht="12" customHeight="1"/>
    <row r="1048466" ht="12" customHeight="1"/>
    <row r="1048467" ht="12" customHeight="1"/>
    <row r="1048468" ht="12" customHeight="1"/>
    <row r="1048469" ht="12" customHeight="1"/>
    <row r="1048470" ht="12" customHeight="1"/>
    <row r="1048471" ht="12" customHeight="1"/>
    <row r="1048472" ht="12" customHeight="1"/>
    <row r="1048473" ht="12" customHeight="1"/>
    <row r="1048474" ht="12" customHeight="1"/>
    <row r="1048475" ht="12" customHeight="1"/>
    <row r="1048476" ht="12" customHeight="1"/>
    <row r="1048477" ht="12" customHeight="1"/>
    <row r="1048478" ht="12" customHeight="1"/>
    <row r="1048479" ht="12" customHeight="1"/>
    <row r="1048480" ht="12" customHeight="1"/>
    <row r="1048481" ht="12" customHeight="1"/>
    <row r="1048482" ht="12" customHeight="1"/>
    <row r="1048483" ht="12" customHeight="1"/>
    <row r="1048484" ht="12" customHeight="1"/>
    <row r="1048485" ht="12" customHeight="1"/>
    <row r="1048486" ht="12" customHeight="1"/>
    <row r="1048487" ht="12" customHeight="1"/>
    <row r="1048488" ht="12" customHeight="1"/>
    <row r="1048489" ht="12" customHeight="1"/>
    <row r="1048490" ht="12" customHeight="1"/>
    <row r="1048491" ht="12" customHeight="1"/>
    <row r="1048492" ht="12" customHeight="1"/>
    <row r="1048493" ht="12" customHeight="1"/>
    <row r="1048494" ht="12" customHeight="1"/>
    <row r="1048495" ht="12" customHeight="1"/>
    <row r="1048496" ht="12.6" customHeight="1"/>
    <row r="1048497" ht="12.6" customHeight="1"/>
    <row r="1048498" ht="12.6" customHeight="1"/>
    <row r="1048499" ht="12.6" customHeight="1"/>
    <row r="1048500" ht="12.6" customHeight="1"/>
    <row r="1048501" ht="12.6" customHeight="1"/>
    <row r="1048502" ht="12.6" customHeight="1"/>
    <row r="1048503" ht="12.6" customHeight="1"/>
    <row r="1048504" ht="12.6" customHeight="1"/>
    <row r="1048505" ht="12.6" customHeight="1"/>
    <row r="1048506" ht="12.6" customHeight="1"/>
    <row r="1048507" ht="12.6" customHeight="1"/>
    <row r="1048508" ht="12.6" customHeight="1"/>
    <row r="1048509" ht="12.6" customHeight="1"/>
    <row r="1048510" ht="12.6" customHeight="1"/>
    <row r="1048511" ht="12.6" customHeight="1"/>
    <row r="1048512" ht="12.6" customHeight="1"/>
    <row r="1048513" ht="12.6" customHeight="1"/>
    <row r="1048514" ht="12.6" customHeight="1"/>
    <row r="1048515" ht="12.6" customHeight="1"/>
    <row r="1048516" ht="12.6" customHeight="1"/>
    <row r="1048517" ht="12.6" customHeight="1"/>
    <row r="1048518" ht="12.6" customHeight="1"/>
    <row r="1048519" ht="12.6" customHeight="1"/>
    <row r="1048520" ht="12.6" customHeight="1"/>
    <row r="1048521" ht="12.6" customHeight="1"/>
    <row r="1048522" ht="12.6" customHeight="1"/>
    <row r="1048523" ht="12.6" customHeight="1"/>
    <row r="1048524" ht="12.6" customHeight="1"/>
    <row r="1048525" ht="12.6" customHeight="1"/>
    <row r="1048526" ht="12.6" customHeight="1"/>
    <row r="1048527" ht="12.6" customHeight="1"/>
    <row r="1048528" ht="12.6" customHeight="1"/>
    <row r="1048529" ht="12.6" customHeight="1"/>
    <row r="1048530" ht="12.6" customHeight="1"/>
    <row r="1048531" ht="12.6" customHeight="1"/>
    <row r="1048532" ht="12.6" customHeight="1"/>
    <row r="1048533" ht="12.6" customHeight="1"/>
    <row r="1048534" ht="12.6" customHeight="1"/>
    <row r="1048535" ht="12.6" customHeight="1"/>
    <row r="1048536" ht="12.6" customHeight="1"/>
    <row r="1048537" ht="12.6" customHeight="1"/>
    <row r="1048538" ht="12.6" customHeight="1"/>
    <row r="1048539" ht="12.6" customHeight="1"/>
    <row r="1048540" ht="12.6" customHeight="1"/>
    <row r="1048541" ht="12.6" customHeight="1"/>
    <row r="1048542" ht="12.6" customHeight="1"/>
    <row r="1048543" ht="12.6" customHeight="1"/>
    <row r="1048544" ht="12.6" customHeight="1"/>
    <row r="1048545" ht="12.6" customHeight="1"/>
    <row r="1048546" ht="12.6" customHeight="1"/>
    <row r="1048547" ht="12.6" customHeight="1"/>
    <row r="1048548" ht="12.6" customHeight="1"/>
    <row r="1048549" ht="12.6" customHeight="1"/>
    <row r="1048550" ht="12.6" customHeight="1"/>
    <row r="1048551" ht="12.6" customHeight="1"/>
    <row r="1048552" ht="12.6" customHeight="1"/>
    <row r="1048553" ht="12.6" customHeight="1"/>
    <row r="1048554" ht="12.6" customHeight="1"/>
    <row r="1048555" ht="12.6" customHeight="1"/>
    <row r="1048556" ht="12.6" customHeight="1"/>
    <row r="1048557" ht="12.6" customHeight="1"/>
    <row r="1048558" ht="12.6" customHeight="1"/>
    <row r="1048559" ht="12.6" customHeight="1"/>
    <row r="1048560" ht="12.6" customHeight="1"/>
    <row r="1048561" ht="12.6" customHeight="1"/>
    <row r="1048562" ht="12.6" customHeight="1"/>
    <row r="1048563" ht="12.6" customHeight="1"/>
    <row r="1048564" ht="12.6" customHeight="1"/>
    <row r="1048565" ht="12.6" customHeight="1"/>
    <row r="1048566" ht="12.6" customHeight="1"/>
    <row r="1048567" ht="12.6" customHeight="1"/>
    <row r="1048568" ht="12.6" customHeight="1"/>
    <row r="1048569" ht="12.6" customHeight="1"/>
    <row r="1048570" ht="12.6" customHeight="1"/>
    <row r="1048571" ht="12.6" customHeight="1"/>
    <row r="1048572" ht="12.6" customHeight="1"/>
    <row r="1048573" ht="12.6" customHeight="1"/>
    <row r="1048574" ht="12.6" customHeight="1"/>
    <row r="1048575" ht="12.6" customHeight="1"/>
    <row r="1048576" ht="12.6" customHeight="1"/>
  </sheetData>
  <mergeCells count="6">
    <mergeCell ref="E8:H8"/>
    <mergeCell ref="I8:K8"/>
    <mergeCell ref="E9:H9"/>
    <mergeCell ref="I9:K9"/>
    <mergeCell ref="A1:K1"/>
    <mergeCell ref="A2:K2"/>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2:H118"/>
  <sheetViews>
    <sheetView tabSelected="1" topLeftCell="A93" workbookViewId="0">
      <selection activeCell="G111" sqref="G111"/>
    </sheetView>
  </sheetViews>
  <sheetFormatPr defaultColWidth="12" defaultRowHeight="10.5"/>
  <cols>
    <col min="1" max="1" width="5.33203125" style="218" customWidth="1"/>
    <col min="2" max="2" width="18.6640625" style="218" customWidth="1"/>
    <col min="3" max="3" width="91.1640625" style="219" customWidth="1"/>
    <col min="4" max="4" width="20.5" style="218" customWidth="1"/>
    <col min="5" max="5" width="18.6640625" style="218" customWidth="1"/>
    <col min="6" max="6" width="10" style="218" customWidth="1"/>
    <col min="7" max="7" width="14.83203125" style="220" customWidth="1"/>
    <col min="8" max="8" width="19.33203125" style="218" customWidth="1"/>
    <col min="9" max="256" width="12" style="221"/>
    <col min="257" max="257" width="5.33203125" style="221" customWidth="1"/>
    <col min="258" max="258" width="18.6640625" style="221" customWidth="1"/>
    <col min="259" max="259" width="91.1640625" style="221" customWidth="1"/>
    <col min="260" max="260" width="20.5" style="221" customWidth="1"/>
    <col min="261" max="261" width="18.6640625" style="221" customWidth="1"/>
    <col min="262" max="262" width="10" style="221" customWidth="1"/>
    <col min="263" max="263" width="14.83203125" style="221" customWidth="1"/>
    <col min="264" max="264" width="19.33203125" style="221" customWidth="1"/>
    <col min="265" max="512" width="12" style="221"/>
    <col min="513" max="513" width="5.33203125" style="221" customWidth="1"/>
    <col min="514" max="514" width="18.6640625" style="221" customWidth="1"/>
    <col min="515" max="515" width="91.1640625" style="221" customWidth="1"/>
    <col min="516" max="516" width="20.5" style="221" customWidth="1"/>
    <col min="517" max="517" width="18.6640625" style="221" customWidth="1"/>
    <col min="518" max="518" width="10" style="221" customWidth="1"/>
    <col min="519" max="519" width="14.83203125" style="221" customWidth="1"/>
    <col min="520" max="520" width="19.33203125" style="221" customWidth="1"/>
    <col min="521" max="768" width="12" style="221"/>
    <col min="769" max="769" width="5.33203125" style="221" customWidth="1"/>
    <col min="770" max="770" width="18.6640625" style="221" customWidth="1"/>
    <col min="771" max="771" width="91.1640625" style="221" customWidth="1"/>
    <col min="772" max="772" width="20.5" style="221" customWidth="1"/>
    <col min="773" max="773" width="18.6640625" style="221" customWidth="1"/>
    <col min="774" max="774" width="10" style="221" customWidth="1"/>
    <col min="775" max="775" width="14.83203125" style="221" customWidth="1"/>
    <col min="776" max="776" width="19.33203125" style="221" customWidth="1"/>
    <col min="777" max="1024" width="12" style="221"/>
    <col min="1025" max="1025" width="5.33203125" style="221" customWidth="1"/>
    <col min="1026" max="1026" width="18.6640625" style="221" customWidth="1"/>
    <col min="1027" max="1027" width="91.1640625" style="221" customWidth="1"/>
    <col min="1028" max="1028" width="20.5" style="221" customWidth="1"/>
    <col min="1029" max="1029" width="18.6640625" style="221" customWidth="1"/>
    <col min="1030" max="1030" width="10" style="221" customWidth="1"/>
    <col min="1031" max="1031" width="14.83203125" style="221" customWidth="1"/>
    <col min="1032" max="1032" width="19.33203125" style="221" customWidth="1"/>
    <col min="1033" max="1280" width="12" style="221"/>
    <col min="1281" max="1281" width="5.33203125" style="221" customWidth="1"/>
    <col min="1282" max="1282" width="18.6640625" style="221" customWidth="1"/>
    <col min="1283" max="1283" width="91.1640625" style="221" customWidth="1"/>
    <col min="1284" max="1284" width="20.5" style="221" customWidth="1"/>
    <col min="1285" max="1285" width="18.6640625" style="221" customWidth="1"/>
    <col min="1286" max="1286" width="10" style="221" customWidth="1"/>
    <col min="1287" max="1287" width="14.83203125" style="221" customWidth="1"/>
    <col min="1288" max="1288" width="19.33203125" style="221" customWidth="1"/>
    <col min="1289" max="1536" width="12" style="221"/>
    <col min="1537" max="1537" width="5.33203125" style="221" customWidth="1"/>
    <col min="1538" max="1538" width="18.6640625" style="221" customWidth="1"/>
    <col min="1539" max="1539" width="91.1640625" style="221" customWidth="1"/>
    <col min="1540" max="1540" width="20.5" style="221" customWidth="1"/>
    <col min="1541" max="1541" width="18.6640625" style="221" customWidth="1"/>
    <col min="1542" max="1542" width="10" style="221" customWidth="1"/>
    <col min="1543" max="1543" width="14.83203125" style="221" customWidth="1"/>
    <col min="1544" max="1544" width="19.33203125" style="221" customWidth="1"/>
    <col min="1545" max="1792" width="12" style="221"/>
    <col min="1793" max="1793" width="5.33203125" style="221" customWidth="1"/>
    <col min="1794" max="1794" width="18.6640625" style="221" customWidth="1"/>
    <col min="1795" max="1795" width="91.1640625" style="221" customWidth="1"/>
    <col min="1796" max="1796" width="20.5" style="221" customWidth="1"/>
    <col min="1797" max="1797" width="18.6640625" style="221" customWidth="1"/>
    <col min="1798" max="1798" width="10" style="221" customWidth="1"/>
    <col min="1799" max="1799" width="14.83203125" style="221" customWidth="1"/>
    <col min="1800" max="1800" width="19.33203125" style="221" customWidth="1"/>
    <col min="1801" max="2048" width="12" style="221"/>
    <col min="2049" max="2049" width="5.33203125" style="221" customWidth="1"/>
    <col min="2050" max="2050" width="18.6640625" style="221" customWidth="1"/>
    <col min="2051" max="2051" width="91.1640625" style="221" customWidth="1"/>
    <col min="2052" max="2052" width="20.5" style="221" customWidth="1"/>
    <col min="2053" max="2053" width="18.6640625" style="221" customWidth="1"/>
    <col min="2054" max="2054" width="10" style="221" customWidth="1"/>
    <col min="2055" max="2055" width="14.83203125" style="221" customWidth="1"/>
    <col min="2056" max="2056" width="19.33203125" style="221" customWidth="1"/>
    <col min="2057" max="2304" width="12" style="221"/>
    <col min="2305" max="2305" width="5.33203125" style="221" customWidth="1"/>
    <col min="2306" max="2306" width="18.6640625" style="221" customWidth="1"/>
    <col min="2307" max="2307" width="91.1640625" style="221" customWidth="1"/>
    <col min="2308" max="2308" width="20.5" style="221" customWidth="1"/>
    <col min="2309" max="2309" width="18.6640625" style="221" customWidth="1"/>
    <col min="2310" max="2310" width="10" style="221" customWidth="1"/>
    <col min="2311" max="2311" width="14.83203125" style="221" customWidth="1"/>
    <col min="2312" max="2312" width="19.33203125" style="221" customWidth="1"/>
    <col min="2313" max="2560" width="12" style="221"/>
    <col min="2561" max="2561" width="5.33203125" style="221" customWidth="1"/>
    <col min="2562" max="2562" width="18.6640625" style="221" customWidth="1"/>
    <col min="2563" max="2563" width="91.1640625" style="221" customWidth="1"/>
    <col min="2564" max="2564" width="20.5" style="221" customWidth="1"/>
    <col min="2565" max="2565" width="18.6640625" style="221" customWidth="1"/>
    <col min="2566" max="2566" width="10" style="221" customWidth="1"/>
    <col min="2567" max="2567" width="14.83203125" style="221" customWidth="1"/>
    <col min="2568" max="2568" width="19.33203125" style="221" customWidth="1"/>
    <col min="2569" max="2816" width="12" style="221"/>
    <col min="2817" max="2817" width="5.33203125" style="221" customWidth="1"/>
    <col min="2818" max="2818" width="18.6640625" style="221" customWidth="1"/>
    <col min="2819" max="2819" width="91.1640625" style="221" customWidth="1"/>
    <col min="2820" max="2820" width="20.5" style="221" customWidth="1"/>
    <col min="2821" max="2821" width="18.6640625" style="221" customWidth="1"/>
    <col min="2822" max="2822" width="10" style="221" customWidth="1"/>
    <col min="2823" max="2823" width="14.83203125" style="221" customWidth="1"/>
    <col min="2824" max="2824" width="19.33203125" style="221" customWidth="1"/>
    <col min="2825" max="3072" width="12" style="221"/>
    <col min="3073" max="3073" width="5.33203125" style="221" customWidth="1"/>
    <col min="3074" max="3074" width="18.6640625" style="221" customWidth="1"/>
    <col min="3075" max="3075" width="91.1640625" style="221" customWidth="1"/>
    <col min="3076" max="3076" width="20.5" style="221" customWidth="1"/>
    <col min="3077" max="3077" width="18.6640625" style="221" customWidth="1"/>
    <col min="3078" max="3078" width="10" style="221" customWidth="1"/>
    <col min="3079" max="3079" width="14.83203125" style="221" customWidth="1"/>
    <col min="3080" max="3080" width="19.33203125" style="221" customWidth="1"/>
    <col min="3081" max="3328" width="12" style="221"/>
    <col min="3329" max="3329" width="5.33203125" style="221" customWidth="1"/>
    <col min="3330" max="3330" width="18.6640625" style="221" customWidth="1"/>
    <col min="3331" max="3331" width="91.1640625" style="221" customWidth="1"/>
    <col min="3332" max="3332" width="20.5" style="221" customWidth="1"/>
    <col min="3333" max="3333" width="18.6640625" style="221" customWidth="1"/>
    <col min="3334" max="3334" width="10" style="221" customWidth="1"/>
    <col min="3335" max="3335" width="14.83203125" style="221" customWidth="1"/>
    <col min="3336" max="3336" width="19.33203125" style="221" customWidth="1"/>
    <col min="3337" max="3584" width="12" style="221"/>
    <col min="3585" max="3585" width="5.33203125" style="221" customWidth="1"/>
    <col min="3586" max="3586" width="18.6640625" style="221" customWidth="1"/>
    <col min="3587" max="3587" width="91.1640625" style="221" customWidth="1"/>
    <col min="3588" max="3588" width="20.5" style="221" customWidth="1"/>
    <col min="3589" max="3589" width="18.6640625" style="221" customWidth="1"/>
    <col min="3590" max="3590" width="10" style="221" customWidth="1"/>
    <col min="3591" max="3591" width="14.83203125" style="221" customWidth="1"/>
    <col min="3592" max="3592" width="19.33203125" style="221" customWidth="1"/>
    <col min="3593" max="3840" width="12" style="221"/>
    <col min="3841" max="3841" width="5.33203125" style="221" customWidth="1"/>
    <col min="3842" max="3842" width="18.6640625" style="221" customWidth="1"/>
    <col min="3843" max="3843" width="91.1640625" style="221" customWidth="1"/>
    <col min="3844" max="3844" width="20.5" style="221" customWidth="1"/>
    <col min="3845" max="3845" width="18.6640625" style="221" customWidth="1"/>
    <col min="3846" max="3846" width="10" style="221" customWidth="1"/>
    <col min="3847" max="3847" width="14.83203125" style="221" customWidth="1"/>
    <col min="3848" max="3848" width="19.33203125" style="221" customWidth="1"/>
    <col min="3849" max="4096" width="12" style="221"/>
    <col min="4097" max="4097" width="5.33203125" style="221" customWidth="1"/>
    <col min="4098" max="4098" width="18.6640625" style="221" customWidth="1"/>
    <col min="4099" max="4099" width="91.1640625" style="221" customWidth="1"/>
    <col min="4100" max="4100" width="20.5" style="221" customWidth="1"/>
    <col min="4101" max="4101" width="18.6640625" style="221" customWidth="1"/>
    <col min="4102" max="4102" width="10" style="221" customWidth="1"/>
    <col min="4103" max="4103" width="14.83203125" style="221" customWidth="1"/>
    <col min="4104" max="4104" width="19.33203125" style="221" customWidth="1"/>
    <col min="4105" max="4352" width="12" style="221"/>
    <col min="4353" max="4353" width="5.33203125" style="221" customWidth="1"/>
    <col min="4354" max="4354" width="18.6640625" style="221" customWidth="1"/>
    <col min="4355" max="4355" width="91.1640625" style="221" customWidth="1"/>
    <col min="4356" max="4356" width="20.5" style="221" customWidth="1"/>
    <col min="4357" max="4357" width="18.6640625" style="221" customWidth="1"/>
    <col min="4358" max="4358" width="10" style="221" customWidth="1"/>
    <col min="4359" max="4359" width="14.83203125" style="221" customWidth="1"/>
    <col min="4360" max="4360" width="19.33203125" style="221" customWidth="1"/>
    <col min="4361" max="4608" width="12" style="221"/>
    <col min="4609" max="4609" width="5.33203125" style="221" customWidth="1"/>
    <col min="4610" max="4610" width="18.6640625" style="221" customWidth="1"/>
    <col min="4611" max="4611" width="91.1640625" style="221" customWidth="1"/>
    <col min="4612" max="4612" width="20.5" style="221" customWidth="1"/>
    <col min="4613" max="4613" width="18.6640625" style="221" customWidth="1"/>
    <col min="4614" max="4614" width="10" style="221" customWidth="1"/>
    <col min="4615" max="4615" width="14.83203125" style="221" customWidth="1"/>
    <col min="4616" max="4616" width="19.33203125" style="221" customWidth="1"/>
    <col min="4617" max="4864" width="12" style="221"/>
    <col min="4865" max="4865" width="5.33203125" style="221" customWidth="1"/>
    <col min="4866" max="4866" width="18.6640625" style="221" customWidth="1"/>
    <col min="4867" max="4867" width="91.1640625" style="221" customWidth="1"/>
    <col min="4868" max="4868" width="20.5" style="221" customWidth="1"/>
    <col min="4869" max="4869" width="18.6640625" style="221" customWidth="1"/>
    <col min="4870" max="4870" width="10" style="221" customWidth="1"/>
    <col min="4871" max="4871" width="14.83203125" style="221" customWidth="1"/>
    <col min="4872" max="4872" width="19.33203125" style="221" customWidth="1"/>
    <col min="4873" max="5120" width="12" style="221"/>
    <col min="5121" max="5121" width="5.33203125" style="221" customWidth="1"/>
    <col min="5122" max="5122" width="18.6640625" style="221" customWidth="1"/>
    <col min="5123" max="5123" width="91.1640625" style="221" customWidth="1"/>
    <col min="5124" max="5124" width="20.5" style="221" customWidth="1"/>
    <col min="5125" max="5125" width="18.6640625" style="221" customWidth="1"/>
    <col min="5126" max="5126" width="10" style="221" customWidth="1"/>
    <col min="5127" max="5127" width="14.83203125" style="221" customWidth="1"/>
    <col min="5128" max="5128" width="19.33203125" style="221" customWidth="1"/>
    <col min="5129" max="5376" width="12" style="221"/>
    <col min="5377" max="5377" width="5.33203125" style="221" customWidth="1"/>
    <col min="5378" max="5378" width="18.6640625" style="221" customWidth="1"/>
    <col min="5379" max="5379" width="91.1640625" style="221" customWidth="1"/>
    <col min="5380" max="5380" width="20.5" style="221" customWidth="1"/>
    <col min="5381" max="5381" width="18.6640625" style="221" customWidth="1"/>
    <col min="5382" max="5382" width="10" style="221" customWidth="1"/>
    <col min="5383" max="5383" width="14.83203125" style="221" customWidth="1"/>
    <col min="5384" max="5384" width="19.33203125" style="221" customWidth="1"/>
    <col min="5385" max="5632" width="12" style="221"/>
    <col min="5633" max="5633" width="5.33203125" style="221" customWidth="1"/>
    <col min="5634" max="5634" width="18.6640625" style="221" customWidth="1"/>
    <col min="5635" max="5635" width="91.1640625" style="221" customWidth="1"/>
    <col min="5636" max="5636" width="20.5" style="221" customWidth="1"/>
    <col min="5637" max="5637" width="18.6640625" style="221" customWidth="1"/>
    <col min="5638" max="5638" width="10" style="221" customWidth="1"/>
    <col min="5639" max="5639" width="14.83203125" style="221" customWidth="1"/>
    <col min="5640" max="5640" width="19.33203125" style="221" customWidth="1"/>
    <col min="5641" max="5888" width="12" style="221"/>
    <col min="5889" max="5889" width="5.33203125" style="221" customWidth="1"/>
    <col min="5890" max="5890" width="18.6640625" style="221" customWidth="1"/>
    <col min="5891" max="5891" width="91.1640625" style="221" customWidth="1"/>
    <col min="5892" max="5892" width="20.5" style="221" customWidth="1"/>
    <col min="5893" max="5893" width="18.6640625" style="221" customWidth="1"/>
    <col min="5894" max="5894" width="10" style="221" customWidth="1"/>
    <col min="5895" max="5895" width="14.83203125" style="221" customWidth="1"/>
    <col min="5896" max="5896" width="19.33203125" style="221" customWidth="1"/>
    <col min="5897" max="6144" width="12" style="221"/>
    <col min="6145" max="6145" width="5.33203125" style="221" customWidth="1"/>
    <col min="6146" max="6146" width="18.6640625" style="221" customWidth="1"/>
    <col min="6147" max="6147" width="91.1640625" style="221" customWidth="1"/>
    <col min="6148" max="6148" width="20.5" style="221" customWidth="1"/>
    <col min="6149" max="6149" width="18.6640625" style="221" customWidth="1"/>
    <col min="6150" max="6150" width="10" style="221" customWidth="1"/>
    <col min="6151" max="6151" width="14.83203125" style="221" customWidth="1"/>
    <col min="6152" max="6152" width="19.33203125" style="221" customWidth="1"/>
    <col min="6153" max="6400" width="12" style="221"/>
    <col min="6401" max="6401" width="5.33203125" style="221" customWidth="1"/>
    <col min="6402" max="6402" width="18.6640625" style="221" customWidth="1"/>
    <col min="6403" max="6403" width="91.1640625" style="221" customWidth="1"/>
    <col min="6404" max="6404" width="20.5" style="221" customWidth="1"/>
    <col min="6405" max="6405" width="18.6640625" style="221" customWidth="1"/>
    <col min="6406" max="6406" width="10" style="221" customWidth="1"/>
    <col min="6407" max="6407" width="14.83203125" style="221" customWidth="1"/>
    <col min="6408" max="6408" width="19.33203125" style="221" customWidth="1"/>
    <col min="6409" max="6656" width="12" style="221"/>
    <col min="6657" max="6657" width="5.33203125" style="221" customWidth="1"/>
    <col min="6658" max="6658" width="18.6640625" style="221" customWidth="1"/>
    <col min="6659" max="6659" width="91.1640625" style="221" customWidth="1"/>
    <col min="6660" max="6660" width="20.5" style="221" customWidth="1"/>
    <col min="6661" max="6661" width="18.6640625" style="221" customWidth="1"/>
    <col min="6662" max="6662" width="10" style="221" customWidth="1"/>
    <col min="6663" max="6663" width="14.83203125" style="221" customWidth="1"/>
    <col min="6664" max="6664" width="19.33203125" style="221" customWidth="1"/>
    <col min="6665" max="6912" width="12" style="221"/>
    <col min="6913" max="6913" width="5.33203125" style="221" customWidth="1"/>
    <col min="6914" max="6914" width="18.6640625" style="221" customWidth="1"/>
    <col min="6915" max="6915" width="91.1640625" style="221" customWidth="1"/>
    <col min="6916" max="6916" width="20.5" style="221" customWidth="1"/>
    <col min="6917" max="6917" width="18.6640625" style="221" customWidth="1"/>
    <col min="6918" max="6918" width="10" style="221" customWidth="1"/>
    <col min="6919" max="6919" width="14.83203125" style="221" customWidth="1"/>
    <col min="6920" max="6920" width="19.33203125" style="221" customWidth="1"/>
    <col min="6921" max="7168" width="12" style="221"/>
    <col min="7169" max="7169" width="5.33203125" style="221" customWidth="1"/>
    <col min="7170" max="7170" width="18.6640625" style="221" customWidth="1"/>
    <col min="7171" max="7171" width="91.1640625" style="221" customWidth="1"/>
    <col min="7172" max="7172" width="20.5" style="221" customWidth="1"/>
    <col min="7173" max="7173" width="18.6640625" style="221" customWidth="1"/>
    <col min="7174" max="7174" width="10" style="221" customWidth="1"/>
    <col min="7175" max="7175" width="14.83203125" style="221" customWidth="1"/>
    <col min="7176" max="7176" width="19.33203125" style="221" customWidth="1"/>
    <col min="7177" max="7424" width="12" style="221"/>
    <col min="7425" max="7425" width="5.33203125" style="221" customWidth="1"/>
    <col min="7426" max="7426" width="18.6640625" style="221" customWidth="1"/>
    <col min="7427" max="7427" width="91.1640625" style="221" customWidth="1"/>
    <col min="7428" max="7428" width="20.5" style="221" customWidth="1"/>
    <col min="7429" max="7429" width="18.6640625" style="221" customWidth="1"/>
    <col min="7430" max="7430" width="10" style="221" customWidth="1"/>
    <col min="7431" max="7431" width="14.83203125" style="221" customWidth="1"/>
    <col min="7432" max="7432" width="19.33203125" style="221" customWidth="1"/>
    <col min="7433" max="7680" width="12" style="221"/>
    <col min="7681" max="7681" width="5.33203125" style="221" customWidth="1"/>
    <col min="7682" max="7682" width="18.6640625" style="221" customWidth="1"/>
    <col min="7683" max="7683" width="91.1640625" style="221" customWidth="1"/>
    <col min="7684" max="7684" width="20.5" style="221" customWidth="1"/>
    <col min="7685" max="7685" width="18.6640625" style="221" customWidth="1"/>
    <col min="7686" max="7686" width="10" style="221" customWidth="1"/>
    <col min="7687" max="7687" width="14.83203125" style="221" customWidth="1"/>
    <col min="7688" max="7688" width="19.33203125" style="221" customWidth="1"/>
    <col min="7689" max="7936" width="12" style="221"/>
    <col min="7937" max="7937" width="5.33203125" style="221" customWidth="1"/>
    <col min="7938" max="7938" width="18.6640625" style="221" customWidth="1"/>
    <col min="7939" max="7939" width="91.1640625" style="221" customWidth="1"/>
    <col min="7940" max="7940" width="20.5" style="221" customWidth="1"/>
    <col min="7941" max="7941" width="18.6640625" style="221" customWidth="1"/>
    <col min="7942" max="7942" width="10" style="221" customWidth="1"/>
    <col min="7943" max="7943" width="14.83203125" style="221" customWidth="1"/>
    <col min="7944" max="7944" width="19.33203125" style="221" customWidth="1"/>
    <col min="7945" max="8192" width="12" style="221"/>
    <col min="8193" max="8193" width="5.33203125" style="221" customWidth="1"/>
    <col min="8194" max="8194" width="18.6640625" style="221" customWidth="1"/>
    <col min="8195" max="8195" width="91.1640625" style="221" customWidth="1"/>
    <col min="8196" max="8196" width="20.5" style="221" customWidth="1"/>
    <col min="8197" max="8197" width="18.6640625" style="221" customWidth="1"/>
    <col min="8198" max="8198" width="10" style="221" customWidth="1"/>
    <col min="8199" max="8199" width="14.83203125" style="221" customWidth="1"/>
    <col min="8200" max="8200" width="19.33203125" style="221" customWidth="1"/>
    <col min="8201" max="8448" width="12" style="221"/>
    <col min="8449" max="8449" width="5.33203125" style="221" customWidth="1"/>
    <col min="8450" max="8450" width="18.6640625" style="221" customWidth="1"/>
    <col min="8451" max="8451" width="91.1640625" style="221" customWidth="1"/>
    <col min="8452" max="8452" width="20.5" style="221" customWidth="1"/>
    <col min="8453" max="8453" width="18.6640625" style="221" customWidth="1"/>
    <col min="8454" max="8454" width="10" style="221" customWidth="1"/>
    <col min="8455" max="8455" width="14.83203125" style="221" customWidth="1"/>
    <col min="8456" max="8456" width="19.33203125" style="221" customWidth="1"/>
    <col min="8457" max="8704" width="12" style="221"/>
    <col min="8705" max="8705" width="5.33203125" style="221" customWidth="1"/>
    <col min="8706" max="8706" width="18.6640625" style="221" customWidth="1"/>
    <col min="8707" max="8707" width="91.1640625" style="221" customWidth="1"/>
    <col min="8708" max="8708" width="20.5" style="221" customWidth="1"/>
    <col min="8709" max="8709" width="18.6640625" style="221" customWidth="1"/>
    <col min="8710" max="8710" width="10" style="221" customWidth="1"/>
    <col min="8711" max="8711" width="14.83203125" style="221" customWidth="1"/>
    <col min="8712" max="8712" width="19.33203125" style="221" customWidth="1"/>
    <col min="8713" max="8960" width="12" style="221"/>
    <col min="8961" max="8961" width="5.33203125" style="221" customWidth="1"/>
    <col min="8962" max="8962" width="18.6640625" style="221" customWidth="1"/>
    <col min="8963" max="8963" width="91.1640625" style="221" customWidth="1"/>
    <col min="8964" max="8964" width="20.5" style="221" customWidth="1"/>
    <col min="8965" max="8965" width="18.6640625" style="221" customWidth="1"/>
    <col min="8966" max="8966" width="10" style="221" customWidth="1"/>
    <col min="8967" max="8967" width="14.83203125" style="221" customWidth="1"/>
    <col min="8968" max="8968" width="19.33203125" style="221" customWidth="1"/>
    <col min="8969" max="9216" width="12" style="221"/>
    <col min="9217" max="9217" width="5.33203125" style="221" customWidth="1"/>
    <col min="9218" max="9218" width="18.6640625" style="221" customWidth="1"/>
    <col min="9219" max="9219" width="91.1640625" style="221" customWidth="1"/>
    <col min="9220" max="9220" width="20.5" style="221" customWidth="1"/>
    <col min="9221" max="9221" width="18.6640625" style="221" customWidth="1"/>
    <col min="9222" max="9222" width="10" style="221" customWidth="1"/>
    <col min="9223" max="9223" width="14.83203125" style="221" customWidth="1"/>
    <col min="9224" max="9224" width="19.33203125" style="221" customWidth="1"/>
    <col min="9225" max="9472" width="12" style="221"/>
    <col min="9473" max="9473" width="5.33203125" style="221" customWidth="1"/>
    <col min="9474" max="9474" width="18.6640625" style="221" customWidth="1"/>
    <col min="9475" max="9475" width="91.1640625" style="221" customWidth="1"/>
    <col min="9476" max="9476" width="20.5" style="221" customWidth="1"/>
    <col min="9477" max="9477" width="18.6640625" style="221" customWidth="1"/>
    <col min="9478" max="9478" width="10" style="221" customWidth="1"/>
    <col min="9479" max="9479" width="14.83203125" style="221" customWidth="1"/>
    <col min="9480" max="9480" width="19.33203125" style="221" customWidth="1"/>
    <col min="9481" max="9728" width="12" style="221"/>
    <col min="9729" max="9729" width="5.33203125" style="221" customWidth="1"/>
    <col min="9730" max="9730" width="18.6640625" style="221" customWidth="1"/>
    <col min="9731" max="9731" width="91.1640625" style="221" customWidth="1"/>
    <col min="9732" max="9732" width="20.5" style="221" customWidth="1"/>
    <col min="9733" max="9733" width="18.6640625" style="221" customWidth="1"/>
    <col min="9734" max="9734" width="10" style="221" customWidth="1"/>
    <col min="9735" max="9735" width="14.83203125" style="221" customWidth="1"/>
    <col min="9736" max="9736" width="19.33203125" style="221" customWidth="1"/>
    <col min="9737" max="9984" width="12" style="221"/>
    <col min="9985" max="9985" width="5.33203125" style="221" customWidth="1"/>
    <col min="9986" max="9986" width="18.6640625" style="221" customWidth="1"/>
    <col min="9987" max="9987" width="91.1640625" style="221" customWidth="1"/>
    <col min="9988" max="9988" width="20.5" style="221" customWidth="1"/>
    <col min="9989" max="9989" width="18.6640625" style="221" customWidth="1"/>
    <col min="9990" max="9990" width="10" style="221" customWidth="1"/>
    <col min="9991" max="9991" width="14.83203125" style="221" customWidth="1"/>
    <col min="9992" max="9992" width="19.33203125" style="221" customWidth="1"/>
    <col min="9993" max="10240" width="12" style="221"/>
    <col min="10241" max="10241" width="5.33203125" style="221" customWidth="1"/>
    <col min="10242" max="10242" width="18.6640625" style="221" customWidth="1"/>
    <col min="10243" max="10243" width="91.1640625" style="221" customWidth="1"/>
    <col min="10244" max="10244" width="20.5" style="221" customWidth="1"/>
    <col min="10245" max="10245" width="18.6640625" style="221" customWidth="1"/>
    <col min="10246" max="10246" width="10" style="221" customWidth="1"/>
    <col min="10247" max="10247" width="14.83203125" style="221" customWidth="1"/>
    <col min="10248" max="10248" width="19.33203125" style="221" customWidth="1"/>
    <col min="10249" max="10496" width="12" style="221"/>
    <col min="10497" max="10497" width="5.33203125" style="221" customWidth="1"/>
    <col min="10498" max="10498" width="18.6640625" style="221" customWidth="1"/>
    <col min="10499" max="10499" width="91.1640625" style="221" customWidth="1"/>
    <col min="10500" max="10500" width="20.5" style="221" customWidth="1"/>
    <col min="10501" max="10501" width="18.6640625" style="221" customWidth="1"/>
    <col min="10502" max="10502" width="10" style="221" customWidth="1"/>
    <col min="10503" max="10503" width="14.83203125" style="221" customWidth="1"/>
    <col min="10504" max="10504" width="19.33203125" style="221" customWidth="1"/>
    <col min="10505" max="10752" width="12" style="221"/>
    <col min="10753" max="10753" width="5.33203125" style="221" customWidth="1"/>
    <col min="10754" max="10754" width="18.6640625" style="221" customWidth="1"/>
    <col min="10755" max="10755" width="91.1640625" style="221" customWidth="1"/>
    <col min="10756" max="10756" width="20.5" style="221" customWidth="1"/>
    <col min="10757" max="10757" width="18.6640625" style="221" customWidth="1"/>
    <col min="10758" max="10758" width="10" style="221" customWidth="1"/>
    <col min="10759" max="10759" width="14.83203125" style="221" customWidth="1"/>
    <col min="10760" max="10760" width="19.33203125" style="221" customWidth="1"/>
    <col min="10761" max="11008" width="12" style="221"/>
    <col min="11009" max="11009" width="5.33203125" style="221" customWidth="1"/>
    <col min="11010" max="11010" width="18.6640625" style="221" customWidth="1"/>
    <col min="11011" max="11011" width="91.1640625" style="221" customWidth="1"/>
    <col min="11012" max="11012" width="20.5" style="221" customWidth="1"/>
    <col min="11013" max="11013" width="18.6640625" style="221" customWidth="1"/>
    <col min="11014" max="11014" width="10" style="221" customWidth="1"/>
    <col min="11015" max="11015" width="14.83203125" style="221" customWidth="1"/>
    <col min="11016" max="11016" width="19.33203125" style="221" customWidth="1"/>
    <col min="11017" max="11264" width="12" style="221"/>
    <col min="11265" max="11265" width="5.33203125" style="221" customWidth="1"/>
    <col min="11266" max="11266" width="18.6640625" style="221" customWidth="1"/>
    <col min="11267" max="11267" width="91.1640625" style="221" customWidth="1"/>
    <col min="11268" max="11268" width="20.5" style="221" customWidth="1"/>
    <col min="11269" max="11269" width="18.6640625" style="221" customWidth="1"/>
    <col min="11270" max="11270" width="10" style="221" customWidth="1"/>
    <col min="11271" max="11271" width="14.83203125" style="221" customWidth="1"/>
    <col min="11272" max="11272" width="19.33203125" style="221" customWidth="1"/>
    <col min="11273" max="11520" width="12" style="221"/>
    <col min="11521" max="11521" width="5.33203125" style="221" customWidth="1"/>
    <col min="11522" max="11522" width="18.6640625" style="221" customWidth="1"/>
    <col min="11523" max="11523" width="91.1640625" style="221" customWidth="1"/>
    <col min="11524" max="11524" width="20.5" style="221" customWidth="1"/>
    <col min="11525" max="11525" width="18.6640625" style="221" customWidth="1"/>
    <col min="11526" max="11526" width="10" style="221" customWidth="1"/>
    <col min="11527" max="11527" width="14.83203125" style="221" customWidth="1"/>
    <col min="11528" max="11528" width="19.33203125" style="221" customWidth="1"/>
    <col min="11529" max="11776" width="12" style="221"/>
    <col min="11777" max="11777" width="5.33203125" style="221" customWidth="1"/>
    <col min="11778" max="11778" width="18.6640625" style="221" customWidth="1"/>
    <col min="11779" max="11779" width="91.1640625" style="221" customWidth="1"/>
    <col min="11780" max="11780" width="20.5" style="221" customWidth="1"/>
    <col min="11781" max="11781" width="18.6640625" style="221" customWidth="1"/>
    <col min="11782" max="11782" width="10" style="221" customWidth="1"/>
    <col min="11783" max="11783" width="14.83203125" style="221" customWidth="1"/>
    <col min="11784" max="11784" width="19.33203125" style="221" customWidth="1"/>
    <col min="11785" max="12032" width="12" style="221"/>
    <col min="12033" max="12033" width="5.33203125" style="221" customWidth="1"/>
    <col min="12034" max="12034" width="18.6640625" style="221" customWidth="1"/>
    <col min="12035" max="12035" width="91.1640625" style="221" customWidth="1"/>
    <col min="12036" max="12036" width="20.5" style="221" customWidth="1"/>
    <col min="12037" max="12037" width="18.6640625" style="221" customWidth="1"/>
    <col min="12038" max="12038" width="10" style="221" customWidth="1"/>
    <col min="12039" max="12039" width="14.83203125" style="221" customWidth="1"/>
    <col min="12040" max="12040" width="19.33203125" style="221" customWidth="1"/>
    <col min="12041" max="12288" width="12" style="221"/>
    <col min="12289" max="12289" width="5.33203125" style="221" customWidth="1"/>
    <col min="12290" max="12290" width="18.6640625" style="221" customWidth="1"/>
    <col min="12291" max="12291" width="91.1640625" style="221" customWidth="1"/>
    <col min="12292" max="12292" width="20.5" style="221" customWidth="1"/>
    <col min="12293" max="12293" width="18.6640625" style="221" customWidth="1"/>
    <col min="12294" max="12294" width="10" style="221" customWidth="1"/>
    <col min="12295" max="12295" width="14.83203125" style="221" customWidth="1"/>
    <col min="12296" max="12296" width="19.33203125" style="221" customWidth="1"/>
    <col min="12297" max="12544" width="12" style="221"/>
    <col min="12545" max="12545" width="5.33203125" style="221" customWidth="1"/>
    <col min="12546" max="12546" width="18.6640625" style="221" customWidth="1"/>
    <col min="12547" max="12547" width="91.1640625" style="221" customWidth="1"/>
    <col min="12548" max="12548" width="20.5" style="221" customWidth="1"/>
    <col min="12549" max="12549" width="18.6640625" style="221" customWidth="1"/>
    <col min="12550" max="12550" width="10" style="221" customWidth="1"/>
    <col min="12551" max="12551" width="14.83203125" style="221" customWidth="1"/>
    <col min="12552" max="12552" width="19.33203125" style="221" customWidth="1"/>
    <col min="12553" max="12800" width="12" style="221"/>
    <col min="12801" max="12801" width="5.33203125" style="221" customWidth="1"/>
    <col min="12802" max="12802" width="18.6640625" style="221" customWidth="1"/>
    <col min="12803" max="12803" width="91.1640625" style="221" customWidth="1"/>
    <col min="12804" max="12804" width="20.5" style="221" customWidth="1"/>
    <col min="12805" max="12805" width="18.6640625" style="221" customWidth="1"/>
    <col min="12806" max="12806" width="10" style="221" customWidth="1"/>
    <col min="12807" max="12807" width="14.83203125" style="221" customWidth="1"/>
    <col min="12808" max="12808" width="19.33203125" style="221" customWidth="1"/>
    <col min="12809" max="13056" width="12" style="221"/>
    <col min="13057" max="13057" width="5.33203125" style="221" customWidth="1"/>
    <col min="13058" max="13058" width="18.6640625" style="221" customWidth="1"/>
    <col min="13059" max="13059" width="91.1640625" style="221" customWidth="1"/>
    <col min="13060" max="13060" width="20.5" style="221" customWidth="1"/>
    <col min="13061" max="13061" width="18.6640625" style="221" customWidth="1"/>
    <col min="13062" max="13062" width="10" style="221" customWidth="1"/>
    <col min="13063" max="13063" width="14.83203125" style="221" customWidth="1"/>
    <col min="13064" max="13064" width="19.33203125" style="221" customWidth="1"/>
    <col min="13065" max="13312" width="12" style="221"/>
    <col min="13313" max="13313" width="5.33203125" style="221" customWidth="1"/>
    <col min="13314" max="13314" width="18.6640625" style="221" customWidth="1"/>
    <col min="13315" max="13315" width="91.1640625" style="221" customWidth="1"/>
    <col min="13316" max="13316" width="20.5" style="221" customWidth="1"/>
    <col min="13317" max="13317" width="18.6640625" style="221" customWidth="1"/>
    <col min="13318" max="13318" width="10" style="221" customWidth="1"/>
    <col min="13319" max="13319" width="14.83203125" style="221" customWidth="1"/>
    <col min="13320" max="13320" width="19.33203125" style="221" customWidth="1"/>
    <col min="13321" max="13568" width="12" style="221"/>
    <col min="13569" max="13569" width="5.33203125" style="221" customWidth="1"/>
    <col min="13570" max="13570" width="18.6640625" style="221" customWidth="1"/>
    <col min="13571" max="13571" width="91.1640625" style="221" customWidth="1"/>
    <col min="13572" max="13572" width="20.5" style="221" customWidth="1"/>
    <col min="13573" max="13573" width="18.6640625" style="221" customWidth="1"/>
    <col min="13574" max="13574" width="10" style="221" customWidth="1"/>
    <col min="13575" max="13575" width="14.83203125" style="221" customWidth="1"/>
    <col min="13576" max="13576" width="19.33203125" style="221" customWidth="1"/>
    <col min="13577" max="13824" width="12" style="221"/>
    <col min="13825" max="13825" width="5.33203125" style="221" customWidth="1"/>
    <col min="13826" max="13826" width="18.6640625" style="221" customWidth="1"/>
    <col min="13827" max="13827" width="91.1640625" style="221" customWidth="1"/>
    <col min="13828" max="13828" width="20.5" style="221" customWidth="1"/>
    <col min="13829" max="13829" width="18.6640625" style="221" customWidth="1"/>
    <col min="13830" max="13830" width="10" style="221" customWidth="1"/>
    <col min="13831" max="13831" width="14.83203125" style="221" customWidth="1"/>
    <col min="13832" max="13832" width="19.33203125" style="221" customWidth="1"/>
    <col min="13833" max="14080" width="12" style="221"/>
    <col min="14081" max="14081" width="5.33203125" style="221" customWidth="1"/>
    <col min="14082" max="14082" width="18.6640625" style="221" customWidth="1"/>
    <col min="14083" max="14083" width="91.1640625" style="221" customWidth="1"/>
    <col min="14084" max="14084" width="20.5" style="221" customWidth="1"/>
    <col min="14085" max="14085" width="18.6640625" style="221" customWidth="1"/>
    <col min="14086" max="14086" width="10" style="221" customWidth="1"/>
    <col min="14087" max="14087" width="14.83203125" style="221" customWidth="1"/>
    <col min="14088" max="14088" width="19.33203125" style="221" customWidth="1"/>
    <col min="14089" max="14336" width="12" style="221"/>
    <col min="14337" max="14337" width="5.33203125" style="221" customWidth="1"/>
    <col min="14338" max="14338" width="18.6640625" style="221" customWidth="1"/>
    <col min="14339" max="14339" width="91.1640625" style="221" customWidth="1"/>
    <col min="14340" max="14340" width="20.5" style="221" customWidth="1"/>
    <col min="14341" max="14341" width="18.6640625" style="221" customWidth="1"/>
    <col min="14342" max="14342" width="10" style="221" customWidth="1"/>
    <col min="14343" max="14343" width="14.83203125" style="221" customWidth="1"/>
    <col min="14344" max="14344" width="19.33203125" style="221" customWidth="1"/>
    <col min="14345" max="14592" width="12" style="221"/>
    <col min="14593" max="14593" width="5.33203125" style="221" customWidth="1"/>
    <col min="14594" max="14594" width="18.6640625" style="221" customWidth="1"/>
    <col min="14595" max="14595" width="91.1640625" style="221" customWidth="1"/>
    <col min="14596" max="14596" width="20.5" style="221" customWidth="1"/>
    <col min="14597" max="14597" width="18.6640625" style="221" customWidth="1"/>
    <col min="14598" max="14598" width="10" style="221" customWidth="1"/>
    <col min="14599" max="14599" width="14.83203125" style="221" customWidth="1"/>
    <col min="14600" max="14600" width="19.33203125" style="221" customWidth="1"/>
    <col min="14601" max="14848" width="12" style="221"/>
    <col min="14849" max="14849" width="5.33203125" style="221" customWidth="1"/>
    <col min="14850" max="14850" width="18.6640625" style="221" customWidth="1"/>
    <col min="14851" max="14851" width="91.1640625" style="221" customWidth="1"/>
    <col min="14852" max="14852" width="20.5" style="221" customWidth="1"/>
    <col min="14853" max="14853" width="18.6640625" style="221" customWidth="1"/>
    <col min="14854" max="14854" width="10" style="221" customWidth="1"/>
    <col min="14855" max="14855" width="14.83203125" style="221" customWidth="1"/>
    <col min="14856" max="14856" width="19.33203125" style="221" customWidth="1"/>
    <col min="14857" max="15104" width="12" style="221"/>
    <col min="15105" max="15105" width="5.33203125" style="221" customWidth="1"/>
    <col min="15106" max="15106" width="18.6640625" style="221" customWidth="1"/>
    <col min="15107" max="15107" width="91.1640625" style="221" customWidth="1"/>
    <col min="15108" max="15108" width="20.5" style="221" customWidth="1"/>
    <col min="15109" max="15109" width="18.6640625" style="221" customWidth="1"/>
    <col min="15110" max="15110" width="10" style="221" customWidth="1"/>
    <col min="15111" max="15111" width="14.83203125" style="221" customWidth="1"/>
    <col min="15112" max="15112" width="19.33203125" style="221" customWidth="1"/>
    <col min="15113" max="15360" width="12" style="221"/>
    <col min="15361" max="15361" width="5.33203125" style="221" customWidth="1"/>
    <col min="15362" max="15362" width="18.6640625" style="221" customWidth="1"/>
    <col min="15363" max="15363" width="91.1640625" style="221" customWidth="1"/>
    <col min="15364" max="15364" width="20.5" style="221" customWidth="1"/>
    <col min="15365" max="15365" width="18.6640625" style="221" customWidth="1"/>
    <col min="15366" max="15366" width="10" style="221" customWidth="1"/>
    <col min="15367" max="15367" width="14.83203125" style="221" customWidth="1"/>
    <col min="15368" max="15368" width="19.33203125" style="221" customWidth="1"/>
    <col min="15369" max="15616" width="12" style="221"/>
    <col min="15617" max="15617" width="5.33203125" style="221" customWidth="1"/>
    <col min="15618" max="15618" width="18.6640625" style="221" customWidth="1"/>
    <col min="15619" max="15619" width="91.1640625" style="221" customWidth="1"/>
    <col min="15620" max="15620" width="20.5" style="221" customWidth="1"/>
    <col min="15621" max="15621" width="18.6640625" style="221" customWidth="1"/>
    <col min="15622" max="15622" width="10" style="221" customWidth="1"/>
    <col min="15623" max="15623" width="14.83203125" style="221" customWidth="1"/>
    <col min="15624" max="15624" width="19.33203125" style="221" customWidth="1"/>
    <col min="15625" max="15872" width="12" style="221"/>
    <col min="15873" max="15873" width="5.33203125" style="221" customWidth="1"/>
    <col min="15874" max="15874" width="18.6640625" style="221" customWidth="1"/>
    <col min="15875" max="15875" width="91.1640625" style="221" customWidth="1"/>
    <col min="15876" max="15876" width="20.5" style="221" customWidth="1"/>
    <col min="15877" max="15877" width="18.6640625" style="221" customWidth="1"/>
    <col min="15878" max="15878" width="10" style="221" customWidth="1"/>
    <col min="15879" max="15879" width="14.83203125" style="221" customWidth="1"/>
    <col min="15880" max="15880" width="19.33203125" style="221" customWidth="1"/>
    <col min="15881" max="16128" width="12" style="221"/>
    <col min="16129" max="16129" width="5.33203125" style="221" customWidth="1"/>
    <col min="16130" max="16130" width="18.6640625" style="221" customWidth="1"/>
    <col min="16131" max="16131" width="91.1640625" style="221" customWidth="1"/>
    <col min="16132" max="16132" width="20.5" style="221" customWidth="1"/>
    <col min="16133" max="16133" width="18.6640625" style="221" customWidth="1"/>
    <col min="16134" max="16134" width="10" style="221" customWidth="1"/>
    <col min="16135" max="16135" width="14.83203125" style="221" customWidth="1"/>
    <col min="16136" max="16136" width="19.33203125" style="221" customWidth="1"/>
    <col min="16137" max="16384" width="12" style="221"/>
  </cols>
  <sheetData>
    <row r="2" spans="1:8" s="225" customFormat="1" ht="11.25">
      <c r="A2" s="222"/>
      <c r="B2" s="222"/>
      <c r="C2" s="223"/>
      <c r="D2" s="222"/>
      <c r="E2" s="222"/>
      <c r="F2" s="222"/>
      <c r="G2" s="224"/>
      <c r="H2" s="222"/>
    </row>
    <row r="3" spans="1:8" s="231" customFormat="1" ht="19.5" thickBot="1">
      <c r="A3" s="226"/>
      <c r="B3" s="227"/>
      <c r="C3" s="228" t="s">
        <v>1225</v>
      </c>
      <c r="D3" s="218"/>
      <c r="E3" s="229"/>
      <c r="F3" s="230"/>
      <c r="G3" s="229"/>
      <c r="H3" s="229"/>
    </row>
    <row r="4" spans="1:8" s="231" customFormat="1" ht="51" customHeight="1" thickBot="1">
      <c r="A4" s="232"/>
      <c r="B4" s="233"/>
      <c r="C4" s="234" t="s">
        <v>1440</v>
      </c>
      <c r="G4" s="229"/>
      <c r="H4" s="229"/>
    </row>
    <row r="5" spans="1:8" s="231" customFormat="1" ht="9.75" customHeight="1">
      <c r="A5" s="230"/>
      <c r="B5" s="230"/>
      <c r="C5" s="235"/>
      <c r="D5" s="230"/>
      <c r="E5" s="230"/>
      <c r="F5" s="230"/>
      <c r="G5" s="229"/>
      <c r="H5" s="229"/>
    </row>
    <row r="6" spans="1:8" s="241" customFormat="1" ht="36.75" customHeight="1">
      <c r="A6" s="236" t="s">
        <v>1226</v>
      </c>
      <c r="B6" s="236" t="s">
        <v>1227</v>
      </c>
      <c r="C6" s="237" t="s">
        <v>1228</v>
      </c>
      <c r="D6" s="238" t="s">
        <v>1229</v>
      </c>
      <c r="E6" s="238" t="s">
        <v>1230</v>
      </c>
      <c r="F6" s="239" t="s">
        <v>1231</v>
      </c>
      <c r="G6" s="240" t="s">
        <v>1232</v>
      </c>
      <c r="H6" s="240" t="s">
        <v>1233</v>
      </c>
    </row>
    <row r="7" spans="1:8" s="241" customFormat="1" ht="204">
      <c r="A7" s="242">
        <v>1</v>
      </c>
      <c r="B7" s="243" t="s">
        <v>1234</v>
      </c>
      <c r="C7" s="3" t="s">
        <v>1235</v>
      </c>
      <c r="D7" s="244" t="s">
        <v>1236</v>
      </c>
      <c r="E7" s="245" t="s">
        <v>1237</v>
      </c>
      <c r="F7" s="246">
        <v>1</v>
      </c>
      <c r="G7" s="247"/>
      <c r="H7" s="248">
        <f>G7*F7</f>
        <v>0</v>
      </c>
    </row>
    <row r="8" spans="1:8" s="241" customFormat="1" ht="15">
      <c r="A8" s="242">
        <v>2</v>
      </c>
      <c r="B8" s="243"/>
      <c r="C8" s="354" t="s">
        <v>1238</v>
      </c>
      <c r="D8" s="244"/>
      <c r="E8" s="245"/>
      <c r="F8" s="246">
        <v>1</v>
      </c>
      <c r="G8" s="249"/>
      <c r="H8" s="248">
        <f t="shared" ref="H8:H72" si="0">G8*F8</f>
        <v>0</v>
      </c>
    </row>
    <row r="9" spans="1:8" s="241" customFormat="1" ht="15">
      <c r="A9" s="242">
        <v>3</v>
      </c>
      <c r="B9" s="243"/>
      <c r="C9" s="354" t="s">
        <v>1239</v>
      </c>
      <c r="D9" s="244"/>
      <c r="E9" s="245"/>
      <c r="F9" s="246">
        <v>1</v>
      </c>
      <c r="G9" s="249"/>
      <c r="H9" s="248">
        <f t="shared" si="0"/>
        <v>0</v>
      </c>
    </row>
    <row r="10" spans="1:8" s="241" customFormat="1" ht="15">
      <c r="A10" s="242">
        <v>4</v>
      </c>
      <c r="B10" s="243"/>
      <c r="C10" s="354" t="s">
        <v>1240</v>
      </c>
      <c r="D10" s="244"/>
      <c r="E10" s="245"/>
      <c r="F10" s="246">
        <v>1</v>
      </c>
      <c r="G10" s="249"/>
      <c r="H10" s="248">
        <f t="shared" si="0"/>
        <v>0</v>
      </c>
    </row>
    <row r="11" spans="1:8" s="241" customFormat="1" ht="15">
      <c r="A11" s="242">
        <v>5</v>
      </c>
      <c r="B11" s="243"/>
      <c r="C11" s="354" t="s">
        <v>1241</v>
      </c>
      <c r="D11" s="244"/>
      <c r="E11" s="245"/>
      <c r="F11" s="246">
        <v>1</v>
      </c>
      <c r="G11" s="249"/>
      <c r="H11" s="248">
        <f t="shared" si="0"/>
        <v>0</v>
      </c>
    </row>
    <row r="12" spans="1:8" s="241" customFormat="1" ht="30">
      <c r="A12" s="242">
        <v>6</v>
      </c>
      <c r="B12" s="243" t="s">
        <v>1242</v>
      </c>
      <c r="C12" s="3" t="s">
        <v>1243</v>
      </c>
      <c r="D12" s="244" t="s">
        <v>1244</v>
      </c>
      <c r="E12" s="245"/>
      <c r="F12" s="246">
        <v>1</v>
      </c>
      <c r="G12" s="247"/>
      <c r="H12" s="248">
        <f t="shared" si="0"/>
        <v>0</v>
      </c>
    </row>
    <row r="13" spans="1:8" s="241" customFormat="1" ht="30">
      <c r="A13" s="242" t="s">
        <v>1245</v>
      </c>
      <c r="B13" s="243" t="s">
        <v>1242</v>
      </c>
      <c r="C13" s="3" t="s">
        <v>1246</v>
      </c>
      <c r="D13" s="244" t="s">
        <v>1247</v>
      </c>
      <c r="E13" s="245"/>
      <c r="F13" s="246">
        <v>1</v>
      </c>
      <c r="G13" s="247"/>
      <c r="H13" s="248">
        <f t="shared" si="0"/>
        <v>0</v>
      </c>
    </row>
    <row r="14" spans="1:8" s="241" customFormat="1" ht="76.5">
      <c r="A14" s="242">
        <v>7</v>
      </c>
      <c r="B14" s="243" t="s">
        <v>1248</v>
      </c>
      <c r="C14" s="250" t="s">
        <v>1249</v>
      </c>
      <c r="D14" s="246" t="s">
        <v>1250</v>
      </c>
      <c r="E14" s="246" t="s">
        <v>1251</v>
      </c>
      <c r="F14" s="246">
        <v>4</v>
      </c>
      <c r="G14" s="247"/>
      <c r="H14" s="248">
        <f t="shared" si="0"/>
        <v>0</v>
      </c>
    </row>
    <row r="15" spans="1:8" s="241" customFormat="1" ht="38.25">
      <c r="A15" s="242">
        <v>8</v>
      </c>
      <c r="B15" s="243" t="s">
        <v>1252</v>
      </c>
      <c r="C15" s="251" t="s">
        <v>1253</v>
      </c>
      <c r="D15" s="244" t="s">
        <v>1254</v>
      </c>
      <c r="E15" s="245"/>
      <c r="F15" s="246">
        <v>1</v>
      </c>
      <c r="G15" s="247"/>
      <c r="H15" s="248">
        <f t="shared" si="0"/>
        <v>0</v>
      </c>
    </row>
    <row r="16" spans="1:8" s="241" customFormat="1" ht="45">
      <c r="A16" s="242">
        <v>9</v>
      </c>
      <c r="B16" s="243" t="s">
        <v>1255</v>
      </c>
      <c r="C16" s="3" t="s">
        <v>1256</v>
      </c>
      <c r="D16" s="244" t="s">
        <v>1257</v>
      </c>
      <c r="E16" s="245"/>
      <c r="F16" s="246">
        <v>1</v>
      </c>
      <c r="G16" s="247"/>
      <c r="H16" s="248">
        <f t="shared" si="0"/>
        <v>0</v>
      </c>
    </row>
    <row r="17" spans="1:8" s="241" customFormat="1" ht="30">
      <c r="A17" s="242" t="s">
        <v>1258</v>
      </c>
      <c r="B17" s="243" t="s">
        <v>1259</v>
      </c>
      <c r="C17" s="252" t="s">
        <v>1260</v>
      </c>
      <c r="D17" s="244"/>
      <c r="E17" s="245"/>
      <c r="F17" s="246">
        <v>1</v>
      </c>
      <c r="G17" s="247"/>
      <c r="H17" s="248">
        <f t="shared" si="0"/>
        <v>0</v>
      </c>
    </row>
    <row r="18" spans="1:8" s="241" customFormat="1" ht="25.5">
      <c r="A18" s="242" t="s">
        <v>1261</v>
      </c>
      <c r="B18" s="243" t="s">
        <v>1262</v>
      </c>
      <c r="C18" s="250" t="s">
        <v>1263</v>
      </c>
      <c r="D18" s="244"/>
      <c r="E18" s="245"/>
      <c r="F18" s="246">
        <v>1</v>
      </c>
      <c r="G18" s="247"/>
      <c r="H18" s="248">
        <f t="shared" si="0"/>
        <v>0</v>
      </c>
    </row>
    <row r="19" spans="1:8" s="241" customFormat="1" ht="30">
      <c r="A19" s="242" t="s">
        <v>1264</v>
      </c>
      <c r="B19" s="243" t="s">
        <v>1265</v>
      </c>
      <c r="C19" s="250" t="s">
        <v>1266</v>
      </c>
      <c r="D19" s="244" t="s">
        <v>1267</v>
      </c>
      <c r="E19" s="245"/>
      <c r="F19" s="246">
        <v>1</v>
      </c>
      <c r="G19" s="247"/>
      <c r="H19" s="248">
        <f t="shared" si="0"/>
        <v>0</v>
      </c>
    </row>
    <row r="20" spans="1:8" s="241" customFormat="1" ht="120" customHeight="1">
      <c r="A20" s="242">
        <v>10</v>
      </c>
      <c r="B20" s="243" t="s">
        <v>1268</v>
      </c>
      <c r="C20" s="253" t="s">
        <v>1269</v>
      </c>
      <c r="D20" s="244" t="s">
        <v>1270</v>
      </c>
      <c r="E20" s="245"/>
      <c r="F20" s="246">
        <v>1</v>
      </c>
      <c r="G20" s="247"/>
      <c r="H20" s="248">
        <f t="shared" si="0"/>
        <v>0</v>
      </c>
    </row>
    <row r="21" spans="1:8" s="241" customFormat="1" ht="33.75" customHeight="1">
      <c r="A21" s="242" t="s">
        <v>1271</v>
      </c>
      <c r="B21" s="243" t="s">
        <v>1272</v>
      </c>
      <c r="C21" s="253" t="s">
        <v>1273</v>
      </c>
      <c r="D21" s="244"/>
      <c r="E21" s="245"/>
      <c r="F21" s="246">
        <v>1</v>
      </c>
      <c r="G21" s="247"/>
      <c r="H21" s="248">
        <f t="shared" si="0"/>
        <v>0</v>
      </c>
    </row>
    <row r="22" spans="1:8" s="241" customFormat="1" ht="38.25">
      <c r="A22" s="242">
        <v>11</v>
      </c>
      <c r="B22" s="243" t="s">
        <v>1274</v>
      </c>
      <c r="C22" s="250" t="s">
        <v>1275</v>
      </c>
      <c r="D22" s="244" t="s">
        <v>1276</v>
      </c>
      <c r="E22" s="245"/>
      <c r="F22" s="246">
        <v>1</v>
      </c>
      <c r="G22" s="247"/>
      <c r="H22" s="248">
        <f t="shared" si="0"/>
        <v>0</v>
      </c>
    </row>
    <row r="23" spans="1:8" s="241" customFormat="1" ht="176.25" customHeight="1">
      <c r="A23" s="254">
        <v>12</v>
      </c>
      <c r="B23" s="255" t="s">
        <v>1277</v>
      </c>
      <c r="C23" s="256" t="s">
        <v>1278</v>
      </c>
      <c r="D23" s="244" t="s">
        <v>1279</v>
      </c>
      <c r="E23" s="244" t="s">
        <v>1279</v>
      </c>
      <c r="F23" s="257">
        <v>1</v>
      </c>
      <c r="G23" s="258"/>
      <c r="H23" s="248">
        <f t="shared" si="0"/>
        <v>0</v>
      </c>
    </row>
    <row r="24" spans="1:8" s="241" customFormat="1" ht="63.75">
      <c r="A24" s="242">
        <v>13</v>
      </c>
      <c r="B24" s="243" t="s">
        <v>1280</v>
      </c>
      <c r="C24" s="259" t="s">
        <v>1281</v>
      </c>
      <c r="D24" s="244" t="s">
        <v>1282</v>
      </c>
      <c r="E24" s="245"/>
      <c r="F24" s="246">
        <v>1</v>
      </c>
      <c r="G24" s="247"/>
      <c r="H24" s="248">
        <f t="shared" si="0"/>
        <v>0</v>
      </c>
    </row>
    <row r="25" spans="1:8" s="241" customFormat="1" ht="216.75">
      <c r="A25" s="242">
        <v>15</v>
      </c>
      <c r="B25" s="243" t="s">
        <v>1283</v>
      </c>
      <c r="C25" s="260" t="s">
        <v>1284</v>
      </c>
      <c r="D25" s="261" t="s">
        <v>1285</v>
      </c>
      <c r="E25" s="245" t="s">
        <v>1286</v>
      </c>
      <c r="F25" s="246">
        <v>1</v>
      </c>
      <c r="G25" s="247"/>
      <c r="H25" s="248">
        <f t="shared" si="0"/>
        <v>0</v>
      </c>
    </row>
    <row r="26" spans="1:8" s="241" customFormat="1" ht="45">
      <c r="A26" s="242">
        <v>16</v>
      </c>
      <c r="B26" s="243" t="s">
        <v>1287</v>
      </c>
      <c r="C26" s="3" t="s">
        <v>1288</v>
      </c>
      <c r="D26" s="244"/>
      <c r="E26" s="245"/>
      <c r="F26" s="246">
        <v>2</v>
      </c>
      <c r="G26" s="247"/>
      <c r="H26" s="248">
        <f t="shared" si="0"/>
        <v>0</v>
      </c>
    </row>
    <row r="27" spans="1:8" s="241" customFormat="1" ht="216.75">
      <c r="A27" s="242" t="s">
        <v>1289</v>
      </c>
      <c r="B27" s="243" t="s">
        <v>1290</v>
      </c>
      <c r="C27" s="262" t="s">
        <v>1441</v>
      </c>
      <c r="D27" s="261" t="s">
        <v>1285</v>
      </c>
      <c r="E27" s="245" t="s">
        <v>1286</v>
      </c>
      <c r="F27" s="246">
        <v>1</v>
      </c>
      <c r="G27" s="247"/>
      <c r="H27" s="248">
        <f t="shared" si="0"/>
        <v>0</v>
      </c>
    </row>
    <row r="28" spans="1:8" s="241" customFormat="1" ht="135">
      <c r="A28" s="242">
        <v>17</v>
      </c>
      <c r="B28" s="243" t="s">
        <v>1291</v>
      </c>
      <c r="C28" s="3" t="s">
        <v>1292</v>
      </c>
      <c r="D28" s="244" t="s">
        <v>1279</v>
      </c>
      <c r="E28" s="244" t="s">
        <v>1279</v>
      </c>
      <c r="F28" s="246">
        <v>2</v>
      </c>
      <c r="G28" s="247"/>
      <c r="H28" s="248">
        <f t="shared" si="0"/>
        <v>0</v>
      </c>
    </row>
    <row r="29" spans="1:8" s="241" customFormat="1" ht="112.5" customHeight="1">
      <c r="A29" s="242">
        <v>19</v>
      </c>
      <c r="B29" s="243" t="s">
        <v>1137</v>
      </c>
      <c r="C29" s="263" t="s">
        <v>1293</v>
      </c>
      <c r="D29" s="244" t="s">
        <v>1279</v>
      </c>
      <c r="E29" s="244" t="s">
        <v>1279</v>
      </c>
      <c r="F29" s="246">
        <v>1</v>
      </c>
      <c r="G29" s="247"/>
      <c r="H29" s="248">
        <f t="shared" si="0"/>
        <v>0</v>
      </c>
    </row>
    <row r="30" spans="1:8" s="241" customFormat="1" ht="45">
      <c r="A30" s="2" t="s">
        <v>1294</v>
      </c>
      <c r="B30" s="264" t="s">
        <v>1295</v>
      </c>
      <c r="C30" s="265" t="s">
        <v>1296</v>
      </c>
      <c r="D30" s="266"/>
      <c r="E30" s="267"/>
      <c r="F30" s="268">
        <v>1</v>
      </c>
      <c r="G30" s="247"/>
      <c r="H30" s="248">
        <f t="shared" si="0"/>
        <v>0</v>
      </c>
    </row>
    <row r="31" spans="1:8" s="241" customFormat="1" ht="45">
      <c r="A31" s="2" t="s">
        <v>1297</v>
      </c>
      <c r="B31" s="264" t="s">
        <v>1295</v>
      </c>
      <c r="C31" s="265" t="s">
        <v>1298</v>
      </c>
      <c r="D31" s="266"/>
      <c r="E31" s="267"/>
      <c r="F31" s="268">
        <v>1</v>
      </c>
      <c r="G31" s="247"/>
      <c r="H31" s="248">
        <f t="shared" si="0"/>
        <v>0</v>
      </c>
    </row>
    <row r="32" spans="1:8" s="241" customFormat="1" ht="45">
      <c r="A32" s="2" t="s">
        <v>1299</v>
      </c>
      <c r="B32" s="264" t="s">
        <v>1295</v>
      </c>
      <c r="C32" s="265" t="s">
        <v>1300</v>
      </c>
      <c r="D32" s="266"/>
      <c r="E32" s="269"/>
      <c r="F32" s="268">
        <v>1</v>
      </c>
      <c r="G32" s="247"/>
      <c r="H32" s="248">
        <f t="shared" si="0"/>
        <v>0</v>
      </c>
    </row>
    <row r="33" spans="1:8" s="241" customFormat="1" ht="45">
      <c r="A33" s="2" t="s">
        <v>1301</v>
      </c>
      <c r="B33" s="264" t="s">
        <v>1295</v>
      </c>
      <c r="C33" s="265" t="s">
        <v>1302</v>
      </c>
      <c r="D33" s="266"/>
      <c r="E33" s="267"/>
      <c r="F33" s="268">
        <v>1</v>
      </c>
      <c r="G33" s="247"/>
      <c r="H33" s="248">
        <f t="shared" si="0"/>
        <v>0</v>
      </c>
    </row>
    <row r="34" spans="1:8" s="241" customFormat="1" ht="45">
      <c r="A34" s="2" t="s">
        <v>1303</v>
      </c>
      <c r="B34" s="264" t="s">
        <v>1295</v>
      </c>
      <c r="C34" s="265" t="s">
        <v>1304</v>
      </c>
      <c r="D34" s="266"/>
      <c r="E34" s="267"/>
      <c r="F34" s="268">
        <v>1</v>
      </c>
      <c r="G34" s="247"/>
      <c r="H34" s="248">
        <f t="shared" si="0"/>
        <v>0</v>
      </c>
    </row>
    <row r="35" spans="1:8" s="241" customFormat="1" ht="45">
      <c r="A35" s="2" t="s">
        <v>1305</v>
      </c>
      <c r="B35" s="264" t="s">
        <v>1295</v>
      </c>
      <c r="C35" s="265" t="s">
        <v>1306</v>
      </c>
      <c r="D35" s="266"/>
      <c r="E35" s="267"/>
      <c r="F35" s="268">
        <v>1</v>
      </c>
      <c r="G35" s="247"/>
      <c r="H35" s="248">
        <f t="shared" si="0"/>
        <v>0</v>
      </c>
    </row>
    <row r="36" spans="1:8" s="241" customFormat="1" ht="45">
      <c r="A36" s="2" t="s">
        <v>1307</v>
      </c>
      <c r="B36" s="264" t="s">
        <v>1295</v>
      </c>
      <c r="C36" s="265" t="s">
        <v>1308</v>
      </c>
      <c r="D36" s="266"/>
      <c r="E36" s="267"/>
      <c r="F36" s="268">
        <v>1</v>
      </c>
      <c r="G36" s="247"/>
      <c r="H36" s="248">
        <f t="shared" si="0"/>
        <v>0</v>
      </c>
    </row>
    <row r="37" spans="1:8" s="241" customFormat="1" ht="120">
      <c r="A37" s="242">
        <v>21</v>
      </c>
      <c r="B37" s="243" t="s">
        <v>1309</v>
      </c>
      <c r="C37" s="3" t="s">
        <v>1310</v>
      </c>
      <c r="D37" s="244" t="s">
        <v>1279</v>
      </c>
      <c r="E37" s="244" t="s">
        <v>1279</v>
      </c>
      <c r="F37" s="246">
        <v>1</v>
      </c>
      <c r="G37" s="270"/>
      <c r="H37" s="248">
        <f t="shared" si="0"/>
        <v>0</v>
      </c>
    </row>
    <row r="38" spans="1:8" s="241" customFormat="1" ht="25.5">
      <c r="A38" s="242">
        <v>22</v>
      </c>
      <c r="B38" s="243" t="s">
        <v>1311</v>
      </c>
      <c r="C38" s="271" t="s">
        <v>1312</v>
      </c>
      <c r="D38" s="244" t="s">
        <v>1313</v>
      </c>
      <c r="E38" s="245"/>
      <c r="F38" s="246">
        <v>1</v>
      </c>
      <c r="G38" s="247"/>
      <c r="H38" s="248">
        <f t="shared" si="0"/>
        <v>0</v>
      </c>
    </row>
    <row r="39" spans="1:8" s="241" customFormat="1" ht="63.75">
      <c r="A39" s="242">
        <v>23</v>
      </c>
      <c r="B39" s="243" t="s">
        <v>1314</v>
      </c>
      <c r="C39" s="272" t="s">
        <v>1315</v>
      </c>
      <c r="D39" s="244" t="s">
        <v>1316</v>
      </c>
      <c r="E39" s="245"/>
      <c r="F39" s="246">
        <v>1</v>
      </c>
      <c r="G39" s="247"/>
      <c r="H39" s="248">
        <f t="shared" si="0"/>
        <v>0</v>
      </c>
    </row>
    <row r="40" spans="1:8" s="241" customFormat="1" ht="108.75" customHeight="1">
      <c r="A40" s="242">
        <v>24</v>
      </c>
      <c r="B40" s="243" t="s">
        <v>1317</v>
      </c>
      <c r="C40" s="3" t="s">
        <v>1318</v>
      </c>
      <c r="D40" s="244" t="s">
        <v>1279</v>
      </c>
      <c r="E40" s="244" t="s">
        <v>1279</v>
      </c>
      <c r="F40" s="246">
        <v>1</v>
      </c>
      <c r="G40" s="248"/>
      <c r="H40" s="248">
        <f t="shared" si="0"/>
        <v>0</v>
      </c>
    </row>
    <row r="41" spans="1:8" s="277" customFormat="1" ht="211.9" customHeight="1">
      <c r="A41" s="273" t="s">
        <v>1319</v>
      </c>
      <c r="B41" s="274" t="s">
        <v>1320</v>
      </c>
      <c r="C41" s="275" t="s">
        <v>1321</v>
      </c>
      <c r="D41" s="275"/>
      <c r="E41" s="275"/>
      <c r="F41" s="275">
        <v>1</v>
      </c>
      <c r="G41" s="276"/>
      <c r="H41" s="248">
        <f t="shared" si="0"/>
        <v>0</v>
      </c>
    </row>
    <row r="42" spans="1:8" s="241" customFormat="1" ht="38.25">
      <c r="A42" s="242">
        <v>25</v>
      </c>
      <c r="B42" s="243" t="s">
        <v>1274</v>
      </c>
      <c r="C42" s="250" t="s">
        <v>1275</v>
      </c>
      <c r="D42" s="244" t="s">
        <v>1322</v>
      </c>
      <c r="E42" s="245"/>
      <c r="F42" s="246">
        <v>1</v>
      </c>
      <c r="G42" s="247"/>
      <c r="H42" s="248">
        <f t="shared" si="0"/>
        <v>0</v>
      </c>
    </row>
    <row r="43" spans="1:8" s="241" customFormat="1" ht="216.75">
      <c r="A43" s="242">
        <v>26</v>
      </c>
      <c r="B43" s="243" t="s">
        <v>1323</v>
      </c>
      <c r="C43" s="251" t="s">
        <v>1324</v>
      </c>
      <c r="D43" s="278" t="s">
        <v>1285</v>
      </c>
      <c r="E43" s="246" t="s">
        <v>1325</v>
      </c>
      <c r="F43" s="246">
        <v>1</v>
      </c>
      <c r="G43" s="247"/>
      <c r="H43" s="248">
        <f t="shared" si="0"/>
        <v>0</v>
      </c>
    </row>
    <row r="44" spans="1:8" s="241" customFormat="1" ht="51">
      <c r="A44" s="242">
        <v>27</v>
      </c>
      <c r="B44" s="243" t="s">
        <v>1326</v>
      </c>
      <c r="C44" s="279" t="s">
        <v>1327</v>
      </c>
      <c r="D44" s="244" t="s">
        <v>1328</v>
      </c>
      <c r="E44" s="245"/>
      <c r="F44" s="246">
        <v>1</v>
      </c>
      <c r="G44" s="247"/>
      <c r="H44" s="248">
        <f t="shared" si="0"/>
        <v>0</v>
      </c>
    </row>
    <row r="45" spans="1:8" s="241" customFormat="1" ht="51">
      <c r="A45" s="242">
        <v>28</v>
      </c>
      <c r="B45" s="243" t="s">
        <v>1329</v>
      </c>
      <c r="C45" s="271" t="s">
        <v>1330</v>
      </c>
      <c r="D45" s="244" t="s">
        <v>1331</v>
      </c>
      <c r="E45" s="245"/>
      <c r="F45" s="246">
        <v>1</v>
      </c>
      <c r="G45" s="247"/>
      <c r="H45" s="248">
        <f t="shared" si="0"/>
        <v>0</v>
      </c>
    </row>
    <row r="46" spans="1:8" s="241" customFormat="1" ht="51">
      <c r="A46" s="242">
        <v>29</v>
      </c>
      <c r="B46" s="243" t="s">
        <v>1332</v>
      </c>
      <c r="C46" s="250" t="s">
        <v>1333</v>
      </c>
      <c r="D46" s="244" t="s">
        <v>1334</v>
      </c>
      <c r="E46" s="246" t="s">
        <v>1335</v>
      </c>
      <c r="F46" s="246">
        <v>1</v>
      </c>
      <c r="G46" s="247"/>
      <c r="H46" s="248">
        <f t="shared" si="0"/>
        <v>0</v>
      </c>
    </row>
    <row r="47" spans="1:8" s="241" customFormat="1" ht="216.75">
      <c r="A47" s="242" t="s">
        <v>1336</v>
      </c>
      <c r="B47" s="243" t="s">
        <v>1337</v>
      </c>
      <c r="C47" s="250" t="s">
        <v>1338</v>
      </c>
      <c r="D47" s="278" t="s">
        <v>1285</v>
      </c>
      <c r="E47" s="246" t="s">
        <v>1335</v>
      </c>
      <c r="F47" s="246">
        <v>1</v>
      </c>
      <c r="G47" s="247"/>
      <c r="H47" s="248">
        <f t="shared" si="0"/>
        <v>0</v>
      </c>
    </row>
    <row r="48" spans="1:8" s="241" customFormat="1" ht="216.75">
      <c r="A48" s="242">
        <v>30</v>
      </c>
      <c r="B48" s="243" t="s">
        <v>1339</v>
      </c>
      <c r="C48" s="3" t="s">
        <v>1340</v>
      </c>
      <c r="D48" s="261" t="s">
        <v>1285</v>
      </c>
      <c r="E48" s="280" t="s">
        <v>1341</v>
      </c>
      <c r="F48" s="281">
        <v>2</v>
      </c>
      <c r="G48" s="247"/>
      <c r="H48" s="248">
        <f t="shared" si="0"/>
        <v>0</v>
      </c>
    </row>
    <row r="49" spans="1:8" s="241" customFormat="1" ht="75">
      <c r="A49" s="242" t="s">
        <v>1342</v>
      </c>
      <c r="B49" s="243" t="s">
        <v>1343</v>
      </c>
      <c r="C49" s="3" t="s">
        <v>1344</v>
      </c>
      <c r="D49" s="244"/>
      <c r="E49" s="245"/>
      <c r="F49" s="246">
        <v>1</v>
      </c>
      <c r="G49" s="247"/>
      <c r="H49" s="248">
        <f t="shared" si="0"/>
        <v>0</v>
      </c>
    </row>
    <row r="50" spans="1:8" s="241" customFormat="1" ht="120">
      <c r="A50" s="242">
        <v>32</v>
      </c>
      <c r="B50" s="243" t="s">
        <v>1345</v>
      </c>
      <c r="C50" s="3" t="s">
        <v>1346</v>
      </c>
      <c r="D50" s="244" t="s">
        <v>1279</v>
      </c>
      <c r="E50" s="244" t="s">
        <v>1279</v>
      </c>
      <c r="F50" s="246">
        <v>1</v>
      </c>
      <c r="G50" s="247"/>
      <c r="H50" s="248">
        <f t="shared" si="0"/>
        <v>0</v>
      </c>
    </row>
    <row r="51" spans="1:8" s="282" customFormat="1" ht="38.25">
      <c r="A51" s="242">
        <v>33</v>
      </c>
      <c r="B51" s="243" t="s">
        <v>1252</v>
      </c>
      <c r="C51" s="251" t="s">
        <v>1347</v>
      </c>
      <c r="D51" s="244" t="s">
        <v>1348</v>
      </c>
      <c r="E51" s="246"/>
      <c r="F51" s="246">
        <v>2</v>
      </c>
      <c r="G51" s="247"/>
      <c r="H51" s="248">
        <f t="shared" si="0"/>
        <v>0</v>
      </c>
    </row>
    <row r="52" spans="1:8" s="282" customFormat="1" ht="60">
      <c r="A52" s="283">
        <v>34</v>
      </c>
      <c r="B52" s="284" t="s">
        <v>1349</v>
      </c>
      <c r="C52" s="285" t="s">
        <v>1350</v>
      </c>
      <c r="D52" s="286" t="s">
        <v>1351</v>
      </c>
      <c r="E52" s="287" t="s">
        <v>1352</v>
      </c>
      <c r="F52" s="287">
        <v>1</v>
      </c>
      <c r="G52" s="288"/>
      <c r="H52" s="289">
        <f t="shared" si="0"/>
        <v>0</v>
      </c>
    </row>
    <row r="53" spans="1:8" s="282" customFormat="1" ht="107.25" customHeight="1">
      <c r="A53" s="242">
        <v>35</v>
      </c>
      <c r="B53" s="243" t="s">
        <v>1353</v>
      </c>
      <c r="C53" s="250" t="s">
        <v>1354</v>
      </c>
      <c r="D53" s="244" t="s">
        <v>1279</v>
      </c>
      <c r="E53" s="244" t="s">
        <v>1279</v>
      </c>
      <c r="F53" s="246">
        <v>1</v>
      </c>
      <c r="G53" s="247"/>
      <c r="H53" s="248">
        <f t="shared" si="0"/>
        <v>0</v>
      </c>
    </row>
    <row r="54" spans="1:8" s="282" customFormat="1" ht="90">
      <c r="A54" s="242" t="s">
        <v>1355</v>
      </c>
      <c r="B54" s="243" t="s">
        <v>1356</v>
      </c>
      <c r="C54" s="290" t="s">
        <v>1357</v>
      </c>
      <c r="D54" s="244"/>
      <c r="E54" s="246"/>
      <c r="F54" s="246">
        <v>1</v>
      </c>
      <c r="G54" s="247"/>
      <c r="H54" s="248">
        <f t="shared" si="0"/>
        <v>0</v>
      </c>
    </row>
    <row r="55" spans="1:8" s="282" customFormat="1" ht="90">
      <c r="A55" s="242" t="s">
        <v>1358</v>
      </c>
      <c r="B55" s="243" t="s">
        <v>1356</v>
      </c>
      <c r="C55" s="291" t="s">
        <v>1442</v>
      </c>
      <c r="D55" s="244"/>
      <c r="E55" s="292"/>
      <c r="F55" s="246">
        <v>1</v>
      </c>
      <c r="G55" s="247"/>
      <c r="H55" s="248">
        <f t="shared" si="0"/>
        <v>0</v>
      </c>
    </row>
    <row r="56" spans="1:8" s="282" customFormat="1" ht="90">
      <c r="A56" s="242" t="s">
        <v>1359</v>
      </c>
      <c r="B56" s="243" t="s">
        <v>1356</v>
      </c>
      <c r="C56" s="293" t="s">
        <v>1360</v>
      </c>
      <c r="D56" s="244"/>
      <c r="E56" s="246"/>
      <c r="F56" s="246">
        <v>1</v>
      </c>
      <c r="G56" s="247"/>
      <c r="H56" s="248">
        <f t="shared" si="0"/>
        <v>0</v>
      </c>
    </row>
    <row r="57" spans="1:8" s="282" customFormat="1" ht="90">
      <c r="A57" s="242" t="s">
        <v>1361</v>
      </c>
      <c r="B57" s="243" t="s">
        <v>1356</v>
      </c>
      <c r="C57" s="293" t="s">
        <v>1362</v>
      </c>
      <c r="D57" s="244"/>
      <c r="E57" s="246"/>
      <c r="F57" s="246">
        <v>1</v>
      </c>
      <c r="G57" s="247"/>
      <c r="H57" s="248">
        <f t="shared" si="0"/>
        <v>0</v>
      </c>
    </row>
    <row r="58" spans="1:8" s="282" customFormat="1" ht="90">
      <c r="A58" s="242" t="s">
        <v>1363</v>
      </c>
      <c r="B58" s="243" t="s">
        <v>1356</v>
      </c>
      <c r="C58" s="251" t="s">
        <v>1364</v>
      </c>
      <c r="D58" s="244"/>
      <c r="E58" s="246"/>
      <c r="F58" s="246">
        <v>1</v>
      </c>
      <c r="G58" s="247"/>
      <c r="H58" s="248">
        <f t="shared" si="0"/>
        <v>0</v>
      </c>
    </row>
    <row r="59" spans="1:8" s="282" customFormat="1" ht="90">
      <c r="A59" s="242" t="s">
        <v>1365</v>
      </c>
      <c r="B59" s="243" t="s">
        <v>1356</v>
      </c>
      <c r="C59" s="251" t="s">
        <v>1366</v>
      </c>
      <c r="D59" s="244"/>
      <c r="E59" s="246"/>
      <c r="F59" s="246">
        <v>1</v>
      </c>
      <c r="G59" s="247"/>
      <c r="H59" s="248">
        <f t="shared" si="0"/>
        <v>0</v>
      </c>
    </row>
    <row r="60" spans="1:8" s="282" customFormat="1" ht="90">
      <c r="A60" s="242" t="s">
        <v>1443</v>
      </c>
      <c r="B60" s="243" t="s">
        <v>1356</v>
      </c>
      <c r="C60" s="251" t="s">
        <v>1444</v>
      </c>
      <c r="D60" s="244"/>
      <c r="E60" s="246"/>
      <c r="F60" s="246">
        <v>1</v>
      </c>
      <c r="G60" s="247"/>
      <c r="H60" s="248">
        <f>G60*F60</f>
        <v>0</v>
      </c>
    </row>
    <row r="61" spans="1:8" s="282" customFormat="1" ht="38.25">
      <c r="A61" s="242">
        <v>36</v>
      </c>
      <c r="B61" s="243" t="s">
        <v>1274</v>
      </c>
      <c r="C61" s="250" t="s">
        <v>1275</v>
      </c>
      <c r="D61" s="244" t="s">
        <v>1367</v>
      </c>
      <c r="E61" s="246"/>
      <c r="F61" s="246">
        <v>1</v>
      </c>
      <c r="G61" s="247"/>
      <c r="H61" s="248">
        <f t="shared" si="0"/>
        <v>0</v>
      </c>
    </row>
    <row r="62" spans="1:8" s="282" customFormat="1" ht="63.75">
      <c r="A62" s="242">
        <v>38</v>
      </c>
      <c r="B62" s="255" t="s">
        <v>1326</v>
      </c>
      <c r="C62" s="279" t="s">
        <v>1368</v>
      </c>
      <c r="D62" s="244" t="s">
        <v>1369</v>
      </c>
      <c r="E62" s="246"/>
      <c r="F62" s="246">
        <v>1</v>
      </c>
      <c r="G62" s="247"/>
      <c r="H62" s="248">
        <f t="shared" si="0"/>
        <v>0</v>
      </c>
    </row>
    <row r="63" spans="1:8" s="282" customFormat="1" ht="51">
      <c r="A63" s="242">
        <v>40</v>
      </c>
      <c r="B63" s="243" t="s">
        <v>1332</v>
      </c>
      <c r="C63" s="250" t="s">
        <v>1333</v>
      </c>
      <c r="D63" s="244" t="s">
        <v>1334</v>
      </c>
      <c r="E63" s="246" t="s">
        <v>1335</v>
      </c>
      <c r="F63" s="246">
        <v>1</v>
      </c>
      <c r="G63" s="247"/>
      <c r="H63" s="248">
        <f t="shared" si="0"/>
        <v>0</v>
      </c>
    </row>
    <row r="64" spans="1:8" s="282" customFormat="1" ht="38.25">
      <c r="A64" s="254">
        <v>41</v>
      </c>
      <c r="B64" s="255" t="s">
        <v>1370</v>
      </c>
      <c r="C64" s="250" t="s">
        <v>1371</v>
      </c>
      <c r="D64" s="246"/>
      <c r="E64" s="246" t="s">
        <v>1335</v>
      </c>
      <c r="F64" s="246">
        <v>1</v>
      </c>
      <c r="G64" s="247"/>
      <c r="H64" s="248">
        <f t="shared" si="0"/>
        <v>0</v>
      </c>
    </row>
    <row r="65" spans="1:8" s="282" customFormat="1" ht="315">
      <c r="A65" s="294">
        <v>42</v>
      </c>
      <c r="B65" s="295" t="s">
        <v>1372</v>
      </c>
      <c r="C65" s="285" t="s">
        <v>1373</v>
      </c>
      <c r="D65" s="286"/>
      <c r="E65" s="287"/>
      <c r="F65" s="287">
        <v>1</v>
      </c>
      <c r="G65" s="247"/>
      <c r="H65" s="248">
        <f t="shared" si="0"/>
        <v>0</v>
      </c>
    </row>
    <row r="66" spans="1:8" s="282" customFormat="1" ht="30">
      <c r="A66" s="296">
        <v>43</v>
      </c>
      <c r="B66" s="243" t="s">
        <v>1374</v>
      </c>
      <c r="C66" s="3" t="s">
        <v>1375</v>
      </c>
      <c r="D66" s="244" t="s">
        <v>1376</v>
      </c>
      <c r="E66" s="246"/>
      <c r="F66" s="246">
        <v>1</v>
      </c>
      <c r="G66" s="247"/>
      <c r="H66" s="248">
        <f t="shared" si="0"/>
        <v>0</v>
      </c>
    </row>
    <row r="67" spans="1:8" s="282" customFormat="1" ht="60">
      <c r="A67" s="296">
        <v>44</v>
      </c>
      <c r="B67" s="243" t="s">
        <v>1377</v>
      </c>
      <c r="C67" s="3" t="s">
        <v>1378</v>
      </c>
      <c r="D67" s="244" t="s">
        <v>1379</v>
      </c>
      <c r="E67" s="246"/>
      <c r="F67" s="246">
        <v>1</v>
      </c>
      <c r="G67" s="247"/>
      <c r="H67" s="248">
        <f t="shared" si="0"/>
        <v>0</v>
      </c>
    </row>
    <row r="68" spans="1:8" s="282" customFormat="1" ht="51">
      <c r="A68" s="296">
        <v>45</v>
      </c>
      <c r="B68" s="255" t="s">
        <v>1380</v>
      </c>
      <c r="C68" s="250" t="s">
        <v>1381</v>
      </c>
      <c r="D68" s="244" t="s">
        <v>1382</v>
      </c>
      <c r="E68" s="246"/>
      <c r="F68" s="246">
        <v>1</v>
      </c>
      <c r="G68" s="247"/>
      <c r="H68" s="248">
        <f t="shared" si="0"/>
        <v>0</v>
      </c>
    </row>
    <row r="69" spans="1:8" s="282" customFormat="1" ht="38.25">
      <c r="A69" s="296">
        <v>46</v>
      </c>
      <c r="B69" s="243" t="s">
        <v>1274</v>
      </c>
      <c r="C69" s="250" t="s">
        <v>1275</v>
      </c>
      <c r="D69" s="244" t="s">
        <v>1276</v>
      </c>
      <c r="E69" s="246"/>
      <c r="F69" s="246">
        <v>1</v>
      </c>
      <c r="G69" s="247"/>
      <c r="H69" s="248">
        <f t="shared" si="0"/>
        <v>0</v>
      </c>
    </row>
    <row r="70" spans="1:8" s="282" customFormat="1" ht="51">
      <c r="A70" s="296">
        <v>47</v>
      </c>
      <c r="B70" s="255" t="s">
        <v>1326</v>
      </c>
      <c r="C70" s="279" t="s">
        <v>1383</v>
      </c>
      <c r="D70" s="244" t="s">
        <v>1384</v>
      </c>
      <c r="E70" s="246"/>
      <c r="F70" s="246">
        <v>1</v>
      </c>
      <c r="G70" s="247"/>
      <c r="H70" s="248">
        <f t="shared" si="0"/>
        <v>0</v>
      </c>
    </row>
    <row r="71" spans="1:8" s="282" customFormat="1" ht="30">
      <c r="A71" s="296">
        <v>48</v>
      </c>
      <c r="B71" s="255" t="s">
        <v>1385</v>
      </c>
      <c r="C71" s="279" t="s">
        <v>1386</v>
      </c>
      <c r="D71" s="244" t="s">
        <v>1387</v>
      </c>
      <c r="E71" s="246"/>
      <c r="F71" s="246">
        <v>1</v>
      </c>
      <c r="G71" s="247"/>
      <c r="H71" s="248">
        <f t="shared" si="0"/>
        <v>0</v>
      </c>
    </row>
    <row r="72" spans="1:8" s="282" customFormat="1" ht="51">
      <c r="A72" s="296">
        <v>49</v>
      </c>
      <c r="B72" s="243" t="s">
        <v>1138</v>
      </c>
      <c r="C72" s="250" t="s">
        <v>1333</v>
      </c>
      <c r="D72" s="244" t="s">
        <v>1334</v>
      </c>
      <c r="E72" s="246" t="s">
        <v>1335</v>
      </c>
      <c r="F72" s="246">
        <v>1</v>
      </c>
      <c r="G72" s="247"/>
      <c r="H72" s="248">
        <f t="shared" si="0"/>
        <v>0</v>
      </c>
    </row>
    <row r="73" spans="1:8" s="282" customFormat="1" ht="38.25">
      <c r="A73" s="296">
        <v>50</v>
      </c>
      <c r="B73" s="255" t="s">
        <v>1370</v>
      </c>
      <c r="C73" s="250" t="s">
        <v>1371</v>
      </c>
      <c r="D73" s="246"/>
      <c r="E73" s="246" t="s">
        <v>1335</v>
      </c>
      <c r="F73" s="246">
        <v>1</v>
      </c>
      <c r="G73" s="247"/>
      <c r="H73" s="248">
        <f t="shared" ref="H73:H84" si="1">G73*F73</f>
        <v>0</v>
      </c>
    </row>
    <row r="74" spans="1:8" s="282" customFormat="1" ht="38.25">
      <c r="A74" s="296">
        <v>51</v>
      </c>
      <c r="B74" s="243" t="s">
        <v>1274</v>
      </c>
      <c r="C74" s="250" t="s">
        <v>1275</v>
      </c>
      <c r="D74" s="244" t="s">
        <v>1276</v>
      </c>
      <c r="E74" s="246"/>
      <c r="F74" s="246">
        <v>1</v>
      </c>
      <c r="G74" s="247"/>
      <c r="H74" s="248">
        <f t="shared" si="1"/>
        <v>0</v>
      </c>
    </row>
    <row r="75" spans="1:8" s="282" customFormat="1" ht="51">
      <c r="A75" s="296">
        <v>52</v>
      </c>
      <c r="B75" s="255" t="s">
        <v>1326</v>
      </c>
      <c r="C75" s="279" t="s">
        <v>1388</v>
      </c>
      <c r="D75" s="244" t="s">
        <v>1389</v>
      </c>
      <c r="E75" s="246"/>
      <c r="F75" s="246">
        <v>1</v>
      </c>
      <c r="G75" s="247"/>
      <c r="H75" s="248">
        <f t="shared" si="1"/>
        <v>0</v>
      </c>
    </row>
    <row r="76" spans="1:8" s="282" customFormat="1" ht="38.25">
      <c r="A76" s="296">
        <v>53</v>
      </c>
      <c r="B76" s="255" t="s">
        <v>1370</v>
      </c>
      <c r="C76" s="250" t="s">
        <v>1371</v>
      </c>
      <c r="D76" s="246"/>
      <c r="E76" s="246" t="s">
        <v>1335</v>
      </c>
      <c r="F76" s="246">
        <v>1</v>
      </c>
      <c r="G76" s="247"/>
      <c r="H76" s="248">
        <f t="shared" si="1"/>
        <v>0</v>
      </c>
    </row>
    <row r="77" spans="1:8" s="282" customFormat="1" ht="51">
      <c r="A77" s="296">
        <v>54</v>
      </c>
      <c r="B77" s="243" t="s">
        <v>1390</v>
      </c>
      <c r="C77" s="250" t="s">
        <v>1391</v>
      </c>
      <c r="D77" s="246" t="s">
        <v>1392</v>
      </c>
      <c r="E77" s="246" t="s">
        <v>1237</v>
      </c>
      <c r="F77" s="246">
        <v>1</v>
      </c>
      <c r="G77" s="247"/>
      <c r="H77" s="248">
        <f t="shared" si="1"/>
        <v>0</v>
      </c>
    </row>
    <row r="78" spans="1:8" s="282" customFormat="1" ht="25.5">
      <c r="A78" s="296">
        <v>55</v>
      </c>
      <c r="B78" s="243" t="s">
        <v>1393</v>
      </c>
      <c r="C78" s="297" t="s">
        <v>1394</v>
      </c>
      <c r="D78" s="244" t="s">
        <v>1395</v>
      </c>
      <c r="E78" s="246"/>
      <c r="F78" s="246">
        <v>1</v>
      </c>
      <c r="G78" s="247"/>
      <c r="H78" s="248">
        <f t="shared" si="1"/>
        <v>0</v>
      </c>
    </row>
    <row r="79" spans="1:8" s="282" customFormat="1" ht="25.5">
      <c r="A79" s="296" t="s">
        <v>1396</v>
      </c>
      <c r="B79" s="243" t="s">
        <v>1393</v>
      </c>
      <c r="C79" s="297" t="s">
        <v>1394</v>
      </c>
      <c r="D79" s="244" t="s">
        <v>1397</v>
      </c>
      <c r="E79" s="246"/>
      <c r="F79" s="246">
        <v>1</v>
      </c>
      <c r="G79" s="247"/>
      <c r="H79" s="248">
        <f t="shared" si="1"/>
        <v>0</v>
      </c>
    </row>
    <row r="80" spans="1:8" s="282" customFormat="1" ht="30">
      <c r="A80" s="294">
        <v>56</v>
      </c>
      <c r="B80" s="298" t="s">
        <v>1398</v>
      </c>
      <c r="C80" s="285" t="s">
        <v>1399</v>
      </c>
      <c r="D80" s="286" t="s">
        <v>1400</v>
      </c>
      <c r="E80" s="287" t="s">
        <v>1401</v>
      </c>
      <c r="F80" s="287">
        <v>1</v>
      </c>
      <c r="G80" s="288"/>
      <c r="H80" s="289">
        <f t="shared" si="1"/>
        <v>0</v>
      </c>
    </row>
    <row r="81" spans="1:8" s="282" customFormat="1" ht="45">
      <c r="A81" s="294">
        <v>57</v>
      </c>
      <c r="B81" s="298" t="s">
        <v>1402</v>
      </c>
      <c r="C81" s="285" t="s">
        <v>1403</v>
      </c>
      <c r="D81" s="286" t="s">
        <v>1404</v>
      </c>
      <c r="E81" s="287" t="s">
        <v>1405</v>
      </c>
      <c r="F81" s="287">
        <v>1</v>
      </c>
      <c r="G81" s="288"/>
      <c r="H81" s="289">
        <f t="shared" si="1"/>
        <v>0</v>
      </c>
    </row>
    <row r="82" spans="1:8" s="282" customFormat="1" ht="45">
      <c r="A82" s="294">
        <v>58</v>
      </c>
      <c r="B82" s="298" t="s">
        <v>1406</v>
      </c>
      <c r="C82" s="285" t="s">
        <v>1407</v>
      </c>
      <c r="D82" s="286" t="s">
        <v>1408</v>
      </c>
      <c r="E82" s="287"/>
      <c r="F82" s="287">
        <v>1</v>
      </c>
      <c r="G82" s="299"/>
      <c r="H82" s="289">
        <f t="shared" si="1"/>
        <v>0</v>
      </c>
    </row>
    <row r="83" spans="1:8" s="282" customFormat="1" ht="45">
      <c r="A83" s="296">
        <v>59</v>
      </c>
      <c r="B83" s="300" t="s">
        <v>1409</v>
      </c>
      <c r="C83" s="301" t="s">
        <v>1410</v>
      </c>
      <c r="D83" s="246"/>
      <c r="E83" s="246"/>
      <c r="F83" s="246">
        <v>2</v>
      </c>
      <c r="G83" s="247"/>
      <c r="H83" s="248">
        <f t="shared" si="1"/>
        <v>0</v>
      </c>
    </row>
    <row r="84" spans="1:8" s="310" customFormat="1" ht="25.5">
      <c r="A84" s="302" t="s">
        <v>100</v>
      </c>
      <c r="B84" s="303" t="s">
        <v>1411</v>
      </c>
      <c r="C84" s="250" t="s">
        <v>1412</v>
      </c>
      <c r="D84" s="246" t="s">
        <v>1413</v>
      </c>
      <c r="E84" s="282"/>
      <c r="F84" s="246">
        <v>1</v>
      </c>
      <c r="G84" s="304"/>
      <c r="H84" s="248">
        <f t="shared" si="1"/>
        <v>0</v>
      </c>
    </row>
    <row r="85" spans="1:8" s="282" customFormat="1" ht="13.5" thickBot="1">
      <c r="A85" s="305"/>
      <c r="B85" s="306"/>
      <c r="C85" s="307"/>
      <c r="D85" s="266"/>
      <c r="E85" s="268"/>
      <c r="F85" s="268"/>
      <c r="G85" s="308"/>
      <c r="H85" s="309"/>
    </row>
    <row r="86" spans="1:8" s="282" customFormat="1" ht="69.75" customHeight="1" thickBot="1">
      <c r="A86" s="311"/>
      <c r="B86" s="311"/>
      <c r="C86" s="312" t="s">
        <v>1414</v>
      </c>
      <c r="D86" s="313"/>
      <c r="E86" s="313"/>
      <c r="F86" s="313"/>
      <c r="G86" s="314"/>
      <c r="H86" s="315"/>
    </row>
    <row r="87" spans="1:8" s="282" customFormat="1" ht="64.5" thickBot="1">
      <c r="A87" s="311"/>
      <c r="B87" s="311"/>
      <c r="C87" s="316" t="s">
        <v>1415</v>
      </c>
      <c r="D87" s="317"/>
      <c r="E87" s="313"/>
      <c r="F87" s="318"/>
      <c r="G87" s="314"/>
      <c r="H87" s="315"/>
    </row>
    <row r="88" spans="1:8" s="241" customFormat="1" ht="12.75">
      <c r="A88" s="311"/>
      <c r="B88" s="319"/>
      <c r="C88" s="320"/>
      <c r="D88" s="246"/>
      <c r="E88" s="246"/>
      <c r="F88" s="246"/>
      <c r="G88" s="321"/>
      <c r="H88" s="315"/>
    </row>
    <row r="89" spans="1:8" s="241" customFormat="1" ht="17.25" customHeight="1">
      <c r="A89" s="311"/>
      <c r="B89" s="319"/>
      <c r="C89" s="322" t="s">
        <v>1416</v>
      </c>
      <c r="D89" s="323"/>
      <c r="E89" s="323"/>
      <c r="F89" s="323"/>
      <c r="G89" s="324"/>
      <c r="H89" s="325">
        <f>SUM(H7:H88)</f>
        <v>0</v>
      </c>
    </row>
    <row r="90" spans="1:8" s="241" customFormat="1" ht="26.25" customHeight="1" thickBot="1">
      <c r="A90" s="230"/>
      <c r="B90" s="230"/>
      <c r="C90" s="326"/>
      <c r="D90" s="327"/>
      <c r="E90" s="327"/>
      <c r="F90" s="327"/>
      <c r="G90" s="328"/>
      <c r="H90" s="329"/>
    </row>
    <row r="91" spans="1:8" s="241" customFormat="1" ht="12" customHeight="1">
      <c r="A91" s="330"/>
      <c r="B91" s="330"/>
      <c r="C91" s="331" t="s">
        <v>1417</v>
      </c>
      <c r="D91" s="330"/>
      <c r="E91" s="330"/>
      <c r="F91" s="330"/>
      <c r="G91" s="330"/>
      <c r="H91" s="332"/>
    </row>
    <row r="92" spans="1:8" s="241" customFormat="1" ht="11.25">
      <c r="A92" s="333"/>
      <c r="B92" s="333"/>
      <c r="C92" s="334"/>
      <c r="D92" s="333"/>
      <c r="E92" s="333"/>
      <c r="F92" s="333"/>
      <c r="G92" s="333"/>
      <c r="H92" s="335"/>
    </row>
    <row r="93" spans="1:8" s="241" customFormat="1" ht="18">
      <c r="A93" s="336"/>
      <c r="B93" s="336"/>
      <c r="C93" s="337" t="s">
        <v>1418</v>
      </c>
      <c r="D93" s="336"/>
      <c r="E93" s="336"/>
      <c r="F93" s="336"/>
      <c r="G93" s="336"/>
      <c r="H93" s="338">
        <f>H89</f>
        <v>0</v>
      </c>
    </row>
    <row r="94" spans="1:8" s="241" customFormat="1" ht="18">
      <c r="A94" s="336"/>
      <c r="B94" s="336"/>
      <c r="C94" s="337"/>
      <c r="D94" s="336"/>
      <c r="E94" s="336"/>
      <c r="F94" s="339">
        <v>3.9E-2</v>
      </c>
      <c r="G94" s="336"/>
      <c r="H94" s="338"/>
    </row>
    <row r="95" spans="1:8" s="241" customFormat="1" ht="18">
      <c r="A95" s="336"/>
      <c r="B95" s="336"/>
      <c r="C95" s="337" t="s">
        <v>1419</v>
      </c>
      <c r="D95" s="336"/>
      <c r="E95" s="336"/>
      <c r="F95" s="339"/>
      <c r="G95" s="336"/>
      <c r="H95" s="338">
        <v>0</v>
      </c>
    </row>
    <row r="96" spans="1:8" s="241" customFormat="1" ht="18">
      <c r="A96" s="336"/>
      <c r="B96" s="336"/>
      <c r="C96" s="337" t="s">
        <v>1420</v>
      </c>
      <c r="D96" s="336"/>
      <c r="E96" s="336"/>
      <c r="F96" s="339"/>
      <c r="G96" s="336"/>
      <c r="H96" s="338">
        <v>0</v>
      </c>
    </row>
    <row r="97" spans="1:8" s="241" customFormat="1" ht="18">
      <c r="A97" s="336"/>
      <c r="B97" s="336"/>
      <c r="C97" s="337" t="s">
        <v>1421</v>
      </c>
      <c r="D97" s="336"/>
      <c r="E97" s="336"/>
      <c r="F97" s="339"/>
      <c r="G97" s="336"/>
      <c r="H97" s="338">
        <v>0</v>
      </c>
    </row>
    <row r="98" spans="1:8" s="241" customFormat="1" ht="24" customHeight="1">
      <c r="A98" s="336"/>
      <c r="B98" s="336"/>
      <c r="C98" s="337"/>
      <c r="D98" s="336"/>
      <c r="E98" s="336"/>
      <c r="F98" s="339"/>
      <c r="G98" s="336"/>
      <c r="H98" s="338"/>
    </row>
    <row r="99" spans="1:8" ht="18">
      <c r="A99" s="340"/>
      <c r="B99" s="340"/>
      <c r="C99" s="341" t="s">
        <v>1422</v>
      </c>
      <c r="D99" s="342"/>
      <c r="E99" s="342"/>
      <c r="F99" s="342"/>
      <c r="G99" s="342"/>
      <c r="H99" s="343">
        <f>H93+H95+H96+H97</f>
        <v>0</v>
      </c>
    </row>
    <row r="100" spans="1:8" ht="18.75" thickBot="1">
      <c r="A100" s="344"/>
      <c r="B100" s="345"/>
    </row>
    <row r="101" spans="1:8" ht="21.75" customHeight="1" thickBot="1">
      <c r="B101" s="346" t="s">
        <v>1423</v>
      </c>
      <c r="C101" s="347"/>
    </row>
    <row r="102" spans="1:8" ht="15.75">
      <c r="B102" s="348"/>
      <c r="C102" s="218"/>
    </row>
    <row r="103" spans="1:8" ht="15.75">
      <c r="B103" s="349" t="s">
        <v>1424</v>
      </c>
      <c r="C103" s="218"/>
    </row>
    <row r="104" spans="1:8" ht="15.75">
      <c r="B104" s="349" t="s">
        <v>1425</v>
      </c>
      <c r="C104" s="218"/>
    </row>
    <row r="105" spans="1:8" ht="15.75">
      <c r="B105" s="349" t="s">
        <v>1426</v>
      </c>
      <c r="C105" s="218"/>
    </row>
    <row r="106" spans="1:8" ht="15.75">
      <c r="B106" s="349" t="s">
        <v>1427</v>
      </c>
      <c r="C106" s="218"/>
    </row>
    <row r="107" spans="1:8" s="220" customFormat="1" ht="15.75">
      <c r="A107" s="218"/>
      <c r="B107" s="349" t="s">
        <v>1428</v>
      </c>
      <c r="C107" s="218"/>
      <c r="D107" s="218"/>
      <c r="E107" s="218"/>
      <c r="F107" s="218"/>
      <c r="H107" s="218"/>
    </row>
    <row r="108" spans="1:8" s="220" customFormat="1" ht="15.75">
      <c r="A108" s="218"/>
      <c r="B108" s="350" t="s">
        <v>1429</v>
      </c>
      <c r="C108" s="218"/>
      <c r="D108" s="218"/>
      <c r="E108" s="218"/>
      <c r="F108" s="218"/>
      <c r="H108" s="218"/>
    </row>
    <row r="109" spans="1:8" s="220" customFormat="1" ht="15.75">
      <c r="A109" s="218"/>
      <c r="B109" s="350" t="s">
        <v>1430</v>
      </c>
      <c r="C109" s="218"/>
      <c r="D109" s="218"/>
      <c r="E109" s="218"/>
      <c r="F109" s="218"/>
      <c r="H109" s="218"/>
    </row>
    <row r="110" spans="1:8" s="220" customFormat="1" ht="15.75">
      <c r="A110" s="218"/>
      <c r="B110" s="350" t="s">
        <v>1431</v>
      </c>
      <c r="C110" s="218"/>
      <c r="D110" s="218"/>
      <c r="E110" s="218"/>
      <c r="F110" s="218"/>
      <c r="H110" s="218"/>
    </row>
    <row r="111" spans="1:8" s="220" customFormat="1" ht="15.75">
      <c r="A111" s="218"/>
      <c r="B111" s="350" t="s">
        <v>1432</v>
      </c>
      <c r="C111" s="218"/>
      <c r="D111" s="218"/>
      <c r="E111" s="218"/>
      <c r="F111" s="218"/>
      <c r="H111" s="218"/>
    </row>
    <row r="112" spans="1:8" ht="15.75">
      <c r="B112" s="349" t="s">
        <v>1433</v>
      </c>
      <c r="C112" s="218"/>
    </row>
    <row r="113" spans="2:6" ht="15.75">
      <c r="B113" s="350" t="s">
        <v>1434</v>
      </c>
      <c r="C113" s="230"/>
      <c r="D113" s="351"/>
      <c r="E113" s="229"/>
      <c r="F113" s="230"/>
    </row>
    <row r="114" spans="2:6" ht="15.75">
      <c r="B114" s="350" t="s">
        <v>1435</v>
      </c>
      <c r="C114" s="230"/>
      <c r="D114" s="351"/>
      <c r="E114" s="229"/>
      <c r="F114" s="230"/>
    </row>
    <row r="115" spans="2:6" ht="15.75">
      <c r="B115" s="350" t="s">
        <v>1436</v>
      </c>
      <c r="C115" s="230"/>
      <c r="D115" s="351"/>
      <c r="E115" s="229"/>
      <c r="F115" s="230"/>
    </row>
    <row r="116" spans="2:6" ht="15.75">
      <c r="B116" s="350" t="s">
        <v>1437</v>
      </c>
      <c r="C116" s="230"/>
      <c r="D116" s="351"/>
      <c r="E116" s="229"/>
      <c r="F116" s="230"/>
    </row>
    <row r="117" spans="2:6" ht="109.5" customHeight="1">
      <c r="B117" s="352"/>
      <c r="C117" s="230"/>
      <c r="D117" s="351"/>
      <c r="E117" s="229"/>
      <c r="F117" s="230"/>
    </row>
    <row r="118" spans="2:6" ht="15.75">
      <c r="B118" s="414" t="s">
        <v>1438</v>
      </c>
      <c r="C118" s="415"/>
      <c r="D118" s="415"/>
      <c r="E118" s="415"/>
      <c r="F118" s="415"/>
    </row>
  </sheetData>
  <mergeCells count="1">
    <mergeCell ref="B118:F118"/>
  </mergeCells>
  <conditionalFormatting sqref="E48">
    <cfRule type="colorScale" priority="1">
      <colorScale>
        <cfvo type="min"/>
        <cfvo type="percentile" val="50"/>
        <cfvo type="max"/>
        <color rgb="FFF8696B"/>
        <color rgb="FFFCFCFF"/>
        <color rgb="FF63BE7B"/>
      </colorScale>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A30"/>
  <sheetViews>
    <sheetView workbookViewId="0">
      <selection activeCell="W36" sqref="W36"/>
    </sheetView>
  </sheetViews>
  <sheetFormatPr defaultColWidth="9.33203125" defaultRowHeight="15"/>
  <cols>
    <col min="1" max="1" width="10.6640625" style="56" customWidth="1"/>
    <col min="2" max="16384" width="9.33203125" style="56"/>
  </cols>
  <sheetData>
    <row r="1" spans="1:1" ht="15.75">
      <c r="A1" s="55" t="s">
        <v>1139</v>
      </c>
    </row>
    <row r="2" spans="1:1" ht="15.75">
      <c r="A2" s="55"/>
    </row>
    <row r="3" spans="1:1" ht="15.75">
      <c r="A3" s="55" t="s">
        <v>1140</v>
      </c>
    </row>
    <row r="4" spans="1:1" ht="15.75">
      <c r="A4" s="55" t="s">
        <v>1141</v>
      </c>
    </row>
    <row r="6" spans="1:1" ht="15.75">
      <c r="A6" s="55" t="s">
        <v>1142</v>
      </c>
    </row>
    <row r="7" spans="1:1">
      <c r="A7" s="56" t="s">
        <v>1143</v>
      </c>
    </row>
    <row r="8" spans="1:1">
      <c r="A8" s="56" t="s">
        <v>1144</v>
      </c>
    </row>
    <row r="9" spans="1:1">
      <c r="A9" s="56" t="s">
        <v>1145</v>
      </c>
    </row>
    <row r="10" spans="1:1">
      <c r="A10" s="56" t="s">
        <v>1146</v>
      </c>
    </row>
    <row r="11" spans="1:1">
      <c r="A11" s="56" t="s">
        <v>1147</v>
      </c>
    </row>
    <row r="12" spans="1:1">
      <c r="A12" s="56" t="s">
        <v>1148</v>
      </c>
    </row>
    <row r="13" spans="1:1">
      <c r="A13" s="56" t="s">
        <v>1149</v>
      </c>
    </row>
    <row r="14" spans="1:1">
      <c r="A14" s="56" t="s">
        <v>1150</v>
      </c>
    </row>
    <row r="15" spans="1:1">
      <c r="A15" s="56" t="s">
        <v>1151</v>
      </c>
    </row>
    <row r="16" spans="1:1">
      <c r="A16" s="56" t="s">
        <v>1152</v>
      </c>
    </row>
    <row r="17" spans="1:1">
      <c r="A17" s="56" t="s">
        <v>1153</v>
      </c>
    </row>
    <row r="18" spans="1:1">
      <c r="A18" s="56" t="s">
        <v>1154</v>
      </c>
    </row>
    <row r="19" spans="1:1">
      <c r="A19" s="56" t="s">
        <v>1155</v>
      </c>
    </row>
    <row r="21" spans="1:1" ht="15.75">
      <c r="A21" s="55" t="s">
        <v>1156</v>
      </c>
    </row>
    <row r="22" spans="1:1">
      <c r="A22" s="56" t="s">
        <v>1157</v>
      </c>
    </row>
    <row r="23" spans="1:1">
      <c r="A23" s="56" t="s">
        <v>1158</v>
      </c>
    </row>
    <row r="24" spans="1:1">
      <c r="A24" s="56" t="s">
        <v>1159</v>
      </c>
    </row>
    <row r="25" spans="1:1">
      <c r="A25" s="56" t="s">
        <v>1160</v>
      </c>
    </row>
    <row r="27" spans="1:1" ht="15.75">
      <c r="A27" s="55" t="s">
        <v>1161</v>
      </c>
    </row>
    <row r="28" spans="1:1">
      <c r="A28" s="56" t="s">
        <v>1162</v>
      </c>
    </row>
    <row r="29" spans="1:1">
      <c r="A29" s="56" t="s">
        <v>1163</v>
      </c>
    </row>
    <row r="30" spans="1:1">
      <c r="A30" s="56" t="s">
        <v>1147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Rozpočet - součet</vt:lpstr>
      <vt:lpstr>Krycí list rozpočtu</vt:lpstr>
      <vt:lpstr>Stavební práce</vt:lpstr>
      <vt:lpstr>elektroinstalace</vt:lpstr>
      <vt:lpstr>vzduchotechnika</vt:lpstr>
      <vt:lpstr>technologie</vt:lpstr>
      <vt:lpstr>info k instalaci technologie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Smrkovská Zuzana</cp:lastModifiedBy>
  <dcterms:created xsi:type="dcterms:W3CDTF">2021-06-10T20:06:38Z</dcterms:created>
  <dcterms:modified xsi:type="dcterms:W3CDTF">2025-04-30T10:58:04Z</dcterms:modified>
</cp:coreProperties>
</file>