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kono\Desktop\"/>
    </mc:Choice>
  </mc:AlternateContent>
  <xr:revisionPtr revIDLastSave="0" documentId="13_ncr:1_{BFADF714-922B-49F1-8E9B-172E0375C0D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Krycí list rozpočtu" sheetId="3" r:id="rId1"/>
    <sheet name="VORN" sheetId="4" r:id="rId2"/>
    <sheet name="Rekapitulace" sheetId="2" r:id="rId3"/>
    <sheet name="Soupis dodávek a prací" sheetId="1" r:id="rId4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3" l="1"/>
  <c r="O102" i="1"/>
  <c r="BW108" i="1"/>
  <c r="BJ108" i="1"/>
  <c r="BD108" i="1"/>
  <c r="AP108" i="1"/>
  <c r="BI108" i="1" s="1"/>
  <c r="AO108" i="1"/>
  <c r="BH108" i="1" s="1"/>
  <c r="AK108" i="1"/>
  <c r="AJ108" i="1"/>
  <c r="AH108" i="1"/>
  <c r="AG108" i="1"/>
  <c r="AF108" i="1"/>
  <c r="AE108" i="1"/>
  <c r="AD108" i="1"/>
  <c r="AC108" i="1"/>
  <c r="AB108" i="1"/>
  <c r="Z108" i="1"/>
  <c r="O108" i="1"/>
  <c r="BF108" i="1" s="1"/>
  <c r="L108" i="1"/>
  <c r="AL108" i="1" s="1"/>
  <c r="I35" i="4"/>
  <c r="I36" i="4" s="1"/>
  <c r="I24" i="3" s="1"/>
  <c r="I26" i="4"/>
  <c r="I19" i="3" s="1"/>
  <c r="I25" i="4"/>
  <c r="I18" i="3" s="1"/>
  <c r="I24" i="4"/>
  <c r="I17" i="3" s="1"/>
  <c r="I23" i="4"/>
  <c r="I22" i="4"/>
  <c r="I15" i="3" s="1"/>
  <c r="I21" i="4"/>
  <c r="I14" i="3" s="1"/>
  <c r="I18" i="4"/>
  <c r="I17" i="4"/>
  <c r="I16" i="4"/>
  <c r="I15" i="4"/>
  <c r="C10" i="4"/>
  <c r="F8" i="4"/>
  <c r="C6" i="4"/>
  <c r="F4" i="4"/>
  <c r="C4" i="4"/>
  <c r="F2" i="4"/>
  <c r="C2" i="4"/>
  <c r="F22" i="3"/>
  <c r="I16" i="3"/>
  <c r="F16" i="3"/>
  <c r="F15" i="3"/>
  <c r="F14" i="3"/>
  <c r="C10" i="3"/>
  <c r="F8" i="3"/>
  <c r="C6" i="3"/>
  <c r="F4" i="3"/>
  <c r="C4" i="3"/>
  <c r="F2" i="3"/>
  <c r="I14" i="2"/>
  <c r="I11" i="2"/>
  <c r="C6" i="2"/>
  <c r="G4" i="2"/>
  <c r="C4" i="2"/>
  <c r="G2" i="2"/>
  <c r="C2" i="2"/>
  <c r="BW103" i="1"/>
  <c r="BJ103" i="1"/>
  <c r="BD103" i="1"/>
  <c r="AP103" i="1"/>
  <c r="BI103" i="1" s="1"/>
  <c r="AE103" i="1" s="1"/>
  <c r="AO103" i="1"/>
  <c r="BH103" i="1" s="1"/>
  <c r="AD103" i="1" s="1"/>
  <c r="AK103" i="1"/>
  <c r="AT102" i="1" s="1"/>
  <c r="AJ103" i="1"/>
  <c r="AS102" i="1" s="1"/>
  <c r="AH103" i="1"/>
  <c r="AG103" i="1"/>
  <c r="AF103" i="1"/>
  <c r="AC103" i="1"/>
  <c r="AB103" i="1"/>
  <c r="Z103" i="1"/>
  <c r="O103" i="1"/>
  <c r="BF103" i="1" s="1"/>
  <c r="L103" i="1"/>
  <c r="BW92" i="1"/>
  <c r="BJ92" i="1"/>
  <c r="BD92" i="1"/>
  <c r="AP92" i="1"/>
  <c r="AX92" i="1" s="1"/>
  <c r="AO92" i="1"/>
  <c r="BH92" i="1" s="1"/>
  <c r="AD92" i="1" s="1"/>
  <c r="AK92" i="1"/>
  <c r="AJ92" i="1"/>
  <c r="AH92" i="1"/>
  <c r="AG92" i="1"/>
  <c r="AF92" i="1"/>
  <c r="AC92" i="1"/>
  <c r="AB92" i="1"/>
  <c r="Z92" i="1"/>
  <c r="O92" i="1"/>
  <c r="BF92" i="1" s="1"/>
  <c r="L92" i="1"/>
  <c r="M92" i="1" s="1"/>
  <c r="K92" i="1"/>
  <c r="BW81" i="1"/>
  <c r="BJ81" i="1"/>
  <c r="BF81" i="1"/>
  <c r="BD81" i="1"/>
  <c r="AW81" i="1"/>
  <c r="AP81" i="1"/>
  <c r="BI81" i="1" s="1"/>
  <c r="AE81" i="1" s="1"/>
  <c r="AO81" i="1"/>
  <c r="BH81" i="1" s="1"/>
  <c r="AD81" i="1" s="1"/>
  <c r="AK81" i="1"/>
  <c r="AJ81" i="1"/>
  <c r="AH81" i="1"/>
  <c r="AG81" i="1"/>
  <c r="AF81" i="1"/>
  <c r="AC81" i="1"/>
  <c r="AB81" i="1"/>
  <c r="Z81" i="1"/>
  <c r="O81" i="1"/>
  <c r="L81" i="1"/>
  <c r="AL81" i="1" s="1"/>
  <c r="BW70" i="1"/>
  <c r="BJ70" i="1"/>
  <c r="BD70" i="1"/>
  <c r="AP70" i="1"/>
  <c r="AX70" i="1" s="1"/>
  <c r="AO70" i="1"/>
  <c r="AW70" i="1" s="1"/>
  <c r="AK70" i="1"/>
  <c r="AJ70" i="1"/>
  <c r="AH70" i="1"/>
  <c r="AG70" i="1"/>
  <c r="AF70" i="1"/>
  <c r="AC70" i="1"/>
  <c r="AB70" i="1"/>
  <c r="Z70" i="1"/>
  <c r="O70" i="1"/>
  <c r="BF70" i="1" s="1"/>
  <c r="L70" i="1"/>
  <c r="AL70" i="1" s="1"/>
  <c r="J70" i="1"/>
  <c r="BW59" i="1"/>
  <c r="BJ59" i="1"/>
  <c r="BD59" i="1"/>
  <c r="AX59" i="1"/>
  <c r="AP59" i="1"/>
  <c r="BI59" i="1" s="1"/>
  <c r="AE59" i="1" s="1"/>
  <c r="AO59" i="1"/>
  <c r="BH59" i="1" s="1"/>
  <c r="AD59" i="1" s="1"/>
  <c r="AK59" i="1"/>
  <c r="AJ59" i="1"/>
  <c r="AH59" i="1"/>
  <c r="AG59" i="1"/>
  <c r="AF59" i="1"/>
  <c r="AC59" i="1"/>
  <c r="AB59" i="1"/>
  <c r="Z59" i="1"/>
  <c r="O59" i="1"/>
  <c r="BF59" i="1" s="1"/>
  <c r="L59" i="1"/>
  <c r="AL59" i="1" s="1"/>
  <c r="K59" i="1"/>
  <c r="BW49" i="1"/>
  <c r="BJ49" i="1"/>
  <c r="BD49" i="1"/>
  <c r="AP49" i="1"/>
  <c r="BI49" i="1" s="1"/>
  <c r="AE49" i="1" s="1"/>
  <c r="AO49" i="1"/>
  <c r="BH49" i="1" s="1"/>
  <c r="AD49" i="1" s="1"/>
  <c r="AK49" i="1"/>
  <c r="AJ49" i="1"/>
  <c r="AH49" i="1"/>
  <c r="AG49" i="1"/>
  <c r="AF49" i="1"/>
  <c r="AC49" i="1"/>
  <c r="AB49" i="1"/>
  <c r="Z49" i="1"/>
  <c r="O49" i="1"/>
  <c r="BF49" i="1" s="1"/>
  <c r="L49" i="1"/>
  <c r="AL49" i="1" s="1"/>
  <c r="BW44" i="1"/>
  <c r="M44" i="1" s="1"/>
  <c r="BJ44" i="1"/>
  <c r="BH44" i="1"/>
  <c r="AD44" i="1" s="1"/>
  <c r="BF44" i="1"/>
  <c r="BD44" i="1"/>
  <c r="AP44" i="1"/>
  <c r="AX44" i="1" s="1"/>
  <c r="AO44" i="1"/>
  <c r="AW44" i="1" s="1"/>
  <c r="AL44" i="1"/>
  <c r="AK44" i="1"/>
  <c r="AJ44" i="1"/>
  <c r="AH44" i="1"/>
  <c r="AG44" i="1"/>
  <c r="AF44" i="1"/>
  <c r="AC44" i="1"/>
  <c r="AB44" i="1"/>
  <c r="Z44" i="1"/>
  <c r="O44" i="1"/>
  <c r="L44" i="1"/>
  <c r="J44" i="1"/>
  <c r="BW40" i="1"/>
  <c r="BJ40" i="1"/>
  <c r="BD40" i="1"/>
  <c r="AP40" i="1"/>
  <c r="BI40" i="1" s="1"/>
  <c r="AE40" i="1" s="1"/>
  <c r="AO40" i="1"/>
  <c r="BH40" i="1" s="1"/>
  <c r="AD40" i="1" s="1"/>
  <c r="AK40" i="1"/>
  <c r="AJ40" i="1"/>
  <c r="AH40" i="1"/>
  <c r="AG40" i="1"/>
  <c r="AF40" i="1"/>
  <c r="AC40" i="1"/>
  <c r="AB40" i="1"/>
  <c r="Z40" i="1"/>
  <c r="O40" i="1"/>
  <c r="BF40" i="1" s="1"/>
  <c r="L40" i="1"/>
  <c r="AL40" i="1" s="1"/>
  <c r="BW36" i="1"/>
  <c r="BJ36" i="1"/>
  <c r="BD36" i="1"/>
  <c r="AP36" i="1"/>
  <c r="BI36" i="1" s="1"/>
  <c r="AE36" i="1" s="1"/>
  <c r="AO36" i="1"/>
  <c r="BH36" i="1" s="1"/>
  <c r="AD36" i="1" s="1"/>
  <c r="AK36" i="1"/>
  <c r="AJ36" i="1"/>
  <c r="AH36" i="1"/>
  <c r="AG36" i="1"/>
  <c r="AF36" i="1"/>
  <c r="AC36" i="1"/>
  <c r="AB36" i="1"/>
  <c r="Z36" i="1"/>
  <c r="O36" i="1"/>
  <c r="BF36" i="1" s="1"/>
  <c r="L36" i="1"/>
  <c r="AL36" i="1" s="1"/>
  <c r="BW35" i="1"/>
  <c r="BJ35" i="1"/>
  <c r="BF35" i="1"/>
  <c r="BD35" i="1"/>
  <c r="AP35" i="1"/>
  <c r="AX35" i="1" s="1"/>
  <c r="AO35" i="1"/>
  <c r="AW35" i="1" s="1"/>
  <c r="AK35" i="1"/>
  <c r="AJ35" i="1"/>
  <c r="AH35" i="1"/>
  <c r="AG35" i="1"/>
  <c r="AF35" i="1"/>
  <c r="AC35" i="1"/>
  <c r="AB35" i="1"/>
  <c r="Z35" i="1"/>
  <c r="O35" i="1"/>
  <c r="L35" i="1"/>
  <c r="M35" i="1" s="1"/>
  <c r="BW32" i="1"/>
  <c r="BJ32" i="1"/>
  <c r="BD32" i="1"/>
  <c r="AW32" i="1"/>
  <c r="AP32" i="1"/>
  <c r="K32" i="1" s="1"/>
  <c r="AO32" i="1"/>
  <c r="BH32" i="1" s="1"/>
  <c r="AD32" i="1" s="1"/>
  <c r="AK32" i="1"/>
  <c r="AJ32" i="1"/>
  <c r="AH32" i="1"/>
  <c r="AG32" i="1"/>
  <c r="AF32" i="1"/>
  <c r="AC32" i="1"/>
  <c r="AB32" i="1"/>
  <c r="Z32" i="1"/>
  <c r="O32" i="1"/>
  <c r="BF32" i="1" s="1"/>
  <c r="L32" i="1"/>
  <c r="M32" i="1" s="1"/>
  <c r="BW29" i="1"/>
  <c r="BJ29" i="1"/>
  <c r="BD29" i="1"/>
  <c r="AP29" i="1"/>
  <c r="BI29" i="1" s="1"/>
  <c r="AE29" i="1" s="1"/>
  <c r="AO29" i="1"/>
  <c r="BH29" i="1" s="1"/>
  <c r="AD29" i="1" s="1"/>
  <c r="AK29" i="1"/>
  <c r="AJ29" i="1"/>
  <c r="AH29" i="1"/>
  <c r="AG29" i="1"/>
  <c r="AF29" i="1"/>
  <c r="AC29" i="1"/>
  <c r="AB29" i="1"/>
  <c r="Z29" i="1"/>
  <c r="O29" i="1"/>
  <c r="BF29" i="1" s="1"/>
  <c r="L29" i="1"/>
  <c r="AL29" i="1" s="1"/>
  <c r="BW27" i="1"/>
  <c r="BJ27" i="1"/>
  <c r="BD27" i="1"/>
  <c r="AP27" i="1"/>
  <c r="BI27" i="1" s="1"/>
  <c r="AO27" i="1"/>
  <c r="BH27" i="1" s="1"/>
  <c r="AK27" i="1"/>
  <c r="AJ27" i="1"/>
  <c r="AH27" i="1"/>
  <c r="AG27" i="1"/>
  <c r="AF27" i="1"/>
  <c r="AE27" i="1"/>
  <c r="AD27" i="1"/>
  <c r="AC27" i="1"/>
  <c r="AB27" i="1"/>
  <c r="Z27" i="1"/>
  <c r="O27" i="1"/>
  <c r="BF27" i="1" s="1"/>
  <c r="L27" i="1"/>
  <c r="AL27" i="1" s="1"/>
  <c r="BW25" i="1"/>
  <c r="BJ25" i="1"/>
  <c r="BD25" i="1"/>
  <c r="AP25" i="1"/>
  <c r="AX25" i="1" s="1"/>
  <c r="AO25" i="1"/>
  <c r="AW25" i="1" s="1"/>
  <c r="AK25" i="1"/>
  <c r="AJ25" i="1"/>
  <c r="AH25" i="1"/>
  <c r="AG25" i="1"/>
  <c r="AF25" i="1"/>
  <c r="AC25" i="1"/>
  <c r="AB25" i="1"/>
  <c r="Z25" i="1"/>
  <c r="O25" i="1"/>
  <c r="BF25" i="1" s="1"/>
  <c r="L25" i="1"/>
  <c r="M25" i="1" s="1"/>
  <c r="BW24" i="1"/>
  <c r="BJ24" i="1"/>
  <c r="BD24" i="1"/>
  <c r="AP24" i="1"/>
  <c r="K24" i="1" s="1"/>
  <c r="AO24" i="1"/>
  <c r="BH24" i="1" s="1"/>
  <c r="AD24" i="1" s="1"/>
  <c r="AK24" i="1"/>
  <c r="AJ24" i="1"/>
  <c r="AH24" i="1"/>
  <c r="AG24" i="1"/>
  <c r="AF24" i="1"/>
  <c r="AC24" i="1"/>
  <c r="AB24" i="1"/>
  <c r="Z24" i="1"/>
  <c r="O24" i="1"/>
  <c r="BF24" i="1" s="1"/>
  <c r="L24" i="1"/>
  <c r="AL24" i="1" s="1"/>
  <c r="BW22" i="1"/>
  <c r="BJ22" i="1"/>
  <c r="BD22" i="1"/>
  <c r="AP22" i="1"/>
  <c r="BI22" i="1" s="1"/>
  <c r="AE22" i="1" s="1"/>
  <c r="AO22" i="1"/>
  <c r="BH22" i="1" s="1"/>
  <c r="AD22" i="1" s="1"/>
  <c r="AK22" i="1"/>
  <c r="AJ22" i="1"/>
  <c r="AH22" i="1"/>
  <c r="AG22" i="1"/>
  <c r="AF22" i="1"/>
  <c r="AC22" i="1"/>
  <c r="AB22" i="1"/>
  <c r="Z22" i="1"/>
  <c r="O22" i="1"/>
  <c r="O21" i="1" s="1"/>
  <c r="G15" i="2" s="1"/>
  <c r="L22" i="1"/>
  <c r="AL22" i="1" s="1"/>
  <c r="BW19" i="1"/>
  <c r="BJ19" i="1"/>
  <c r="Z19" i="1" s="1"/>
  <c r="BD19" i="1"/>
  <c r="AP19" i="1"/>
  <c r="AX19" i="1" s="1"/>
  <c r="AO19" i="1"/>
  <c r="AW19" i="1" s="1"/>
  <c r="AK19" i="1"/>
  <c r="AJ19" i="1"/>
  <c r="AS18" i="1" s="1"/>
  <c r="AH19" i="1"/>
  <c r="AG19" i="1"/>
  <c r="AF19" i="1"/>
  <c r="AE19" i="1"/>
  <c r="AD19" i="1"/>
  <c r="AC19" i="1"/>
  <c r="AB19" i="1"/>
  <c r="O19" i="1"/>
  <c r="BF19" i="1" s="1"/>
  <c r="L19" i="1"/>
  <c r="AL19" i="1" s="1"/>
  <c r="AU18" i="1" s="1"/>
  <c r="AT18" i="1"/>
  <c r="BW14" i="1"/>
  <c r="BJ14" i="1"/>
  <c r="BD14" i="1"/>
  <c r="AP14" i="1"/>
  <c r="AX14" i="1" s="1"/>
  <c r="AO14" i="1"/>
  <c r="AW14" i="1" s="1"/>
  <c r="AK14" i="1"/>
  <c r="AJ14" i="1"/>
  <c r="AS13" i="1" s="1"/>
  <c r="AH14" i="1"/>
  <c r="AG14" i="1"/>
  <c r="AF14" i="1"/>
  <c r="AE14" i="1"/>
  <c r="AD14" i="1"/>
  <c r="Z14" i="1"/>
  <c r="O14" i="1"/>
  <c r="BF14" i="1" s="1"/>
  <c r="L14" i="1"/>
  <c r="M14" i="1" s="1"/>
  <c r="M13" i="1" s="1"/>
  <c r="AT13" i="1"/>
  <c r="AU1" i="1"/>
  <c r="AT1" i="1"/>
  <c r="AS1" i="1"/>
  <c r="L102" i="1" l="1"/>
  <c r="F17" i="2"/>
  <c r="I17" i="2" s="1"/>
  <c r="AW108" i="1"/>
  <c r="L18" i="1"/>
  <c r="F13" i="2" s="1"/>
  <c r="I13" i="2" s="1"/>
  <c r="J35" i="1"/>
  <c r="AL35" i="1"/>
  <c r="AW40" i="1"/>
  <c r="AW49" i="1"/>
  <c r="BI92" i="1"/>
  <c r="AE92" i="1" s="1"/>
  <c r="AX108" i="1"/>
  <c r="BF22" i="1"/>
  <c r="O28" i="1"/>
  <c r="G16" i="2" s="1"/>
  <c r="J25" i="1"/>
  <c r="AL103" i="1"/>
  <c r="AU102" i="1" s="1"/>
  <c r="AS21" i="1"/>
  <c r="J81" i="1"/>
  <c r="K103" i="1"/>
  <c r="E17" i="2" s="1"/>
  <c r="AW92" i="1"/>
  <c r="AT21" i="1"/>
  <c r="J108" i="1"/>
  <c r="J102" i="1" s="1"/>
  <c r="L13" i="1"/>
  <c r="BH25" i="1"/>
  <c r="AD25" i="1" s="1"/>
  <c r="C16" i="3" s="1"/>
  <c r="AL32" i="1"/>
  <c r="AU28" i="1" s="1"/>
  <c r="BH35" i="1"/>
  <c r="AD35" i="1" s="1"/>
  <c r="AX103" i="1"/>
  <c r="AV103" i="1" s="1"/>
  <c r="K108" i="1"/>
  <c r="K102" i="1" s="1"/>
  <c r="AL14" i="1"/>
  <c r="AU13" i="1" s="1"/>
  <c r="K14" i="1"/>
  <c r="K13" i="1" s="1"/>
  <c r="M108" i="1"/>
  <c r="M102" i="1" s="1"/>
  <c r="I27" i="4"/>
  <c r="I22" i="3" s="1"/>
  <c r="M103" i="1"/>
  <c r="AW103" i="1"/>
  <c r="AL92" i="1"/>
  <c r="BC92" i="1"/>
  <c r="AX81" i="1"/>
  <c r="AV81" i="1" s="1"/>
  <c r="BH70" i="1"/>
  <c r="AD70" i="1" s="1"/>
  <c r="M70" i="1"/>
  <c r="M59" i="1"/>
  <c r="C19" i="3"/>
  <c r="AW59" i="1"/>
  <c r="BC59" i="1" s="1"/>
  <c r="AS28" i="1"/>
  <c r="L28" i="1"/>
  <c r="F16" i="2" s="1"/>
  <c r="I16" i="2" s="1"/>
  <c r="K40" i="1"/>
  <c r="AX40" i="1"/>
  <c r="BC40" i="1"/>
  <c r="M40" i="1"/>
  <c r="AT28" i="1"/>
  <c r="AX32" i="1"/>
  <c r="BC32" i="1" s="1"/>
  <c r="AW36" i="1"/>
  <c r="AV36" i="1" s="1"/>
  <c r="BI32" i="1"/>
  <c r="AE32" i="1" s="1"/>
  <c r="AW29" i="1"/>
  <c r="AW27" i="1"/>
  <c r="C18" i="3"/>
  <c r="AW24" i="1"/>
  <c r="BC24" i="1" s="1"/>
  <c r="AX24" i="1"/>
  <c r="L21" i="1"/>
  <c r="BI24" i="1"/>
  <c r="AE24" i="1" s="1"/>
  <c r="M24" i="1"/>
  <c r="AL25" i="1"/>
  <c r="AU21" i="1" s="1"/>
  <c r="C21" i="3"/>
  <c r="BH19" i="1"/>
  <c r="BI19" i="1"/>
  <c r="C20" i="3"/>
  <c r="J19" i="1"/>
  <c r="J18" i="1" s="1"/>
  <c r="D13" i="2" s="1"/>
  <c r="K19" i="1"/>
  <c r="K18" i="1" s="1"/>
  <c r="E13" i="2" s="1"/>
  <c r="C28" i="3"/>
  <c r="F28" i="3" s="1"/>
  <c r="AW22" i="1"/>
  <c r="M19" i="1"/>
  <c r="M18" i="1" s="1"/>
  <c r="M12" i="1" s="1"/>
  <c r="BH14" i="1"/>
  <c r="AB14" i="1" s="1"/>
  <c r="C14" i="3" s="1"/>
  <c r="F12" i="2"/>
  <c r="I12" i="2" s="1"/>
  <c r="BI14" i="1"/>
  <c r="AC14" i="1" s="1"/>
  <c r="C15" i="3" s="1"/>
  <c r="E12" i="2"/>
  <c r="L12" i="1"/>
  <c r="F11" i="2" s="1"/>
  <c r="J14" i="1"/>
  <c r="J13" i="1" s="1"/>
  <c r="BC35" i="1"/>
  <c r="AV35" i="1"/>
  <c r="BC14" i="1"/>
  <c r="AV14" i="1"/>
  <c r="AV22" i="1"/>
  <c r="BC19" i="1"/>
  <c r="AV19" i="1"/>
  <c r="BC25" i="1"/>
  <c r="AV25" i="1"/>
  <c r="BC70" i="1"/>
  <c r="AV70" i="1"/>
  <c r="BC44" i="1"/>
  <c r="AV44" i="1"/>
  <c r="AX22" i="1"/>
  <c r="AX29" i="1"/>
  <c r="AV29" i="1" s="1"/>
  <c r="AX49" i="1"/>
  <c r="AV49" i="1" s="1"/>
  <c r="AX27" i="1"/>
  <c r="AV27" i="1" s="1"/>
  <c r="AX36" i="1"/>
  <c r="BC36" i="1" s="1"/>
  <c r="K25" i="1"/>
  <c r="BI25" i="1"/>
  <c r="AE25" i="1" s="1"/>
  <c r="K35" i="1"/>
  <c r="BI35" i="1"/>
  <c r="AE35" i="1" s="1"/>
  <c r="K44" i="1"/>
  <c r="BI44" i="1"/>
  <c r="AE44" i="1" s="1"/>
  <c r="K70" i="1"/>
  <c r="BI70" i="1"/>
  <c r="AE70" i="1" s="1"/>
  <c r="AV24" i="1"/>
  <c r="AV32" i="1"/>
  <c r="AV40" i="1"/>
  <c r="AV92" i="1"/>
  <c r="C27" i="3"/>
  <c r="J22" i="1"/>
  <c r="J27" i="1"/>
  <c r="J29" i="1"/>
  <c r="J36" i="1"/>
  <c r="J49" i="1"/>
  <c r="K22" i="1"/>
  <c r="K27" i="1"/>
  <c r="K29" i="1"/>
  <c r="K36" i="1"/>
  <c r="K49" i="1"/>
  <c r="K81" i="1"/>
  <c r="O13" i="1"/>
  <c r="O18" i="1"/>
  <c r="G13" i="2" s="1"/>
  <c r="M22" i="1"/>
  <c r="M27" i="1"/>
  <c r="M29" i="1"/>
  <c r="M36" i="1"/>
  <c r="M49" i="1"/>
  <c r="M81" i="1"/>
  <c r="J24" i="1"/>
  <c r="J32" i="1"/>
  <c r="J40" i="1"/>
  <c r="J59" i="1"/>
  <c r="J92" i="1"/>
  <c r="J103" i="1"/>
  <c r="D17" i="2" s="1"/>
  <c r="BC22" i="1" l="1"/>
  <c r="BC103" i="1"/>
  <c r="BC81" i="1"/>
  <c r="O12" i="1"/>
  <c r="G11" i="2" s="1"/>
  <c r="G12" i="2"/>
  <c r="O20" i="1"/>
  <c r="G14" i="2" s="1"/>
  <c r="G17" i="2"/>
  <c r="BC27" i="1"/>
  <c r="BC108" i="1"/>
  <c r="AV108" i="1"/>
  <c r="AV59" i="1"/>
  <c r="BC49" i="1"/>
  <c r="BC29" i="1"/>
  <c r="C17" i="3"/>
  <c r="J21" i="1"/>
  <c r="D15" i="2" s="1"/>
  <c r="L20" i="1"/>
  <c r="F14" i="2" s="1"/>
  <c r="F15" i="2"/>
  <c r="I15" i="2" s="1"/>
  <c r="F18" i="2" s="1"/>
  <c r="L109" i="1"/>
  <c r="K12" i="1"/>
  <c r="E11" i="2" s="1"/>
  <c r="J12" i="1"/>
  <c r="D11" i="2" s="1"/>
  <c r="D12" i="2"/>
  <c r="C22" i="3"/>
  <c r="F29" i="4"/>
  <c r="C29" i="3"/>
  <c r="F29" i="3" s="1"/>
  <c r="J28" i="1"/>
  <c r="D16" i="2" s="1"/>
  <c r="K21" i="1"/>
  <c r="E15" i="2" s="1"/>
  <c r="M21" i="1"/>
  <c r="M28" i="1"/>
  <c r="J20" i="1"/>
  <c r="D14" i="2" s="1"/>
  <c r="K28" i="1"/>
  <c r="E16" i="2" s="1"/>
  <c r="M20" i="1" l="1"/>
  <c r="M109" i="1"/>
  <c r="I28" i="3"/>
  <c r="I29" i="3" s="1"/>
  <c r="K20" i="1"/>
  <c r="E14" i="2" s="1"/>
</calcChain>
</file>

<file path=xl/sharedStrings.xml><?xml version="1.0" encoding="utf-8"?>
<sst xmlns="http://schemas.openxmlformats.org/spreadsheetml/2006/main" count="740" uniqueCount="239">
  <si>
    <t>Soupis dodávek a prací</t>
  </si>
  <si>
    <t>Název stavby:</t>
  </si>
  <si>
    <t>Doba výstavby:</t>
  </si>
  <si>
    <t xml:space="preserve"> </t>
  </si>
  <si>
    <t>Objednatel:</t>
  </si>
  <si>
    <t> </t>
  </si>
  <si>
    <t>Druh stavby:</t>
  </si>
  <si>
    <t>Zacátek výstavby:</t>
  </si>
  <si>
    <t>Projektant:</t>
  </si>
  <si>
    <t>Lokalita:</t>
  </si>
  <si>
    <t>Konec výstavby:</t>
  </si>
  <si>
    <t>Zhotovitel:</t>
  </si>
  <si>
    <t>JKSO:</t>
  </si>
  <si>
    <t>Zpracováno dne:</t>
  </si>
  <si>
    <t>Zpracoval: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</si>
  <si>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</si>
  <si>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</si>
  <si>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</si>
  <si>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</si>
  <si>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</si>
  <si>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</si>
  <si>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</si>
  <si>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</si>
  <si>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</si>
  <si>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</si>
  <si>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</si>
  <si>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</si>
  <si>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</si>
  <si>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</si>
  <si>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</si>
  <si>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</si>
  <si>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</si>
  <si>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</si>
  <si>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</si>
  <si>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</si>
  <si>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</si>
  <si>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</si>
  <si>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</si>
  <si>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</si>
  <si>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</si>
  <si>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</si>
  <si>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</si>
  <si>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</si>
  <si>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</si>
  <si>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</si>
  <si>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</si>
  <si>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</si>
  <si>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</si>
  <si>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</si>
  <si>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HSV</t>
  </si>
  <si>
    <t>96</t>
  </si>
  <si>
    <t>Bourání konstrukcí</t>
  </si>
  <si>
    <t>1</t>
  </si>
  <si>
    <t>968061125R00</t>
  </si>
  <si>
    <t>Vyvešení drevených a plastových dverních krídel pl. do 2 m2</t>
  </si>
  <si>
    <t>kus</t>
  </si>
  <si>
    <t>RTS I / 2025</t>
  </si>
  <si>
    <t>10_96_</t>
  </si>
  <si>
    <t>10_9_</t>
  </si>
  <si>
    <t>_</t>
  </si>
  <si>
    <t>P</t>
  </si>
  <si>
    <t>šetrná demontáž a príprava k odvozu na místo opravy a následne zpetné zavešení opravených dverí</t>
  </si>
  <si>
    <t>dle zamerení na míste</t>
  </si>
  <si>
    <t>(60+35*2+3*2)*2</t>
  </si>
  <si>
    <t>99</t>
  </si>
  <si>
    <t>Presun hmot</t>
  </si>
  <si>
    <t>2</t>
  </si>
  <si>
    <t>999281148R00</t>
  </si>
  <si>
    <t>Presun hmot pro opravy a údržbu do v. 12 m,nošením</t>
  </si>
  <si>
    <t>t</t>
  </si>
  <si>
    <t>5</t>
  </si>
  <si>
    <t>10_99_</t>
  </si>
  <si>
    <t>PSV</t>
  </si>
  <si>
    <t>766</t>
  </si>
  <si>
    <t>Konstrukce truhlárské</t>
  </si>
  <si>
    <t>3</t>
  </si>
  <si>
    <t>766669921R00</t>
  </si>
  <si>
    <t>Oprava drevených dverí - výmena zámku</t>
  </si>
  <si>
    <t>7</t>
  </si>
  <si>
    <t>50_766_</t>
  </si>
  <si>
    <t>50_76_</t>
  </si>
  <si>
    <t>váýmena zámku - systém generálního klíce</t>
  </si>
  <si>
    <t>4</t>
  </si>
  <si>
    <t>54964310R</t>
  </si>
  <si>
    <t>Vložka cylindrická - systém generálního klíce</t>
  </si>
  <si>
    <t>dle cen. výrobc</t>
  </si>
  <si>
    <t>M</t>
  </si>
  <si>
    <t>766665922R0R</t>
  </si>
  <si>
    <t>Výmena kování dverních krídel</t>
  </si>
  <si>
    <t>Dmtž+M+D</t>
  </si>
  <si>
    <t>6</t>
  </si>
  <si>
    <t>998766202R00</t>
  </si>
  <si>
    <t>Presun hmot pro truhlárské konstr., výšky do 12 m</t>
  </si>
  <si>
    <t>%</t>
  </si>
  <si>
    <t>783</t>
  </si>
  <si>
    <t>Nátery</t>
  </si>
  <si>
    <t>783201811R00</t>
  </si>
  <si>
    <t>Odstranení náteru z kovových konstrukcí oškrábáním</t>
  </si>
  <si>
    <t>m2</t>
  </si>
  <si>
    <t>50_783_</t>
  </si>
  <si>
    <t>50_78_</t>
  </si>
  <si>
    <t>ocelové zárubne</t>
  </si>
  <si>
    <t>(0,1*(0,9+1,97*2)+0,05*(0,9+0,05*2+1,97*2))*60</t>
  </si>
  <si>
    <t>8</t>
  </si>
  <si>
    <t>783226100R00</t>
  </si>
  <si>
    <t>Náter syntetický kovových konstrukcí základní</t>
  </si>
  <si>
    <t>9</t>
  </si>
  <si>
    <t>783225600R00</t>
  </si>
  <si>
    <t>Náter syntetický kovových konstrukcí 2x</t>
  </si>
  <si>
    <t>10</t>
  </si>
  <si>
    <t>783602823R00</t>
  </si>
  <si>
    <t>Odstranení náteru truhlárských, dverí opálením</t>
  </si>
  <si>
    <t>zárubne obložkové profilované</t>
  </si>
  <si>
    <t>dle zamerení</t>
  </si>
  <si>
    <t>(0,2*(1,25+2,55*2)+0,15*(1,25+0,15*2+2,55*2))*35</t>
  </si>
  <si>
    <t>11</t>
  </si>
  <si>
    <t>783602824R00</t>
  </si>
  <si>
    <t>Odstranení náteru truhlár., dverí výpln.opálením</t>
  </si>
  <si>
    <t>hladké 1kr. dvere</t>
  </si>
  <si>
    <t>dle zamer.</t>
  </si>
  <si>
    <t>0,9*1,97*2*(60-4)</t>
  </si>
  <si>
    <t>12</t>
  </si>
  <si>
    <t>783602824R0R</t>
  </si>
  <si>
    <t>odvozeno od RTS</t>
  </si>
  <si>
    <t>profilované dvere</t>
  </si>
  <si>
    <t>0,9*1,97*4*2+1,25*2,55*2*35</t>
  </si>
  <si>
    <t>1,66*3,55*2*3</t>
  </si>
  <si>
    <t>velké dvere - proskl.</t>
  </si>
  <si>
    <t>13</t>
  </si>
  <si>
    <t>783626028R00</t>
  </si>
  <si>
    <t>Tmelení defektu povrchu truhl. výrobku</t>
  </si>
  <si>
    <t>zárubne</t>
  </si>
  <si>
    <t>krídla</t>
  </si>
  <si>
    <t>((0,2*(1,25+2,55*2)+0,15*(1,25+0,15*2+2,55*2))*35)*1,05</t>
  </si>
  <si>
    <t>odhad +5% na profilaci</t>
  </si>
  <si>
    <t>(0,9*1,97*4*2+1,25*2,55*2*35)*1,05</t>
  </si>
  <si>
    <t>1,66*3,55*2*3*2</t>
  </si>
  <si>
    <t>vc. rámu</t>
  </si>
  <si>
    <t>14</t>
  </si>
  <si>
    <t>783900030RAA</t>
  </si>
  <si>
    <t>Odstranení náterù z truhlárských výrobku</t>
  </si>
  <si>
    <t>broušení</t>
  </si>
  <si>
    <t>15</t>
  </si>
  <si>
    <t>783782422RT1</t>
  </si>
  <si>
    <t>Náter drevených konstrukcí fungicidní</t>
  </si>
  <si>
    <t>ochrana dreva v interiéru</t>
  </si>
  <si>
    <t>16</t>
  </si>
  <si>
    <t>783626027R00</t>
  </si>
  <si>
    <t>Náter syntetický truhl. výrobku základní</t>
  </si>
  <si>
    <t>predpoklad dve vrstvy</t>
  </si>
  <si>
    <t>((0,2*(1,25+2,55*2)+0,15*(1,25+0,15*2+2,55*2))*35)*1,05*2</t>
  </si>
  <si>
    <t>0,9*1,97*2*(60-4)*2</t>
  </si>
  <si>
    <t>(0,9*1,97*4*2+1,25*2,55*2*35)*1,05*2</t>
  </si>
  <si>
    <t>17</t>
  </si>
  <si>
    <t>783626021R00</t>
  </si>
  <si>
    <t>Náter syntetický truhl. výrobku 2x email</t>
  </si>
  <si>
    <t>787</t>
  </si>
  <si>
    <t>Zasklívání</t>
  </si>
  <si>
    <t>18</t>
  </si>
  <si>
    <t>787900010RAA</t>
  </si>
  <si>
    <t>Vysklení a opetovné zasklení oken a dverí</t>
  </si>
  <si>
    <t>50_787_</t>
  </si>
  <si>
    <t>vcetne dodávky</t>
  </si>
  <si>
    <t>0,34*1,1*(1+1+4+2+2+2+2+2+4+2+2+2+2+2)</t>
  </si>
  <si>
    <t>skla u dvoukr. dverí</t>
  </si>
  <si>
    <t>1,66*0,5*2+1,6*3,55</t>
  </si>
  <si>
    <t>1.np+2.np+3.np - velké dvere</t>
  </si>
  <si>
    <t>Celkem:</t>
  </si>
  <si>
    <t>Poznámka:</t>
  </si>
  <si>
    <t>Soupis dodávek a prací - rekapitulace</t>
  </si>
  <si>
    <t>Náklady (Kč) - dodávka</t>
  </si>
  <si>
    <t>Náklady (Kč) - Montáž</t>
  </si>
  <si>
    <t>Náklady (Kč) - celkem</t>
  </si>
  <si>
    <t>Celková hmotnost (t)</t>
  </si>
  <si>
    <t>F</t>
  </si>
  <si>
    <t>T</t>
  </si>
  <si>
    <t>Krycí list rozpoctu</t>
  </si>
  <si>
    <t>ICO/DIC: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</si>
  <si>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</si>
  <si>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</si>
  <si>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</si>
  <si>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</si>
  <si>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</si>
  <si>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</si>
  <si>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</si>
  <si>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</si>
  <si>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</si>
  <si>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Dodávky</t>
  </si>
  <si>
    <t>Práce prescas</t>
  </si>
  <si>
    <t>Zařízení staveniště</t>
  </si>
  <si>
    <t>Bez pevné podl.</t>
  </si>
  <si>
    <t>Mimostav. doprava</t>
  </si>
  <si>
    <t>Kulturní památka</t>
  </si>
  <si>
    <t>Územní vlivy</t>
  </si>
  <si>
    <t>Provozní vlivy</t>
  </si>
  <si>
    <t>"M"</t>
  </si>
  <si>
    <t>Ostatní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</si>
  <si>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</si>
  <si>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</si>
  <si>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</si>
  <si>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</si>
  <si>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</si>
  <si>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</si>
  <si>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</si>
  <si>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</si>
  <si>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</si>
  <si>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</si>
  <si>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</si>
  <si>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</si>
  <si>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</si>
  <si>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</si>
  <si>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</si>
  <si>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</si>
  <si>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</si>
  <si>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</si>
  <si>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</si>
  <si>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</si>
  <si>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rozpoctové náklady</t>
  </si>
  <si>
    <t>Vedlejší rozpočtové náklady VRN</t>
  </si>
  <si>
    <t>Doplňkové náklady DN</t>
  </si>
  <si>
    <t>Kč</t>
  </si>
  <si>
    <t>Základna</t>
  </si>
  <si>
    <t>Celkem DN</t>
  </si>
  <si>
    <t>Zarízení stavenište</t>
  </si>
  <si>
    <t>Celkem NUS</t>
  </si>
  <si>
    <t>Celkem VRN</t>
  </si>
  <si>
    <t>Ostatní rozpočtové náklady ORN</t>
  </si>
  <si>
    <t>Ostatní rozpočtové náklady (ORN)</t>
  </si>
  <si>
    <t>Celkem ORN</t>
  </si>
  <si>
    <t>Č</t>
  </si>
  <si>
    <t xml:space="preserve"> Havířská 1141, 272 01 Kladno </t>
  </si>
  <si>
    <t>DIO a zábory</t>
  </si>
  <si>
    <t>Ostatní - Zakrývání a ochrana konstrukcí, závěrečný úklid</t>
  </si>
  <si>
    <t>Předpokládá se demontáž křídel a odvoz do dílny, kde bude provedena oprava. Zárubně budou opravovány na místě</t>
  </si>
  <si>
    <t xml:space="preserve">Střední zdravotnická škola a Vyšší odborná škola zdravotnická Kladno </t>
  </si>
  <si>
    <t>19</t>
  </si>
  <si>
    <t>998787202R00</t>
  </si>
  <si>
    <t>Presun hmot pro zasklívání, výšky do 12 m</t>
  </si>
  <si>
    <t>Strední zdravotnická škola a Vyšší odborná škola zdravotnická Kladno - "Oprava vnitřních dveří včetně výměny dveřních vložek“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</si>
</sst>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name val="Calibri"/>
      <charset val="1"/>
    </font>
    <font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18"/>
      <color rgb="FF000000"/>
      <name val="Arial"/>
      <family val="2"/>
    </font>
    <font>
      <b/>
      <sz val="2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  <charset val="238"/>
    </font>
    <font>
      <b/>
      <sz val="11"/>
      <name val="Calibri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BDBDB"/>
        <bgColor rgb="FFDBDBDB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4" fontId="2" fillId="0" borderId="4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4" fontId="10" fillId="0" borderId="52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left" vertical="center"/>
    </xf>
    <xf numFmtId="0" fontId="10" fillId="0" borderId="52" xfId="0" applyFont="1" applyBorder="1" applyAlignment="1">
      <alignment horizontal="right" vertical="center"/>
    </xf>
    <xf numFmtId="4" fontId="10" fillId="0" borderId="59" xfId="0" applyNumberFormat="1" applyFont="1" applyBorder="1" applyAlignment="1">
      <alignment horizontal="right" vertical="center"/>
    </xf>
    <xf numFmtId="0" fontId="10" fillId="0" borderId="59" xfId="0" applyFont="1" applyBorder="1" applyAlignment="1">
      <alignment horizontal="right" vertical="center"/>
    </xf>
    <xf numFmtId="4" fontId="10" fillId="0" borderId="50" xfId="0" applyNumberFormat="1" applyFont="1" applyBorder="1" applyAlignment="1">
      <alignment horizontal="right" vertical="center"/>
    </xf>
    <xf numFmtId="4" fontId="10" fillId="0" borderId="30" xfId="0" applyNumberFormat="1" applyFont="1" applyBorder="1" applyAlignment="1">
      <alignment horizontal="right" vertical="center"/>
    </xf>
    <xf numFmtId="4" fontId="9" fillId="2" borderId="49" xfId="0" applyNumberFormat="1" applyFont="1" applyFill="1" applyBorder="1" applyAlignment="1">
      <alignment horizontal="right" vertical="center"/>
    </xf>
    <xf numFmtId="4" fontId="9" fillId="2" borderId="54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52" xfId="0" applyNumberFormat="1" applyFont="1" applyBorder="1" applyAlignment="1">
      <alignment horizontal="right" vertical="center"/>
    </xf>
    <xf numFmtId="0" fontId="3" fillId="0" borderId="52" xfId="0" applyFont="1" applyBorder="1" applyAlignment="1">
      <alignment horizontal="left" vertical="center"/>
    </xf>
    <xf numFmtId="4" fontId="3" fillId="0" borderId="78" xfId="0" applyNumberFormat="1" applyFont="1" applyBorder="1" applyAlignment="1">
      <alignment horizontal="right" vertical="center"/>
    </xf>
    <xf numFmtId="0" fontId="3" fillId="0" borderId="78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2" xfId="0" applyFont="1" applyBorder="1" applyAlignment="1">
      <alignment horizontal="right" vertical="center"/>
    </xf>
    <xf numFmtId="4" fontId="2" fillId="0" borderId="82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left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 wrapText="1"/>
    </xf>
    <xf numFmtId="4" fontId="3" fillId="0" borderId="51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 wrapText="1"/>
    </xf>
    <xf numFmtId="0" fontId="2" fillId="3" borderId="51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/>
    <xf numFmtId="0" fontId="11" fillId="0" borderId="10" xfId="0" applyFont="1" applyBorder="1" applyAlignment="1">
      <alignment horizontal="left" vertical="center"/>
    </xf>
    <xf numFmtId="4" fontId="11" fillId="0" borderId="10" xfId="0" applyNumberFormat="1" applyFont="1" applyBorder="1" applyAlignment="1">
      <alignment horizontal="right" vertical="center"/>
    </xf>
    <xf numFmtId="0" fontId="11" fillId="0" borderId="51" xfId="0" applyFont="1" applyBorder="1" applyAlignment="1">
      <alignment horizontal="left" vertical="center"/>
    </xf>
    <xf numFmtId="4" fontId="11" fillId="0" borderId="51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left" vertical="center"/>
    </xf>
    <xf numFmtId="4" fontId="3" fillId="0" borderId="55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2" borderId="51" xfId="0" applyFont="1" applyFill="1" applyBorder="1" applyAlignment="1">
      <alignment horizontal="left" vertical="center" wrapText="1"/>
    </xf>
    <xf numFmtId="4" fontId="2" fillId="2" borderId="51" xfId="0" applyNumberFormat="1" applyFont="1" applyFill="1" applyBorder="1" applyAlignment="1">
      <alignment horizontal="right" vertical="center" wrapText="1"/>
    </xf>
    <xf numFmtId="0" fontId="2" fillId="2" borderId="51" xfId="0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" fontId="3" fillId="0" borderId="51" xfId="0" applyNumberFormat="1" applyFont="1" applyBorder="1" applyAlignment="1">
      <alignment horizontal="right" vertical="center" wrapText="1"/>
    </xf>
    <xf numFmtId="1" fontId="3" fillId="0" borderId="51" xfId="0" applyNumberFormat="1" applyFont="1" applyBorder="1" applyAlignment="1">
      <alignment horizontal="right" vertical="center" wrapText="1"/>
    </xf>
    <xf numFmtId="0" fontId="3" fillId="0" borderId="51" xfId="0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0" borderId="51" xfId="0" applyBorder="1" applyAlignment="1">
      <alignment wrapText="1"/>
    </xf>
    <xf numFmtId="4" fontId="4" fillId="0" borderId="51" xfId="0" applyNumberFormat="1" applyFont="1" applyBorder="1" applyAlignment="1">
      <alignment horizontal="right" vertical="center" wrapText="1"/>
    </xf>
    <xf numFmtId="0" fontId="3" fillId="3" borderId="51" xfId="0" applyFont="1" applyFill="1" applyBorder="1" applyAlignment="1">
      <alignment horizontal="left" vertical="center" wrapText="1"/>
    </xf>
    <xf numFmtId="4" fontId="2" fillId="3" borderId="51" xfId="0" applyNumberFormat="1" applyFont="1" applyFill="1" applyBorder="1" applyAlignment="1">
      <alignment horizontal="right" vertical="center" wrapText="1"/>
    </xf>
    <xf numFmtId="0" fontId="2" fillId="3" borderId="51" xfId="0" applyFont="1" applyFill="1" applyBorder="1" applyAlignment="1">
      <alignment horizontal="right" vertical="center" wrapText="1"/>
    </xf>
    <xf numFmtId="0" fontId="0" fillId="0" borderId="76" xfId="0" applyBorder="1" applyAlignment="1">
      <alignment wrapText="1"/>
    </xf>
    <xf numFmtId="1" fontId="3" fillId="0" borderId="55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right" vertical="center"/>
    </xf>
    <xf numFmtId="0" fontId="0" fillId="0" borderId="76" xfId="0" applyBorder="1"/>
    <xf numFmtId="4" fontId="3" fillId="0" borderId="76" xfId="0" applyNumberFormat="1" applyFont="1" applyBorder="1" applyAlignment="1">
      <alignment horizontal="right" vertical="center"/>
    </xf>
    <xf numFmtId="0" fontId="2" fillId="2" borderId="76" xfId="0" applyFont="1" applyFill="1" applyBorder="1" applyAlignment="1">
      <alignment horizontal="right" vertical="center"/>
    </xf>
    <xf numFmtId="0" fontId="3" fillId="0" borderId="76" xfId="0" applyFont="1" applyBorder="1" applyAlignment="1">
      <alignment horizontal="right" vertical="center"/>
    </xf>
    <xf numFmtId="0" fontId="3" fillId="0" borderId="7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6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9" xfId="0" applyFont="1" applyBorder="1" applyAlignment="1">
      <alignment horizontal="left" vertical="center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/>
    </xf>
    <xf numFmtId="0" fontId="9" fillId="0" borderId="8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/>
    </xf>
    <xf numFmtId="4" fontId="9" fillId="0" borderId="83" xfId="0" applyNumberFormat="1" applyFont="1" applyBorder="1" applyAlignment="1">
      <alignment horizontal="right" vertical="center"/>
    </xf>
    <xf numFmtId="0" fontId="9" fillId="0" borderId="80" xfId="0" applyFont="1" applyBorder="1" applyAlignment="1">
      <alignment horizontal="right" vertical="center"/>
    </xf>
    <xf numFmtId="0" fontId="9" fillId="0" borderId="81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2" borderId="51" xfId="0" applyFont="1" applyFill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E9CD0C81-7360-4A44-B542-F7C45521E91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F6" sqref="F6:G7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38" t="s">
        <v>176</v>
      </c>
      <c r="B1" s="139"/>
      <c r="C1" s="139"/>
      <c r="D1" s="139"/>
      <c r="E1" s="139"/>
      <c r="F1" s="139"/>
      <c r="G1" s="139"/>
      <c r="H1" s="139"/>
      <c r="I1" s="139"/>
    </row>
    <row r="2" spans="1:9" ht="14.4" x14ac:dyDescent="0.3">
      <c r="A2" s="140" t="s">
        <v>1</v>
      </c>
      <c r="B2" s="141"/>
      <c r="C2" s="189" t="str">
        <f>'Soupis dodávek a prací'!D2</f>
        <v>Strední zdravotnická škola a Vyšší odborná škola zdravotnická Kladno - "Oprava vnitřních dveří včetně výměny dveřních vložek“</v>
      </c>
      <c r="D2" s="190"/>
      <c r="E2" s="137" t="s">
        <v>4</v>
      </c>
      <c r="F2" s="137" t="str">
        <f>'Soupis dodávek a prací'!J2</f>
        <v xml:space="preserve">Střední zdravotnická škola a Vyšší odborná škola zdravotnická Kladno </v>
      </c>
      <c r="G2" s="141"/>
      <c r="H2" s="137" t="s">
        <v>177</v>
      </c>
      <c r="I2" s="143" t="s">
        <v>48</v>
      </c>
    </row>
    <row r="3" spans="1:9" ht="27.75" customHeight="1" x14ac:dyDescent="0.3">
      <c r="A3" s="142"/>
      <c r="B3" s="98"/>
      <c r="C3" s="191"/>
      <c r="D3" s="191"/>
      <c r="E3" s="98"/>
      <c r="F3" s="98"/>
      <c r="G3" s="98"/>
      <c r="H3" s="98"/>
      <c r="I3" s="144"/>
    </row>
    <row r="4" spans="1:9" ht="14.4" x14ac:dyDescent="0.3">
      <c r="A4" s="135" t="s">
        <v>6</v>
      </c>
      <c r="B4" s="98"/>
      <c r="C4" s="97" t="str">
        <f>'Soupis dodávek a prací'!D4</f>
        <v xml:space="preserve"> </v>
      </c>
      <c r="D4" s="98"/>
      <c r="E4" s="97" t="s">
        <v>8</v>
      </c>
      <c r="F4" s="97" t="str">
        <f>'Soupis dodávek a prací'!J4</f>
        <v> </v>
      </c>
      <c r="G4" s="98"/>
      <c r="H4" s="97" t="s">
        <v>177</v>
      </c>
      <c r="I4" s="144" t="s">
        <v>48</v>
      </c>
    </row>
    <row r="5" spans="1:9" ht="15" customHeight="1" x14ac:dyDescent="0.3">
      <c r="A5" s="142"/>
      <c r="B5" s="98"/>
      <c r="C5" s="98"/>
      <c r="D5" s="98"/>
      <c r="E5" s="98"/>
      <c r="F5" s="98"/>
      <c r="G5" s="98"/>
      <c r="H5" s="98"/>
      <c r="I5" s="144"/>
    </row>
    <row r="6" spans="1:9" ht="14.4" x14ac:dyDescent="0.3">
      <c r="A6" s="135" t="s">
        <v>9</v>
      </c>
      <c r="B6" s="98"/>
      <c r="C6" s="97" t="str">
        <f>'Soupis dodávek a prací'!D6</f>
        <v xml:space="preserve"> Havířská 1141, 272 01 Kladno </v>
      </c>
      <c r="D6" s="98"/>
      <c r="E6" s="97" t="s">
        <v>11</v>
      </c>
      <c r="F6" s="97"/>
      <c r="G6" s="98"/>
      <c r="H6" s="97" t="s">
        <v>177</v>
      </c>
      <c r="I6" s="144" t="s">
        <v>48</v>
      </c>
    </row>
    <row r="7" spans="1:9" ht="15" customHeight="1" x14ac:dyDescent="0.3">
      <c r="A7" s="142"/>
      <c r="B7" s="98"/>
      <c r="C7" s="98"/>
      <c r="D7" s="98"/>
      <c r="E7" s="98"/>
      <c r="F7" s="98"/>
      <c r="G7" s="98"/>
      <c r="H7" s="98"/>
      <c r="I7" s="144"/>
    </row>
    <row r="8" spans="1:9" ht="14.4" x14ac:dyDescent="0.3">
      <c r="A8" s="135" t="s">
        <v>7</v>
      </c>
      <c r="B8" s="98"/>
      <c r="C8" s="97"/>
      <c r="D8" s="98"/>
      <c r="E8" s="97" t="s">
        <v>10</v>
      </c>
      <c r="F8" s="97" t="str">
        <f>'Soupis dodávek a prací'!H6</f>
        <v xml:space="preserve"> </v>
      </c>
      <c r="G8" s="98"/>
      <c r="H8" s="98" t="s">
        <v>178</v>
      </c>
      <c r="I8" s="145">
        <v>18</v>
      </c>
    </row>
    <row r="9" spans="1:9" ht="14.4" x14ac:dyDescent="0.3">
      <c r="A9" s="142"/>
      <c r="B9" s="98"/>
      <c r="C9" s="98"/>
      <c r="D9" s="98"/>
      <c r="E9" s="98"/>
      <c r="F9" s="98"/>
      <c r="G9" s="98"/>
      <c r="H9" s="98"/>
      <c r="I9" s="144"/>
    </row>
    <row r="10" spans="1:9" ht="14.4" x14ac:dyDescent="0.3">
      <c r="A10" s="135" t="s">
        <v>12</v>
      </c>
      <c r="B10" s="98"/>
      <c r="C10" s="97" t="str">
        <f>'Soupis dodávek a prací'!D8</f>
        <v xml:space="preserve"> </v>
      </c>
      <c r="D10" s="98"/>
      <c r="E10" s="97" t="s">
        <v>14</v>
      </c>
      <c r="F10" s="97"/>
      <c r="G10" s="98"/>
      <c r="H10" s="98" t="s">
        <v>179</v>
      </c>
      <c r="I10" s="129"/>
    </row>
    <row r="11" spans="1:9" ht="14.4" x14ac:dyDescent="0.3">
      <c r="A11" s="136"/>
      <c r="B11" s="134"/>
      <c r="C11" s="134"/>
      <c r="D11" s="134"/>
      <c r="E11" s="134"/>
      <c r="F11" s="134"/>
      <c r="G11" s="134"/>
      <c r="H11" s="134"/>
      <c r="I11" s="130"/>
    </row>
    <row r="12" spans="1:9" ht="22.8" x14ac:dyDescent="0.3">
      <c r="A12" s="131" t="s">
        <v>180</v>
      </c>
      <c r="B12" s="131"/>
      <c r="C12" s="131"/>
      <c r="D12" s="131"/>
      <c r="E12" s="131"/>
      <c r="F12" s="131"/>
      <c r="G12" s="131"/>
      <c r="H12" s="131"/>
      <c r="I12" s="131"/>
    </row>
    <row r="13" spans="1:9" ht="26.25" customHeight="1" x14ac:dyDescent="0.3">
      <c r="A13" s="13" t="s">
        <v>181</v>
      </c>
      <c r="B13" s="132" t="s">
        <v>182</v>
      </c>
      <c r="C13" s="133"/>
      <c r="D13" s="14" t="s">
        <v>183</v>
      </c>
      <c r="E13" s="132" t="s">
        <v>184</v>
      </c>
      <c r="F13" s="133"/>
      <c r="G13" s="14" t="s">
        <v>185</v>
      </c>
      <c r="H13" s="132" t="s">
        <v>186</v>
      </c>
      <c r="I13" s="133"/>
    </row>
    <row r="14" spans="1:9" ht="15.6" x14ac:dyDescent="0.3">
      <c r="A14" s="15" t="s">
        <v>49</v>
      </c>
      <c r="B14" s="16" t="s">
        <v>187</v>
      </c>
      <c r="C14" s="17">
        <f>SUM('Soupis dodávek a prací'!AB12:AB215)</f>
        <v>0</v>
      </c>
      <c r="D14" s="119" t="s">
        <v>188</v>
      </c>
      <c r="E14" s="120"/>
      <c r="F14" s="17">
        <f>VORN!I15</f>
        <v>0</v>
      </c>
      <c r="G14" s="119" t="s">
        <v>189</v>
      </c>
      <c r="H14" s="120"/>
      <c r="I14" s="17">
        <f>VORN!I21</f>
        <v>0</v>
      </c>
    </row>
    <row r="15" spans="1:9" ht="15.6" x14ac:dyDescent="0.3">
      <c r="A15" s="18" t="s">
        <v>48</v>
      </c>
      <c r="B15" s="16" t="s">
        <v>31</v>
      </c>
      <c r="C15" s="17">
        <f>SUM('Soupis dodávek a prací'!AC12:AC215)</f>
        <v>0</v>
      </c>
      <c r="D15" s="119" t="s">
        <v>190</v>
      </c>
      <c r="E15" s="120"/>
      <c r="F15" s="17">
        <f>VORN!I16</f>
        <v>0</v>
      </c>
      <c r="G15" s="119" t="s">
        <v>191</v>
      </c>
      <c r="H15" s="120"/>
      <c r="I15" s="17">
        <f>VORN!I22</f>
        <v>0</v>
      </c>
    </row>
    <row r="16" spans="1:9" ht="15.6" x14ac:dyDescent="0.3">
      <c r="A16" s="15" t="s">
        <v>72</v>
      </c>
      <c r="B16" s="16" t="s">
        <v>187</v>
      </c>
      <c r="C16" s="17">
        <f>SUM('Soupis dodávek a prací'!AD12:AD215)</f>
        <v>0</v>
      </c>
      <c r="D16" s="119" t="s">
        <v>192</v>
      </c>
      <c r="E16" s="120"/>
      <c r="F16" s="17">
        <f>VORN!I17</f>
        <v>0</v>
      </c>
      <c r="G16" s="119" t="s">
        <v>193</v>
      </c>
      <c r="H16" s="120"/>
      <c r="I16" s="17">
        <f>VORN!I23</f>
        <v>0</v>
      </c>
    </row>
    <row r="17" spans="1:9" ht="15.6" x14ac:dyDescent="0.3">
      <c r="A17" s="18" t="s">
        <v>48</v>
      </c>
      <c r="B17" s="16" t="s">
        <v>31</v>
      </c>
      <c r="C17" s="17">
        <f>SUM('Soupis dodávek a prací'!AE12:AE215)</f>
        <v>0</v>
      </c>
      <c r="D17" s="119" t="s">
        <v>48</v>
      </c>
      <c r="E17" s="120"/>
      <c r="F17" s="19" t="s">
        <v>48</v>
      </c>
      <c r="G17" s="119" t="s">
        <v>194</v>
      </c>
      <c r="H17" s="120"/>
      <c r="I17" s="17">
        <f>VORN!I24</f>
        <v>0</v>
      </c>
    </row>
    <row r="18" spans="1:9" ht="15.6" x14ac:dyDescent="0.3">
      <c r="A18" s="15" t="s">
        <v>195</v>
      </c>
      <c r="B18" s="16" t="s">
        <v>187</v>
      </c>
      <c r="C18" s="17">
        <f>SUM('Soupis dodávek a prací'!AF12:AF215)</f>
        <v>0</v>
      </c>
      <c r="D18" s="119" t="s">
        <v>48</v>
      </c>
      <c r="E18" s="120"/>
      <c r="F18" s="19" t="s">
        <v>48</v>
      </c>
      <c r="G18" s="119" t="s">
        <v>196</v>
      </c>
      <c r="H18" s="120"/>
      <c r="I18" s="17">
        <f>VORN!I25</f>
        <v>0</v>
      </c>
    </row>
    <row r="19" spans="1:9" ht="15.6" x14ac:dyDescent="0.3">
      <c r="A19" s="18" t="s">
        <v>48</v>
      </c>
      <c r="B19" s="16" t="s">
        <v>31</v>
      </c>
      <c r="C19" s="17">
        <f>SUM('Soupis dodávek a prací'!AG12:AG215)</f>
        <v>0</v>
      </c>
      <c r="D19" s="119" t="s">
        <v>48</v>
      </c>
      <c r="E19" s="120"/>
      <c r="F19" s="19" t="s">
        <v>48</v>
      </c>
      <c r="G19" s="119" t="s">
        <v>231</v>
      </c>
      <c r="H19" s="120"/>
      <c r="I19" s="17">
        <f>VORN!I26</f>
        <v>0</v>
      </c>
    </row>
    <row r="20" spans="1:9" ht="15.6" x14ac:dyDescent="0.3">
      <c r="A20" s="111" t="s">
        <v>197</v>
      </c>
      <c r="B20" s="112"/>
      <c r="C20" s="17">
        <f>SUM('Soupis dodávek a prací'!AH12:AH215)</f>
        <v>0</v>
      </c>
      <c r="D20" s="119" t="s">
        <v>48</v>
      </c>
      <c r="E20" s="120"/>
      <c r="F20" s="19" t="s">
        <v>48</v>
      </c>
      <c r="G20" s="119" t="s">
        <v>48</v>
      </c>
      <c r="H20" s="120"/>
      <c r="I20" s="19" t="s">
        <v>48</v>
      </c>
    </row>
    <row r="21" spans="1:9" ht="15.6" x14ac:dyDescent="0.3">
      <c r="A21" s="126" t="s">
        <v>198</v>
      </c>
      <c r="B21" s="127"/>
      <c r="C21" s="20">
        <f>SUM('Soupis dodávek a prací'!Z12:Z215)</f>
        <v>0</v>
      </c>
      <c r="D21" s="121" t="s">
        <v>48</v>
      </c>
      <c r="E21" s="122"/>
      <c r="F21" s="21" t="s">
        <v>48</v>
      </c>
      <c r="G21" s="121" t="s">
        <v>48</v>
      </c>
      <c r="H21" s="122"/>
      <c r="I21" s="21" t="s">
        <v>48</v>
      </c>
    </row>
    <row r="22" spans="1:9" ht="16.5" customHeight="1" x14ac:dyDescent="0.3">
      <c r="A22" s="128" t="s">
        <v>199</v>
      </c>
      <c r="B22" s="124"/>
      <c r="C22" s="22">
        <f>ROUND(SUM(C14:C21),2)</f>
        <v>0</v>
      </c>
      <c r="D22" s="123" t="s">
        <v>200</v>
      </c>
      <c r="E22" s="124"/>
      <c r="F22" s="22">
        <f>SUM(F14:F21)</f>
        <v>0</v>
      </c>
      <c r="G22" s="123" t="s">
        <v>201</v>
      </c>
      <c r="H22" s="124"/>
      <c r="I22" s="22">
        <f>VORN!I27</f>
        <v>0</v>
      </c>
    </row>
    <row r="23" spans="1:9" ht="15.6" x14ac:dyDescent="0.3">
      <c r="D23" s="111" t="s">
        <v>202</v>
      </c>
      <c r="E23" s="112"/>
      <c r="F23" s="23">
        <v>0</v>
      </c>
      <c r="G23" s="125" t="s">
        <v>203</v>
      </c>
      <c r="H23" s="112"/>
      <c r="I23" s="17">
        <v>0</v>
      </c>
    </row>
    <row r="24" spans="1:9" ht="15.6" x14ac:dyDescent="0.3">
      <c r="G24" s="111" t="s">
        <v>204</v>
      </c>
      <c r="H24" s="112"/>
      <c r="I24" s="17">
        <f>vorn_sum</f>
        <v>0</v>
      </c>
    </row>
    <row r="25" spans="1:9" ht="15.6" x14ac:dyDescent="0.3">
      <c r="G25" s="111" t="s">
        <v>205</v>
      </c>
      <c r="H25" s="112"/>
      <c r="I25" s="17">
        <v>0</v>
      </c>
    </row>
    <row r="27" spans="1:9" ht="15.6" x14ac:dyDescent="0.3">
      <c r="A27" s="113" t="s">
        <v>206</v>
      </c>
      <c r="B27" s="114"/>
      <c r="C27" s="24">
        <f>ROUND(SUM('Soupis dodávek a prací'!AJ12:AJ215),2)</f>
        <v>0</v>
      </c>
    </row>
    <row r="28" spans="1:9" ht="15.6" x14ac:dyDescent="0.3">
      <c r="A28" s="115" t="s">
        <v>207</v>
      </c>
      <c r="B28" s="116"/>
      <c r="C28" s="25">
        <f>ROUND(SUM('Soupis dodávek a prací'!AK12:AK215),2)</f>
        <v>0</v>
      </c>
      <c r="D28" s="117" t="s">
        <v>208</v>
      </c>
      <c r="E28" s="114"/>
      <c r="F28" s="24">
        <f>ROUND(C28*(12/100),2)</f>
        <v>0</v>
      </c>
      <c r="G28" s="117" t="s">
        <v>209</v>
      </c>
      <c r="H28" s="114"/>
      <c r="I28" s="24">
        <f>ROUND(SUM(C27:C29),2)</f>
        <v>0</v>
      </c>
    </row>
    <row r="29" spans="1:9" ht="15.6" x14ac:dyDescent="0.3">
      <c r="A29" s="115" t="s">
        <v>210</v>
      </c>
      <c r="B29" s="116"/>
      <c r="C29" s="25">
        <f>ROUND(SUM('Soupis dodávek a prací'!AL12:AL215)+(F22+I22+F23+I23+I24+I25),2)</f>
        <v>0</v>
      </c>
      <c r="D29" s="118" t="s">
        <v>211</v>
      </c>
      <c r="E29" s="116"/>
      <c r="F29" s="25">
        <f>ROUND(C29*(21/100),2)</f>
        <v>0</v>
      </c>
      <c r="G29" s="118" t="s">
        <v>212</v>
      </c>
      <c r="H29" s="116"/>
      <c r="I29" s="25">
        <f>ROUND(SUM(F28:F29)+I28,2)</f>
        <v>0</v>
      </c>
    </row>
    <row r="31" spans="1:9" x14ac:dyDescent="0.3">
      <c r="A31" s="108" t="s">
        <v>213</v>
      </c>
      <c r="B31" s="100"/>
      <c r="C31" s="101"/>
      <c r="D31" s="99" t="s">
        <v>214</v>
      </c>
      <c r="E31" s="100"/>
      <c r="F31" s="101"/>
      <c r="G31" s="99" t="s">
        <v>215</v>
      </c>
      <c r="H31" s="100"/>
      <c r="I31" s="101"/>
    </row>
    <row r="32" spans="1:9" x14ac:dyDescent="0.3">
      <c r="A32" s="109" t="s">
        <v>48</v>
      </c>
      <c r="B32" s="103"/>
      <c r="C32" s="104"/>
      <c r="D32" s="102" t="s">
        <v>48</v>
      </c>
      <c r="E32" s="103"/>
      <c r="F32" s="104"/>
      <c r="G32" s="102" t="s">
        <v>48</v>
      </c>
      <c r="H32" s="103"/>
      <c r="I32" s="104"/>
    </row>
    <row r="33" spans="1:9" x14ac:dyDescent="0.3">
      <c r="A33" s="109" t="s">
        <v>48</v>
      </c>
      <c r="B33" s="103"/>
      <c r="C33" s="104"/>
      <c r="D33" s="102" t="s">
        <v>48</v>
      </c>
      <c r="E33" s="103"/>
      <c r="F33" s="104"/>
      <c r="G33" s="102" t="s">
        <v>48</v>
      </c>
      <c r="H33" s="103"/>
      <c r="I33" s="104"/>
    </row>
    <row r="34" spans="1:9" x14ac:dyDescent="0.3">
      <c r="A34" s="109" t="s">
        <v>48</v>
      </c>
      <c r="B34" s="103"/>
      <c r="C34" s="104"/>
      <c r="D34" s="102" t="s">
        <v>48</v>
      </c>
      <c r="E34" s="103"/>
      <c r="F34" s="104"/>
      <c r="G34" s="102" t="s">
        <v>48</v>
      </c>
      <c r="H34" s="103"/>
      <c r="I34" s="104"/>
    </row>
    <row r="35" spans="1:9" x14ac:dyDescent="0.3">
      <c r="A35" s="110" t="s">
        <v>216</v>
      </c>
      <c r="B35" s="106"/>
      <c r="C35" s="107"/>
      <c r="D35" s="105" t="s">
        <v>216</v>
      </c>
      <c r="E35" s="106"/>
      <c r="F35" s="107"/>
      <c r="G35" s="105" t="s">
        <v>216</v>
      </c>
      <c r="H35" s="106"/>
      <c r="I35" s="107"/>
    </row>
    <row r="36" spans="1:9" ht="14.4" x14ac:dyDescent="0.3">
      <c r="A36" s="26" t="s">
        <v>168</v>
      </c>
    </row>
    <row r="37" spans="1:9" ht="12.75" customHeight="1" x14ac:dyDescent="0.3">
      <c r="A37" s="97" t="s">
        <v>233</v>
      </c>
      <c r="B37" s="98"/>
      <c r="C37" s="98"/>
      <c r="D37" s="98"/>
      <c r="E37" s="98"/>
      <c r="F37" s="98"/>
      <c r="G37" s="98"/>
      <c r="H37" s="98"/>
      <c r="I37" s="98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"/>
  <sheetViews>
    <sheetView workbookViewId="0">
      <selection activeCell="J12" sqref="J12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38" t="s">
        <v>217</v>
      </c>
      <c r="B1" s="139"/>
      <c r="C1" s="139"/>
      <c r="D1" s="139"/>
      <c r="E1" s="139"/>
      <c r="F1" s="139"/>
      <c r="G1" s="139"/>
      <c r="H1" s="139"/>
      <c r="I1" s="139"/>
    </row>
    <row r="2" spans="1:9" ht="14.4" x14ac:dyDescent="0.3">
      <c r="A2" s="140" t="s">
        <v>1</v>
      </c>
      <c r="B2" s="141"/>
      <c r="C2" s="146" t="str">
        <f>'Soupis dodávek a prací'!D2</f>
        <v>Strední zdravotnická škola a Vyšší odborná škola zdravotnická Kladno - "Oprava vnitřních dveří včetně výměny dveřních vložek“</v>
      </c>
      <c r="D2" s="147"/>
      <c r="E2" s="137" t="s">
        <v>4</v>
      </c>
      <c r="F2" s="137" t="str">
        <f>'Soupis dodávek a prací'!J2</f>
        <v xml:space="preserve">Střední zdravotnická škola a Vyšší odborná škola zdravotnická Kladno </v>
      </c>
      <c r="G2" s="141"/>
      <c r="H2" s="137" t="s">
        <v>177</v>
      </c>
      <c r="I2" s="143" t="s">
        <v>48</v>
      </c>
    </row>
    <row r="3" spans="1:9" ht="25.5" customHeight="1" x14ac:dyDescent="0.3">
      <c r="A3" s="142"/>
      <c r="B3" s="98"/>
      <c r="C3" s="148"/>
      <c r="D3" s="148"/>
      <c r="E3" s="98"/>
      <c r="F3" s="98"/>
      <c r="G3" s="98"/>
      <c r="H3" s="98"/>
      <c r="I3" s="144"/>
    </row>
    <row r="4" spans="1:9" ht="14.4" x14ac:dyDescent="0.3">
      <c r="A4" s="135" t="s">
        <v>6</v>
      </c>
      <c r="B4" s="98"/>
      <c r="C4" s="97" t="str">
        <f>'Soupis dodávek a prací'!D4</f>
        <v xml:space="preserve"> </v>
      </c>
      <c r="D4" s="98"/>
      <c r="E4" s="97" t="s">
        <v>8</v>
      </c>
      <c r="F4" s="97" t="str">
        <f>'Soupis dodávek a prací'!J4</f>
        <v> </v>
      </c>
      <c r="G4" s="98"/>
      <c r="H4" s="97" t="s">
        <v>177</v>
      </c>
      <c r="I4" s="144" t="s">
        <v>48</v>
      </c>
    </row>
    <row r="5" spans="1:9" ht="15" customHeight="1" x14ac:dyDescent="0.3">
      <c r="A5" s="142"/>
      <c r="B5" s="98"/>
      <c r="C5" s="98"/>
      <c r="D5" s="98"/>
      <c r="E5" s="98"/>
      <c r="F5" s="98"/>
      <c r="G5" s="98"/>
      <c r="H5" s="98"/>
      <c r="I5" s="144"/>
    </row>
    <row r="6" spans="1:9" ht="14.4" x14ac:dyDescent="0.3">
      <c r="A6" s="135" t="s">
        <v>9</v>
      </c>
      <c r="B6" s="98"/>
      <c r="C6" s="97" t="str">
        <f>'Soupis dodávek a prací'!D6</f>
        <v xml:space="preserve"> Havířská 1141, 272 01 Kladno </v>
      </c>
      <c r="D6" s="98"/>
      <c r="E6" s="97" t="s">
        <v>11</v>
      </c>
      <c r="F6" s="97"/>
      <c r="G6" s="98"/>
      <c r="H6" s="97" t="s">
        <v>177</v>
      </c>
      <c r="I6" s="144" t="s">
        <v>48</v>
      </c>
    </row>
    <row r="7" spans="1:9" ht="15" customHeight="1" x14ac:dyDescent="0.3">
      <c r="A7" s="142"/>
      <c r="B7" s="98"/>
      <c r="C7" s="98"/>
      <c r="D7" s="98"/>
      <c r="E7" s="98"/>
      <c r="F7" s="98"/>
      <c r="G7" s="98"/>
      <c r="H7" s="98"/>
      <c r="I7" s="144"/>
    </row>
    <row r="8" spans="1:9" ht="14.4" x14ac:dyDescent="0.3">
      <c r="A8" s="135" t="s">
        <v>7</v>
      </c>
      <c r="B8" s="98"/>
      <c r="C8" s="97"/>
      <c r="D8" s="98"/>
      <c r="E8" s="97" t="s">
        <v>10</v>
      </c>
      <c r="F8" s="97" t="str">
        <f>'Soupis dodávek a prací'!H6</f>
        <v xml:space="preserve"> </v>
      </c>
      <c r="G8" s="98"/>
      <c r="H8" s="98" t="s">
        <v>178</v>
      </c>
      <c r="I8" s="145">
        <v>18</v>
      </c>
    </row>
    <row r="9" spans="1:9" ht="14.4" x14ac:dyDescent="0.3">
      <c r="A9" s="142"/>
      <c r="B9" s="98"/>
      <c r="C9" s="98"/>
      <c r="D9" s="98"/>
      <c r="E9" s="98"/>
      <c r="F9" s="98"/>
      <c r="G9" s="98"/>
      <c r="H9" s="98"/>
      <c r="I9" s="144"/>
    </row>
    <row r="10" spans="1:9" ht="14.4" x14ac:dyDescent="0.3">
      <c r="A10" s="135" t="s">
        <v>12</v>
      </c>
      <c r="B10" s="98"/>
      <c r="C10" s="97" t="str">
        <f>'Soupis dodávek a prací'!D8</f>
        <v xml:space="preserve"> </v>
      </c>
      <c r="D10" s="98"/>
      <c r="E10" s="97" t="s">
        <v>14</v>
      </c>
      <c r="F10" s="97"/>
      <c r="G10" s="98"/>
      <c r="H10" s="98" t="s">
        <v>179</v>
      </c>
      <c r="I10" s="129"/>
    </row>
    <row r="11" spans="1:9" ht="14.4" x14ac:dyDescent="0.3">
      <c r="A11" s="136"/>
      <c r="B11" s="134"/>
      <c r="C11" s="134"/>
      <c r="D11" s="134"/>
      <c r="E11" s="134"/>
      <c r="F11" s="134"/>
      <c r="G11" s="134"/>
      <c r="H11" s="134"/>
      <c r="I11" s="130"/>
    </row>
    <row r="13" spans="1:9" ht="15.6" x14ac:dyDescent="0.3">
      <c r="A13" s="158" t="s">
        <v>218</v>
      </c>
      <c r="B13" s="158"/>
      <c r="C13" s="158"/>
      <c r="D13" s="158"/>
      <c r="E13" s="158"/>
    </row>
    <row r="14" spans="1:9" ht="14.4" x14ac:dyDescent="0.3">
      <c r="A14" s="159" t="s">
        <v>219</v>
      </c>
      <c r="B14" s="160"/>
      <c r="C14" s="160"/>
      <c r="D14" s="160"/>
      <c r="E14" s="161"/>
      <c r="F14" s="27" t="s">
        <v>220</v>
      </c>
      <c r="G14" s="27" t="s">
        <v>93</v>
      </c>
      <c r="H14" s="27" t="s">
        <v>221</v>
      </c>
      <c r="I14" s="27" t="s">
        <v>220</v>
      </c>
    </row>
    <row r="15" spans="1:9" ht="14.4" x14ac:dyDescent="0.3">
      <c r="A15" s="165" t="s">
        <v>188</v>
      </c>
      <c r="B15" s="166"/>
      <c r="C15" s="166"/>
      <c r="D15" s="166"/>
      <c r="E15" s="167"/>
      <c r="F15" s="28">
        <v>0</v>
      </c>
      <c r="G15" s="29" t="s">
        <v>48</v>
      </c>
      <c r="H15" s="29" t="s">
        <v>48</v>
      </c>
      <c r="I15" s="28">
        <f>F15</f>
        <v>0</v>
      </c>
    </row>
    <row r="16" spans="1:9" ht="14.4" x14ac:dyDescent="0.3">
      <c r="A16" s="165" t="s">
        <v>190</v>
      </c>
      <c r="B16" s="166"/>
      <c r="C16" s="166"/>
      <c r="D16" s="166"/>
      <c r="E16" s="167"/>
      <c r="F16" s="28">
        <v>0</v>
      </c>
      <c r="G16" s="29" t="s">
        <v>48</v>
      </c>
      <c r="H16" s="29" t="s">
        <v>48</v>
      </c>
      <c r="I16" s="28">
        <f>F16</f>
        <v>0</v>
      </c>
    </row>
    <row r="17" spans="1:9" ht="14.4" x14ac:dyDescent="0.3">
      <c r="A17" s="162" t="s">
        <v>192</v>
      </c>
      <c r="B17" s="163"/>
      <c r="C17" s="163"/>
      <c r="D17" s="163"/>
      <c r="E17" s="164"/>
      <c r="F17" s="30">
        <v>0</v>
      </c>
      <c r="G17" s="31" t="s">
        <v>48</v>
      </c>
      <c r="H17" s="31" t="s">
        <v>48</v>
      </c>
      <c r="I17" s="30">
        <f>F17</f>
        <v>0</v>
      </c>
    </row>
    <row r="18" spans="1:9" ht="14.4" x14ac:dyDescent="0.3">
      <c r="A18" s="149" t="s">
        <v>222</v>
      </c>
      <c r="B18" s="150"/>
      <c r="C18" s="150"/>
      <c r="D18" s="150"/>
      <c r="E18" s="151"/>
      <c r="F18" s="32" t="s">
        <v>48</v>
      </c>
      <c r="G18" s="33" t="s">
        <v>48</v>
      </c>
      <c r="H18" s="33" t="s">
        <v>48</v>
      </c>
      <c r="I18" s="34">
        <f>SUM(I15:I17)</f>
        <v>0</v>
      </c>
    </row>
    <row r="20" spans="1:9" ht="14.4" x14ac:dyDescent="0.3">
      <c r="A20" s="159" t="s">
        <v>186</v>
      </c>
      <c r="B20" s="160"/>
      <c r="C20" s="160"/>
      <c r="D20" s="160"/>
      <c r="E20" s="161"/>
      <c r="F20" s="27" t="s">
        <v>220</v>
      </c>
      <c r="G20" s="27" t="s">
        <v>93</v>
      </c>
      <c r="H20" s="27" t="s">
        <v>221</v>
      </c>
      <c r="I20" s="27" t="s">
        <v>220</v>
      </c>
    </row>
    <row r="21" spans="1:9" ht="14.4" x14ac:dyDescent="0.3">
      <c r="A21" s="165" t="s">
        <v>223</v>
      </c>
      <c r="B21" s="166"/>
      <c r="C21" s="166"/>
      <c r="D21" s="166"/>
      <c r="E21" s="167"/>
      <c r="F21" s="28">
        <v>0</v>
      </c>
      <c r="G21" s="29" t="s">
        <v>48</v>
      </c>
      <c r="H21" s="29" t="s">
        <v>48</v>
      </c>
      <c r="I21" s="28">
        <f t="shared" ref="I21:I26" si="0">F21</f>
        <v>0</v>
      </c>
    </row>
    <row r="22" spans="1:9" ht="14.4" x14ac:dyDescent="0.3">
      <c r="A22" s="165" t="s">
        <v>191</v>
      </c>
      <c r="B22" s="166"/>
      <c r="C22" s="166"/>
      <c r="D22" s="166"/>
      <c r="E22" s="167"/>
      <c r="F22" s="28">
        <v>0</v>
      </c>
      <c r="G22" s="29" t="s">
        <v>48</v>
      </c>
      <c r="H22" s="29" t="s">
        <v>48</v>
      </c>
      <c r="I22" s="28">
        <f t="shared" si="0"/>
        <v>0</v>
      </c>
    </row>
    <row r="23" spans="1:9" ht="14.4" x14ac:dyDescent="0.3">
      <c r="A23" s="165" t="s">
        <v>193</v>
      </c>
      <c r="B23" s="166"/>
      <c r="C23" s="166"/>
      <c r="D23" s="166"/>
      <c r="E23" s="167"/>
      <c r="F23" s="28">
        <v>0</v>
      </c>
      <c r="G23" s="29" t="s">
        <v>48</v>
      </c>
      <c r="H23" s="29" t="s">
        <v>48</v>
      </c>
      <c r="I23" s="28">
        <f t="shared" si="0"/>
        <v>0</v>
      </c>
    </row>
    <row r="24" spans="1:9" ht="14.4" x14ac:dyDescent="0.3">
      <c r="A24" s="165" t="s">
        <v>194</v>
      </c>
      <c r="B24" s="166"/>
      <c r="C24" s="166"/>
      <c r="D24" s="166"/>
      <c r="E24" s="167"/>
      <c r="F24" s="28">
        <v>0</v>
      </c>
      <c r="G24" s="29" t="s">
        <v>48</v>
      </c>
      <c r="H24" s="29" t="s">
        <v>48</v>
      </c>
      <c r="I24" s="28">
        <f t="shared" si="0"/>
        <v>0</v>
      </c>
    </row>
    <row r="25" spans="1:9" ht="14.4" x14ac:dyDescent="0.3">
      <c r="A25" s="165" t="s">
        <v>232</v>
      </c>
      <c r="B25" s="166"/>
      <c r="C25" s="166"/>
      <c r="D25" s="166"/>
      <c r="E25" s="167"/>
      <c r="F25" s="28">
        <v>0</v>
      </c>
      <c r="G25" s="29" t="s">
        <v>48</v>
      </c>
      <c r="H25" s="29" t="s">
        <v>48</v>
      </c>
      <c r="I25" s="28">
        <f t="shared" si="0"/>
        <v>0</v>
      </c>
    </row>
    <row r="26" spans="1:9" ht="14.4" x14ac:dyDescent="0.3">
      <c r="A26" s="162" t="s">
        <v>231</v>
      </c>
      <c r="B26" s="163"/>
      <c r="C26" s="163"/>
      <c r="D26" s="163"/>
      <c r="E26" s="164"/>
      <c r="F26" s="30">
        <v>0</v>
      </c>
      <c r="G26" s="31" t="s">
        <v>48</v>
      </c>
      <c r="H26" s="31" t="s">
        <v>48</v>
      </c>
      <c r="I26" s="30">
        <f t="shared" si="0"/>
        <v>0</v>
      </c>
    </row>
    <row r="27" spans="1:9" ht="14.4" x14ac:dyDescent="0.3">
      <c r="A27" s="149" t="s">
        <v>224</v>
      </c>
      <c r="B27" s="150"/>
      <c r="C27" s="150"/>
      <c r="D27" s="150"/>
      <c r="E27" s="151"/>
      <c r="F27" s="32" t="s">
        <v>48</v>
      </c>
      <c r="G27" s="34"/>
      <c r="H27" s="34"/>
      <c r="I27" s="34">
        <f>SUM(I21:I26)</f>
        <v>0</v>
      </c>
    </row>
    <row r="29" spans="1:9" ht="15.6" x14ac:dyDescent="0.3">
      <c r="A29" s="152" t="s">
        <v>225</v>
      </c>
      <c r="B29" s="153"/>
      <c r="C29" s="153"/>
      <c r="D29" s="153"/>
      <c r="E29" s="154"/>
      <c r="F29" s="155">
        <f>I18+I27</f>
        <v>0</v>
      </c>
      <c r="G29" s="156"/>
      <c r="H29" s="156"/>
      <c r="I29" s="157"/>
    </row>
    <row r="33" spans="1:9" ht="15.6" x14ac:dyDescent="0.3">
      <c r="A33" s="158" t="s">
        <v>226</v>
      </c>
      <c r="B33" s="158"/>
      <c r="C33" s="158"/>
      <c r="D33" s="158"/>
      <c r="E33" s="158"/>
    </row>
    <row r="34" spans="1:9" ht="14.4" x14ac:dyDescent="0.3">
      <c r="A34" s="159" t="s">
        <v>227</v>
      </c>
      <c r="B34" s="160"/>
      <c r="C34" s="160"/>
      <c r="D34" s="160"/>
      <c r="E34" s="161"/>
      <c r="F34" s="27" t="s">
        <v>220</v>
      </c>
      <c r="G34" s="27" t="s">
        <v>93</v>
      </c>
      <c r="H34" s="27" t="s">
        <v>221</v>
      </c>
      <c r="I34" s="27" t="s">
        <v>220</v>
      </c>
    </row>
    <row r="35" spans="1:9" ht="14.4" x14ac:dyDescent="0.3">
      <c r="A35" s="162" t="s">
        <v>48</v>
      </c>
      <c r="B35" s="163"/>
      <c r="C35" s="163"/>
      <c r="D35" s="163"/>
      <c r="E35" s="164"/>
      <c r="F35" s="30">
        <v>0</v>
      </c>
      <c r="G35" s="31" t="s">
        <v>48</v>
      </c>
      <c r="H35" s="31" t="s">
        <v>48</v>
      </c>
      <c r="I35" s="30">
        <f>F35</f>
        <v>0</v>
      </c>
    </row>
    <row r="36" spans="1:9" ht="14.4" x14ac:dyDescent="0.3">
      <c r="A36" s="149" t="s">
        <v>228</v>
      </c>
      <c r="B36" s="150"/>
      <c r="C36" s="150"/>
      <c r="D36" s="150"/>
      <c r="E36" s="151"/>
      <c r="F36" s="32" t="s">
        <v>48</v>
      </c>
      <c r="G36" s="33" t="s">
        <v>48</v>
      </c>
      <c r="H36" s="33" t="s">
        <v>48</v>
      </c>
      <c r="I36" s="34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workbookViewId="0">
      <pane ySplit="11" topLeftCell="A12" activePane="bottomLeft" state="frozen"/>
      <selection pane="bottomLeft" activeCell="D6" sqref="D6:D7"/>
    </sheetView>
  </sheetViews>
  <sheetFormatPr defaultColWidth="12.109375" defaultRowHeight="15" customHeight="1" x14ac:dyDescent="0.3"/>
  <cols>
    <col min="1" max="2" width="8.5546875" customWidth="1"/>
    <col min="3" max="3" width="71.44140625" customWidth="1"/>
    <col min="4" max="6" width="27.88671875" customWidth="1"/>
    <col min="7" max="7" width="37.109375" customWidth="1"/>
    <col min="8" max="9" width="0" hidden="1" customWidth="1"/>
  </cols>
  <sheetData>
    <row r="1" spans="1:9" ht="54.75" customHeight="1" x14ac:dyDescent="0.3">
      <c r="A1" s="139" t="s">
        <v>169</v>
      </c>
      <c r="B1" s="139"/>
      <c r="C1" s="139"/>
      <c r="D1" s="139"/>
      <c r="E1" s="139"/>
      <c r="F1" s="139"/>
      <c r="G1" s="139"/>
    </row>
    <row r="2" spans="1:9" ht="14.4" x14ac:dyDescent="0.3">
      <c r="A2" s="140" t="s">
        <v>1</v>
      </c>
      <c r="B2" s="141"/>
      <c r="C2" s="146" t="str">
        <f>'Soupis dodávek a prací'!D2</f>
        <v>Strední zdravotnická škola a Vyšší odborná škola zdravotnická Kladno - "Oprava vnitřních dveří včetně výměny dveřních vložek“</v>
      </c>
      <c r="D2" s="141" t="s">
        <v>2</v>
      </c>
      <c r="E2" s="141" t="s">
        <v>3</v>
      </c>
      <c r="F2" s="137" t="s">
        <v>4</v>
      </c>
      <c r="G2" s="168" t="str">
        <f>'Soupis dodávek a prací'!J2</f>
        <v xml:space="preserve">Střední zdravotnická škola a Vyšší odborná škola zdravotnická Kladno </v>
      </c>
    </row>
    <row r="3" spans="1:9" ht="15" customHeight="1" x14ac:dyDescent="0.3">
      <c r="A3" s="142"/>
      <c r="B3" s="98"/>
      <c r="C3" s="148"/>
      <c r="D3" s="98"/>
      <c r="E3" s="98"/>
      <c r="F3" s="98"/>
      <c r="G3" s="144"/>
    </row>
    <row r="4" spans="1:9" ht="14.4" x14ac:dyDescent="0.3">
      <c r="A4" s="135" t="s">
        <v>6</v>
      </c>
      <c r="B4" s="98"/>
      <c r="C4" s="97" t="str">
        <f>'Soupis dodávek a prací'!D4</f>
        <v xml:space="preserve"> </v>
      </c>
      <c r="D4" s="98" t="s">
        <v>7</v>
      </c>
      <c r="E4" s="98"/>
      <c r="F4" s="97" t="s">
        <v>8</v>
      </c>
      <c r="G4" s="129" t="str">
        <f>'Soupis dodávek a prací'!J4</f>
        <v> </v>
      </c>
    </row>
    <row r="5" spans="1:9" ht="15" customHeight="1" x14ac:dyDescent="0.3">
      <c r="A5" s="142"/>
      <c r="B5" s="98"/>
      <c r="C5" s="98"/>
      <c r="D5" s="98"/>
      <c r="E5" s="98"/>
      <c r="F5" s="98"/>
      <c r="G5" s="144"/>
    </row>
    <row r="6" spans="1:9" ht="14.4" x14ac:dyDescent="0.3">
      <c r="A6" s="135" t="s">
        <v>9</v>
      </c>
      <c r="B6" s="98"/>
      <c r="C6" s="97" t="str">
        <f>'Soupis dodávek a prací'!D6</f>
        <v xml:space="preserve"> Havířská 1141, 272 01 Kladno </v>
      </c>
      <c r="D6" s="98" t="s">
        <v>10</v>
      </c>
      <c r="E6" s="98" t="s">
        <v>3</v>
      </c>
      <c r="F6" s="97" t="s">
        <v>11</v>
      </c>
      <c r="G6" s="129"/>
    </row>
    <row r="7" spans="1:9" ht="15" customHeight="1" x14ac:dyDescent="0.3">
      <c r="A7" s="142"/>
      <c r="B7" s="98"/>
      <c r="C7" s="98"/>
      <c r="D7" s="98"/>
      <c r="E7" s="98"/>
      <c r="F7" s="98"/>
      <c r="G7" s="144"/>
    </row>
    <row r="8" spans="1:9" ht="14.4" x14ac:dyDescent="0.3">
      <c r="A8" s="135" t="s">
        <v>14</v>
      </c>
      <c r="B8" s="98"/>
      <c r="C8" s="97"/>
      <c r="D8" s="98" t="s">
        <v>13</v>
      </c>
      <c r="E8" s="98"/>
      <c r="F8" s="98" t="s">
        <v>13</v>
      </c>
      <c r="G8" s="129"/>
    </row>
    <row r="9" spans="1:9" thickBot="1" x14ac:dyDescent="0.35">
      <c r="A9" s="171"/>
      <c r="B9" s="170"/>
      <c r="C9" s="170"/>
      <c r="D9" s="170"/>
      <c r="E9" s="170"/>
      <c r="F9" s="170"/>
      <c r="G9" s="169"/>
    </row>
    <row r="10" spans="1:9" thickBot="1" x14ac:dyDescent="0.35">
      <c r="A10" s="7" t="s">
        <v>15</v>
      </c>
      <c r="B10" s="8" t="s">
        <v>16</v>
      </c>
      <c r="C10" s="9" t="s">
        <v>17</v>
      </c>
      <c r="D10" s="10" t="s">
        <v>170</v>
      </c>
      <c r="E10" s="10" t="s">
        <v>171</v>
      </c>
      <c r="F10" s="10" t="s">
        <v>172</v>
      </c>
      <c r="G10" s="11" t="s">
        <v>173</v>
      </c>
    </row>
    <row r="11" spans="1:9" s="44" customFormat="1" ht="14.4" x14ac:dyDescent="0.3">
      <c r="A11" s="45" t="s">
        <v>48</v>
      </c>
      <c r="B11" s="45" t="s">
        <v>48</v>
      </c>
      <c r="C11" s="45" t="s">
        <v>49</v>
      </c>
      <c r="D11" s="46">
        <f>'Soupis dodávek a prací'!J12</f>
        <v>0</v>
      </c>
      <c r="E11" s="46">
        <f>'Soupis dodávek a prací'!K12</f>
        <v>0</v>
      </c>
      <c r="F11" s="46">
        <f>'Soupis dodávek a prací'!L12</f>
        <v>0</v>
      </c>
      <c r="G11" s="46">
        <f>'Soupis dodávek a prací'!O12</f>
        <v>9.6559999999999988</v>
      </c>
      <c r="H11" s="42" t="s">
        <v>174</v>
      </c>
      <c r="I11" s="43">
        <f t="shared" ref="I11:I17" si="0">IF(H11="F",0,F11)</f>
        <v>0</v>
      </c>
    </row>
    <row r="12" spans="1:9" ht="14.4" x14ac:dyDescent="0.3">
      <c r="A12" s="37" t="s">
        <v>48</v>
      </c>
      <c r="B12" s="37" t="s">
        <v>50</v>
      </c>
      <c r="C12" s="37" t="s">
        <v>51</v>
      </c>
      <c r="D12" s="39">
        <f>'Soupis dodávek a prací'!J13</f>
        <v>0</v>
      </c>
      <c r="E12" s="39">
        <f>'Soupis dodávek a prací'!K13</f>
        <v>0</v>
      </c>
      <c r="F12" s="39">
        <f>'Soupis dodávek a prací'!L13</f>
        <v>0</v>
      </c>
      <c r="G12" s="39">
        <f>'Soupis dodávek a prací'!O13</f>
        <v>9.6559999999999988</v>
      </c>
      <c r="H12" s="12" t="s">
        <v>175</v>
      </c>
      <c r="I12" s="3">
        <f t="shared" si="0"/>
        <v>0</v>
      </c>
    </row>
    <row r="13" spans="1:9" ht="14.4" x14ac:dyDescent="0.3">
      <c r="A13" s="37" t="s">
        <v>48</v>
      </c>
      <c r="B13" s="37" t="s">
        <v>64</v>
      </c>
      <c r="C13" s="37" t="s">
        <v>65</v>
      </c>
      <c r="D13" s="39">
        <f>'Soupis dodávek a prací'!J18</f>
        <v>0</v>
      </c>
      <c r="E13" s="39">
        <f>'Soupis dodávek a prací'!K18</f>
        <v>0</v>
      </c>
      <c r="F13" s="39">
        <f>'Soupis dodávek a prací'!L18</f>
        <v>0</v>
      </c>
      <c r="G13" s="39">
        <f>'Soupis dodávek a prací'!O18</f>
        <v>0</v>
      </c>
      <c r="H13" s="12" t="s">
        <v>175</v>
      </c>
      <c r="I13" s="3">
        <f t="shared" si="0"/>
        <v>0</v>
      </c>
    </row>
    <row r="14" spans="1:9" s="44" customFormat="1" ht="14.4" x14ac:dyDescent="0.3">
      <c r="A14" s="47" t="s">
        <v>48</v>
      </c>
      <c r="B14" s="47" t="s">
        <v>48</v>
      </c>
      <c r="C14" s="47" t="s">
        <v>72</v>
      </c>
      <c r="D14" s="48">
        <f>'Soupis dodávek a prací'!J20</f>
        <v>0</v>
      </c>
      <c r="E14" s="48">
        <f>'Soupis dodávek a prací'!K20</f>
        <v>0</v>
      </c>
      <c r="F14" s="48">
        <f>'Soupis dodávek a prací'!L20</f>
        <v>0</v>
      </c>
      <c r="G14" s="48">
        <f>'Soupis dodávek a prací'!O20</f>
        <v>1.1062333578999999</v>
      </c>
      <c r="H14" s="42" t="s">
        <v>174</v>
      </c>
      <c r="I14" s="43">
        <f t="shared" si="0"/>
        <v>0</v>
      </c>
    </row>
    <row r="15" spans="1:9" ht="14.4" x14ac:dyDescent="0.3">
      <c r="A15" s="37" t="s">
        <v>48</v>
      </c>
      <c r="B15" s="37" t="s">
        <v>73</v>
      </c>
      <c r="C15" s="37" t="s">
        <v>74</v>
      </c>
      <c r="D15" s="39">
        <f>'Soupis dodávek a prací'!J21</f>
        <v>0</v>
      </c>
      <c r="E15" s="39">
        <f>'Soupis dodávek a prací'!K21</f>
        <v>0</v>
      </c>
      <c r="F15" s="39">
        <f>'Soupis dodávek a prací'!L21</f>
        <v>0</v>
      </c>
      <c r="G15" s="39">
        <f>'Soupis dodávek a prací'!O21</f>
        <v>9.7999999999999997E-3</v>
      </c>
      <c r="H15" s="12" t="s">
        <v>175</v>
      </c>
      <c r="I15" s="3">
        <f t="shared" si="0"/>
        <v>0</v>
      </c>
    </row>
    <row r="16" spans="1:9" ht="14.4" x14ac:dyDescent="0.3">
      <c r="A16" s="37" t="s">
        <v>48</v>
      </c>
      <c r="B16" s="37" t="s">
        <v>94</v>
      </c>
      <c r="C16" s="37" t="s">
        <v>95</v>
      </c>
      <c r="D16" s="39">
        <f>'Soupis dodávek a prací'!J28</f>
        <v>0</v>
      </c>
      <c r="E16" s="39">
        <f>'Soupis dodávek a prací'!K28</f>
        <v>0</v>
      </c>
      <c r="F16" s="39">
        <f>'Soupis dodávek a prací'!L28</f>
        <v>0</v>
      </c>
      <c r="G16" s="39">
        <f>'Soupis dodávek a prací'!O28</f>
        <v>0.67512135789999994</v>
      </c>
      <c r="H16" s="12" t="s">
        <v>175</v>
      </c>
      <c r="I16" s="3">
        <f t="shared" si="0"/>
        <v>0</v>
      </c>
    </row>
    <row r="17" spans="1:9" ht="14.4" x14ac:dyDescent="0.3">
      <c r="A17" s="49" t="s">
        <v>48</v>
      </c>
      <c r="B17" s="49" t="s">
        <v>156</v>
      </c>
      <c r="C17" s="49" t="s">
        <v>157</v>
      </c>
      <c r="D17" s="50">
        <f>'Soupis dodávek a prací'!J102</f>
        <v>0</v>
      </c>
      <c r="E17" s="50">
        <f>'Soupis dodávek a prací'!K102</f>
        <v>0</v>
      </c>
      <c r="F17" s="50">
        <f>'Soupis dodávek a prací'!L102</f>
        <v>0</v>
      </c>
      <c r="G17" s="50">
        <f>'Soupis dodávek a prací'!O102</f>
        <v>0.42131200000000002</v>
      </c>
      <c r="H17" s="12" t="s">
        <v>175</v>
      </c>
      <c r="I17" s="3">
        <f t="shared" si="0"/>
        <v>0</v>
      </c>
    </row>
    <row r="18" spans="1:9" ht="14.4" x14ac:dyDescent="0.3">
      <c r="E18" s="4" t="s">
        <v>167</v>
      </c>
      <c r="F18" s="5">
        <f>ROUND(SUM(I11:I17),2)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ageMargins left="0.393999993801117" right="0.393999993801117" top="0.59100002050399802" bottom="0.591000020503998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111"/>
  <sheetViews>
    <sheetView tabSelected="1" workbookViewId="0">
      <pane ySplit="11" topLeftCell="A12" activePane="bottomLeft" state="frozen"/>
      <selection pane="bottomLeft" activeCell="D8" sqref="D8:E9"/>
    </sheetView>
  </sheetViews>
  <sheetFormatPr defaultColWidth="12.109375" defaultRowHeight="15" customHeight="1" x14ac:dyDescent="0.3"/>
  <cols>
    <col min="1" max="1" width="4" customWidth="1"/>
    <col min="2" max="2" width="7.5546875" customWidth="1"/>
    <col min="3" max="3" width="17.88671875" customWidth="1"/>
    <col min="4" max="4" width="42.88671875" customWidth="1"/>
    <col min="5" max="5" width="24.5546875" customWidth="1"/>
    <col min="6" max="6" width="4.33203125" customWidth="1"/>
    <col min="7" max="7" width="12.88671875" customWidth="1"/>
    <col min="8" max="8" width="12" customWidth="1"/>
    <col min="9" max="9" width="11.109375" customWidth="1"/>
    <col min="10" max="13" width="15.6640625" customWidth="1"/>
    <col min="14" max="15" width="11.6640625" customWidth="1"/>
    <col min="16" max="16" width="15.33203125" customWidth="1"/>
    <col min="25" max="75" width="12.109375" hidden="1"/>
    <col min="76" max="76" width="67.44140625" hidden="1" customWidth="1"/>
    <col min="77" max="78" width="12.109375" hidden="1"/>
  </cols>
  <sheetData>
    <row r="1" spans="1:76" ht="54.75" customHeight="1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ht="14.4" x14ac:dyDescent="0.3">
      <c r="A2" s="140" t="s">
        <v>1</v>
      </c>
      <c r="B2" s="141"/>
      <c r="C2" s="141"/>
      <c r="D2" s="146" t="s">
        <v>238</v>
      </c>
      <c r="E2" s="147"/>
      <c r="F2" s="141" t="s">
        <v>2</v>
      </c>
      <c r="G2" s="141"/>
      <c r="H2" s="141" t="s">
        <v>3</v>
      </c>
      <c r="I2" s="137" t="s">
        <v>4</v>
      </c>
      <c r="J2" s="141" t="s">
        <v>234</v>
      </c>
      <c r="K2" s="141"/>
      <c r="L2" s="141"/>
      <c r="M2" s="141"/>
      <c r="N2" s="141"/>
      <c r="O2" s="141"/>
      <c r="P2" s="143"/>
    </row>
    <row r="3" spans="1:76" ht="14.4" x14ac:dyDescent="0.3">
      <c r="A3" s="142"/>
      <c r="B3" s="98"/>
      <c r="C3" s="98"/>
      <c r="D3" s="148"/>
      <c r="E3" s="148"/>
      <c r="F3" s="98"/>
      <c r="G3" s="98"/>
      <c r="H3" s="98"/>
      <c r="I3" s="98"/>
      <c r="J3" s="98"/>
      <c r="K3" s="98"/>
      <c r="L3" s="98"/>
      <c r="M3" s="98"/>
      <c r="N3" s="98"/>
      <c r="O3" s="98"/>
      <c r="P3" s="144"/>
    </row>
    <row r="4" spans="1:76" ht="14.4" x14ac:dyDescent="0.3">
      <c r="A4" s="135" t="s">
        <v>6</v>
      </c>
      <c r="B4" s="98"/>
      <c r="C4" s="98"/>
      <c r="D4" s="97" t="s">
        <v>3</v>
      </c>
      <c r="E4" s="98"/>
      <c r="F4" s="98" t="s">
        <v>7</v>
      </c>
      <c r="G4" s="98"/>
      <c r="H4" s="98"/>
      <c r="I4" s="97" t="s">
        <v>8</v>
      </c>
      <c r="J4" s="98" t="s">
        <v>5</v>
      </c>
      <c r="K4" s="98"/>
      <c r="L4" s="98"/>
      <c r="M4" s="98"/>
      <c r="N4" s="98"/>
      <c r="O4" s="98"/>
      <c r="P4" s="144"/>
    </row>
    <row r="5" spans="1:76" ht="14.4" x14ac:dyDescent="0.3">
      <c r="A5" s="142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44"/>
    </row>
    <row r="6" spans="1:76" ht="14.4" x14ac:dyDescent="0.3">
      <c r="A6" s="135" t="s">
        <v>9</v>
      </c>
      <c r="B6" s="98"/>
      <c r="C6" s="98"/>
      <c r="D6" s="97" t="s">
        <v>230</v>
      </c>
      <c r="E6" s="98"/>
      <c r="F6" s="98" t="s">
        <v>10</v>
      </c>
      <c r="G6" s="98"/>
      <c r="H6" s="98" t="s">
        <v>3</v>
      </c>
      <c r="I6" s="97" t="s">
        <v>11</v>
      </c>
      <c r="J6" s="98"/>
      <c r="K6" s="98"/>
      <c r="L6" s="98"/>
      <c r="M6" s="98"/>
      <c r="N6" s="98"/>
      <c r="O6" s="98"/>
      <c r="P6" s="144"/>
    </row>
    <row r="7" spans="1:76" ht="14.4" x14ac:dyDescent="0.3">
      <c r="A7" s="142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144"/>
    </row>
    <row r="8" spans="1:76" ht="14.4" x14ac:dyDescent="0.3">
      <c r="A8" s="135" t="s">
        <v>12</v>
      </c>
      <c r="B8" s="98"/>
      <c r="C8" s="98"/>
      <c r="D8" s="97" t="s">
        <v>3</v>
      </c>
      <c r="E8" s="98"/>
      <c r="F8" s="98" t="s">
        <v>13</v>
      </c>
      <c r="G8" s="98"/>
      <c r="H8" s="98"/>
      <c r="I8" s="97" t="s">
        <v>14</v>
      </c>
      <c r="J8" s="98"/>
      <c r="K8" s="98"/>
      <c r="L8" s="98"/>
      <c r="M8" s="98"/>
      <c r="N8" s="98"/>
      <c r="O8" s="98"/>
      <c r="P8" s="144"/>
    </row>
    <row r="9" spans="1:76" ht="14.4" x14ac:dyDescent="0.3">
      <c r="A9" s="171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69"/>
    </row>
    <row r="10" spans="1:76" s="58" customFormat="1" ht="26.4" x14ac:dyDescent="0.3">
      <c r="A10" s="51" t="s">
        <v>229</v>
      </c>
      <c r="B10" s="52" t="s">
        <v>15</v>
      </c>
      <c r="C10" s="52" t="s">
        <v>16</v>
      </c>
      <c r="D10" s="187" t="s">
        <v>17</v>
      </c>
      <c r="E10" s="188"/>
      <c r="F10" s="52" t="s">
        <v>18</v>
      </c>
      <c r="G10" s="53" t="s">
        <v>19</v>
      </c>
      <c r="H10" s="54" t="s">
        <v>20</v>
      </c>
      <c r="I10" s="55" t="s">
        <v>21</v>
      </c>
      <c r="J10" s="181" t="s">
        <v>22</v>
      </c>
      <c r="K10" s="182"/>
      <c r="L10" s="183"/>
      <c r="M10" s="56" t="s">
        <v>22</v>
      </c>
      <c r="N10" s="184" t="s">
        <v>23</v>
      </c>
      <c r="O10" s="185"/>
      <c r="P10" s="57" t="s">
        <v>24</v>
      </c>
      <c r="BK10" s="59" t="s">
        <v>25</v>
      </c>
      <c r="BL10" s="60" t="s">
        <v>26</v>
      </c>
      <c r="BW10" s="60" t="s">
        <v>27</v>
      </c>
    </row>
    <row r="11" spans="1:76" s="58" customFormat="1" thickBot="1" x14ac:dyDescent="0.35">
      <c r="A11" s="61" t="s">
        <v>3</v>
      </c>
      <c r="B11" s="62" t="s">
        <v>3</v>
      </c>
      <c r="C11" s="62" t="s">
        <v>3</v>
      </c>
      <c r="D11" s="179" t="s">
        <v>28</v>
      </c>
      <c r="E11" s="180"/>
      <c r="F11" s="62" t="s">
        <v>3</v>
      </c>
      <c r="G11" s="62" t="s">
        <v>3</v>
      </c>
      <c r="H11" s="63" t="s">
        <v>29</v>
      </c>
      <c r="I11" s="64" t="s">
        <v>3</v>
      </c>
      <c r="J11" s="65" t="s">
        <v>30</v>
      </c>
      <c r="K11" s="66" t="s">
        <v>31</v>
      </c>
      <c r="L11" s="67" t="s">
        <v>32</v>
      </c>
      <c r="M11" s="68" t="s">
        <v>33</v>
      </c>
      <c r="N11" s="69" t="s">
        <v>34</v>
      </c>
      <c r="O11" s="70" t="s">
        <v>32</v>
      </c>
      <c r="P11" s="71" t="s">
        <v>35</v>
      </c>
      <c r="Z11" s="59" t="s">
        <v>36</v>
      </c>
      <c r="AA11" s="59" t="s">
        <v>37</v>
      </c>
      <c r="AB11" s="59" t="s">
        <v>38</v>
      </c>
      <c r="AC11" s="59" t="s">
        <v>39</v>
      </c>
      <c r="AD11" s="59" t="s">
        <v>40</v>
      </c>
      <c r="AE11" s="59" t="s">
        <v>41</v>
      </c>
      <c r="AF11" s="59" t="s">
        <v>42</v>
      </c>
      <c r="AG11" s="59" t="s">
        <v>43</v>
      </c>
      <c r="AH11" s="59" t="s">
        <v>44</v>
      </c>
      <c r="BH11" s="59" t="s">
        <v>45</v>
      </c>
      <c r="BI11" s="59" t="s">
        <v>46</v>
      </c>
      <c r="BJ11" s="59" t="s">
        <v>47</v>
      </c>
    </row>
    <row r="12" spans="1:76" s="58" customFormat="1" ht="14.4" x14ac:dyDescent="0.3">
      <c r="A12" s="72" t="s">
        <v>48</v>
      </c>
      <c r="B12" s="35" t="s">
        <v>48</v>
      </c>
      <c r="C12" s="35" t="s">
        <v>48</v>
      </c>
      <c r="D12" s="186" t="s">
        <v>49</v>
      </c>
      <c r="E12" s="186"/>
      <c r="F12" s="72" t="s">
        <v>3</v>
      </c>
      <c r="G12" s="72" t="s">
        <v>3</v>
      </c>
      <c r="H12" s="72" t="s">
        <v>3</v>
      </c>
      <c r="I12" s="72" t="s">
        <v>3</v>
      </c>
      <c r="J12" s="73">
        <f>J13+J18</f>
        <v>0</v>
      </c>
      <c r="K12" s="73">
        <f>K13+K18</f>
        <v>0</v>
      </c>
      <c r="L12" s="73">
        <f>L13+L18</f>
        <v>0</v>
      </c>
      <c r="M12" s="73">
        <f>M13+M18</f>
        <v>0</v>
      </c>
      <c r="N12" s="74" t="s">
        <v>48</v>
      </c>
      <c r="O12" s="73">
        <f>O13+O18</f>
        <v>9.6559999999999988</v>
      </c>
      <c r="P12" s="74" t="s">
        <v>48</v>
      </c>
    </row>
    <row r="13" spans="1:76" s="58" customFormat="1" ht="14.4" x14ac:dyDescent="0.3">
      <c r="A13" s="75" t="s">
        <v>48</v>
      </c>
      <c r="B13" s="36" t="s">
        <v>48</v>
      </c>
      <c r="C13" s="36" t="s">
        <v>50</v>
      </c>
      <c r="D13" s="175" t="s">
        <v>51</v>
      </c>
      <c r="E13" s="175"/>
      <c r="F13" s="75" t="s">
        <v>3</v>
      </c>
      <c r="G13" s="75" t="s">
        <v>3</v>
      </c>
      <c r="H13" s="75" t="s">
        <v>3</v>
      </c>
      <c r="I13" s="75" t="s">
        <v>3</v>
      </c>
      <c r="J13" s="76">
        <f>SUM(J14:J14)</f>
        <v>0</v>
      </c>
      <c r="K13" s="76">
        <f>SUM(K14:K14)</f>
        <v>0</v>
      </c>
      <c r="L13" s="76">
        <f>SUM(L14:L14)</f>
        <v>0</v>
      </c>
      <c r="M13" s="76">
        <f>SUM(M14:M14)</f>
        <v>0</v>
      </c>
      <c r="N13" s="77" t="s">
        <v>48</v>
      </c>
      <c r="O13" s="76">
        <f>SUM(O14:O14)</f>
        <v>9.6559999999999988</v>
      </c>
      <c r="P13" s="77" t="s">
        <v>48</v>
      </c>
      <c r="AI13" s="59" t="s">
        <v>48</v>
      </c>
      <c r="AS13" s="78">
        <f>SUM(AJ14:AJ14)</f>
        <v>0</v>
      </c>
      <c r="AT13" s="78">
        <f>SUM(AK14:AK14)</f>
        <v>0</v>
      </c>
      <c r="AU13" s="78">
        <f>SUM(AL14:AL14)</f>
        <v>0</v>
      </c>
    </row>
    <row r="14" spans="1:76" s="58" customFormat="1" ht="14.4" x14ac:dyDescent="0.3">
      <c r="A14" s="38" t="s">
        <v>52</v>
      </c>
      <c r="B14" s="38" t="s">
        <v>48</v>
      </c>
      <c r="C14" s="38" t="s">
        <v>53</v>
      </c>
      <c r="D14" s="172" t="s">
        <v>54</v>
      </c>
      <c r="E14" s="172"/>
      <c r="F14" s="38" t="s">
        <v>55</v>
      </c>
      <c r="G14" s="79">
        <v>272</v>
      </c>
      <c r="H14" s="79"/>
      <c r="I14" s="80">
        <v>21</v>
      </c>
      <c r="J14" s="79">
        <f>ROUND(G14*AO14,2)</f>
        <v>0</v>
      </c>
      <c r="K14" s="79">
        <f>ROUND(G14*AP14,2)</f>
        <v>0</v>
      </c>
      <c r="L14" s="79">
        <f>ROUND(G14*H14,2)</f>
        <v>0</v>
      </c>
      <c r="M14" s="79">
        <f>L14*(1+BW14/100)</f>
        <v>0</v>
      </c>
      <c r="N14" s="79">
        <v>3.5499999999999997E-2</v>
      </c>
      <c r="O14" s="79">
        <f>G14*N14</f>
        <v>9.6559999999999988</v>
      </c>
      <c r="P14" s="81" t="s">
        <v>56</v>
      </c>
      <c r="Z14" s="82">
        <f>ROUND(IF(AQ14="5",BJ14,0),2)</f>
        <v>0</v>
      </c>
      <c r="AB14" s="82">
        <f>ROUND(IF(AQ14="1",BH14,0),2)</f>
        <v>0</v>
      </c>
      <c r="AC14" s="82">
        <f>ROUND(IF(AQ14="1",BI14,0),2)</f>
        <v>0</v>
      </c>
      <c r="AD14" s="82">
        <f>ROUND(IF(AQ14="7",BH14,0),2)</f>
        <v>0</v>
      </c>
      <c r="AE14" s="82">
        <f>ROUND(IF(AQ14="7",BI14,0),2)</f>
        <v>0</v>
      </c>
      <c r="AF14" s="82">
        <f>ROUND(IF(AQ14="2",BH14,0),2)</f>
        <v>0</v>
      </c>
      <c r="AG14" s="82">
        <f>ROUND(IF(AQ14="2",BI14,0),2)</f>
        <v>0</v>
      </c>
      <c r="AH14" s="82">
        <f>ROUND(IF(AQ14="0",BJ14,0),2)</f>
        <v>0</v>
      </c>
      <c r="AI14" s="59" t="s">
        <v>48</v>
      </c>
      <c r="AJ14" s="82">
        <f>IF(AN14=0,L14,0)</f>
        <v>0</v>
      </c>
      <c r="AK14" s="82">
        <f>IF(AN14=12,L14,0)</f>
        <v>0</v>
      </c>
      <c r="AL14" s="82">
        <f>IF(AN14=21,L14,0)</f>
        <v>0</v>
      </c>
      <c r="AN14" s="82">
        <v>21</v>
      </c>
      <c r="AO14" s="82">
        <f>H14*0</f>
        <v>0</v>
      </c>
      <c r="AP14" s="82">
        <f>H14*(1-0)</f>
        <v>0</v>
      </c>
      <c r="AQ14" s="83" t="s">
        <v>52</v>
      </c>
      <c r="AV14" s="82">
        <f>ROUND(AW14+AX14,2)</f>
        <v>0</v>
      </c>
      <c r="AW14" s="82">
        <f>ROUND(G14*AO14,2)</f>
        <v>0</v>
      </c>
      <c r="AX14" s="82">
        <f>ROUND(G14*AP14,2)</f>
        <v>0</v>
      </c>
      <c r="AY14" s="83" t="s">
        <v>57</v>
      </c>
      <c r="AZ14" s="83" t="s">
        <v>58</v>
      </c>
      <c r="BA14" s="59" t="s">
        <v>59</v>
      </c>
      <c r="BC14" s="82">
        <f>AW14+AX14</f>
        <v>0</v>
      </c>
      <c r="BD14" s="82">
        <f>H14/(100-BE14)*100</f>
        <v>0</v>
      </c>
      <c r="BE14" s="82">
        <v>0</v>
      </c>
      <c r="BF14" s="82">
        <f>O14</f>
        <v>9.6559999999999988</v>
      </c>
      <c r="BH14" s="82">
        <f>G14*AO14</f>
        <v>0</v>
      </c>
      <c r="BI14" s="82">
        <f>G14*AP14</f>
        <v>0</v>
      </c>
      <c r="BJ14" s="82">
        <f>G14*H14</f>
        <v>0</v>
      </c>
      <c r="BK14" s="83" t="s">
        <v>60</v>
      </c>
      <c r="BL14" s="82">
        <v>96</v>
      </c>
      <c r="BW14" s="82">
        <f>I14</f>
        <v>21</v>
      </c>
      <c r="BX14" s="2" t="s">
        <v>54</v>
      </c>
    </row>
    <row r="15" spans="1:76" s="58" customFormat="1" ht="13.5" customHeight="1" x14ac:dyDescent="0.3">
      <c r="A15" s="84"/>
      <c r="B15" s="84"/>
      <c r="C15" s="84"/>
      <c r="D15" s="173" t="s">
        <v>61</v>
      </c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</row>
    <row r="16" spans="1:76" s="58" customFormat="1" ht="14.4" x14ac:dyDescent="0.3">
      <c r="A16" s="84"/>
      <c r="B16" s="84"/>
      <c r="C16" s="84"/>
      <c r="D16" s="40" t="s">
        <v>48</v>
      </c>
      <c r="E16" s="40" t="s">
        <v>62</v>
      </c>
      <c r="F16" s="84"/>
      <c r="G16" s="85">
        <v>0</v>
      </c>
      <c r="H16" s="84"/>
      <c r="I16" s="84"/>
      <c r="J16" s="84"/>
      <c r="K16" s="84"/>
      <c r="L16" s="84"/>
      <c r="M16" s="84"/>
      <c r="N16" s="84"/>
      <c r="O16" s="84"/>
      <c r="P16" s="84"/>
    </row>
    <row r="17" spans="1:76" s="58" customFormat="1" ht="14.4" x14ac:dyDescent="0.3">
      <c r="A17" s="84"/>
      <c r="B17" s="84"/>
      <c r="C17" s="84"/>
      <c r="D17" s="40" t="s">
        <v>63</v>
      </c>
      <c r="E17" s="40" t="s">
        <v>48</v>
      </c>
      <c r="F17" s="84"/>
      <c r="G17" s="85">
        <v>272</v>
      </c>
      <c r="H17" s="84"/>
      <c r="I17" s="84"/>
      <c r="J17" s="84"/>
      <c r="K17" s="84"/>
      <c r="L17" s="84"/>
      <c r="M17" s="84"/>
      <c r="N17" s="84"/>
      <c r="O17" s="84"/>
      <c r="P17" s="84"/>
    </row>
    <row r="18" spans="1:76" s="58" customFormat="1" ht="14.4" x14ac:dyDescent="0.3">
      <c r="A18" s="75" t="s">
        <v>48</v>
      </c>
      <c r="B18" s="36" t="s">
        <v>48</v>
      </c>
      <c r="C18" s="36" t="s">
        <v>64</v>
      </c>
      <c r="D18" s="175" t="s">
        <v>65</v>
      </c>
      <c r="E18" s="175"/>
      <c r="F18" s="75" t="s">
        <v>3</v>
      </c>
      <c r="G18" s="75" t="s">
        <v>3</v>
      </c>
      <c r="H18" s="75" t="s">
        <v>3</v>
      </c>
      <c r="I18" s="75" t="s">
        <v>3</v>
      </c>
      <c r="J18" s="76">
        <f>SUM(J19:J19)</f>
        <v>0</v>
      </c>
      <c r="K18" s="76">
        <f>SUM(K19:K19)</f>
        <v>0</v>
      </c>
      <c r="L18" s="76">
        <f>SUM(L19:L19)</f>
        <v>0</v>
      </c>
      <c r="M18" s="76">
        <f>SUM(M19:M19)</f>
        <v>0</v>
      </c>
      <c r="N18" s="77" t="s">
        <v>48</v>
      </c>
      <c r="O18" s="76">
        <f>SUM(O19:O19)</f>
        <v>0</v>
      </c>
      <c r="P18" s="77" t="s">
        <v>48</v>
      </c>
      <c r="AI18" s="59" t="s">
        <v>48</v>
      </c>
      <c r="AS18" s="78">
        <f>SUM(AJ19:AJ19)</f>
        <v>0</v>
      </c>
      <c r="AT18" s="78">
        <f>SUM(AK19:AK19)</f>
        <v>0</v>
      </c>
      <c r="AU18" s="78">
        <f>SUM(AL19:AL19)</f>
        <v>0</v>
      </c>
    </row>
    <row r="19" spans="1:76" s="58" customFormat="1" ht="14.4" x14ac:dyDescent="0.3">
      <c r="A19" s="38" t="s">
        <v>66</v>
      </c>
      <c r="B19" s="38" t="s">
        <v>48</v>
      </c>
      <c r="C19" s="38" t="s">
        <v>67</v>
      </c>
      <c r="D19" s="172" t="s">
        <v>68</v>
      </c>
      <c r="E19" s="172"/>
      <c r="F19" s="38" t="s">
        <v>69</v>
      </c>
      <c r="G19" s="79">
        <v>9.6560000000000006</v>
      </c>
      <c r="H19" s="79"/>
      <c r="I19" s="80">
        <v>21</v>
      </c>
      <c r="J19" s="79">
        <f>ROUND(G19*AO19,2)</f>
        <v>0</v>
      </c>
      <c r="K19" s="79">
        <f>ROUND(G19*AP19,2)</f>
        <v>0</v>
      </c>
      <c r="L19" s="79">
        <f>ROUND(G19*H19,2)</f>
        <v>0</v>
      </c>
      <c r="M19" s="79">
        <f>L19*(1+BW19/100)</f>
        <v>0</v>
      </c>
      <c r="N19" s="79">
        <v>0</v>
      </c>
      <c r="O19" s="79">
        <f>G19*N19</f>
        <v>0</v>
      </c>
      <c r="P19" s="81" t="s">
        <v>56</v>
      </c>
      <c r="Z19" s="82">
        <f>ROUND(IF(AQ19="5",BJ19,0),2)</f>
        <v>0</v>
      </c>
      <c r="AB19" s="82">
        <f>ROUND(IF(AQ19="1",BH19,0),2)</f>
        <v>0</v>
      </c>
      <c r="AC19" s="82">
        <f>ROUND(IF(AQ19="1",BI19,0),2)</f>
        <v>0</v>
      </c>
      <c r="AD19" s="82">
        <f>ROUND(IF(AQ19="7",BH19,0),2)</f>
        <v>0</v>
      </c>
      <c r="AE19" s="82">
        <f>ROUND(IF(AQ19="7",BI19,0),2)</f>
        <v>0</v>
      </c>
      <c r="AF19" s="82">
        <f>ROUND(IF(AQ19="2",BH19,0),2)</f>
        <v>0</v>
      </c>
      <c r="AG19" s="82">
        <f>ROUND(IF(AQ19="2",BI19,0),2)</f>
        <v>0</v>
      </c>
      <c r="AH19" s="82">
        <f>ROUND(IF(AQ19="0",BJ19,0),2)</f>
        <v>0</v>
      </c>
      <c r="AI19" s="59" t="s">
        <v>48</v>
      </c>
      <c r="AJ19" s="82">
        <f>IF(AN19=0,L19,0)</f>
        <v>0</v>
      </c>
      <c r="AK19" s="82">
        <f>IF(AN19=12,L19,0)</f>
        <v>0</v>
      </c>
      <c r="AL19" s="82">
        <f>IF(AN19=21,L19,0)</f>
        <v>0</v>
      </c>
      <c r="AN19" s="82">
        <v>21</v>
      </c>
      <c r="AO19" s="82">
        <f>H19*0</f>
        <v>0</v>
      </c>
      <c r="AP19" s="82">
        <f>H19*(1-0)</f>
        <v>0</v>
      </c>
      <c r="AQ19" s="83" t="s">
        <v>70</v>
      </c>
      <c r="AV19" s="82">
        <f>ROUND(AW19+AX19,2)</f>
        <v>0</v>
      </c>
      <c r="AW19" s="82">
        <f>ROUND(G19*AO19,2)</f>
        <v>0</v>
      </c>
      <c r="AX19" s="82">
        <f>ROUND(G19*AP19,2)</f>
        <v>0</v>
      </c>
      <c r="AY19" s="83" t="s">
        <v>71</v>
      </c>
      <c r="AZ19" s="83" t="s">
        <v>58</v>
      </c>
      <c r="BA19" s="59" t="s">
        <v>59</v>
      </c>
      <c r="BC19" s="82">
        <f>AW19+AX19</f>
        <v>0</v>
      </c>
      <c r="BD19" s="82">
        <f>H19/(100-BE19)*100</f>
        <v>0</v>
      </c>
      <c r="BE19" s="82">
        <v>0</v>
      </c>
      <c r="BF19" s="82">
        <f>O19</f>
        <v>0</v>
      </c>
      <c r="BH19" s="82">
        <f>G19*AO19</f>
        <v>0</v>
      </c>
      <c r="BI19" s="82">
        <f>G19*AP19</f>
        <v>0</v>
      </c>
      <c r="BJ19" s="82">
        <f>G19*H19</f>
        <v>0</v>
      </c>
      <c r="BK19" s="83" t="s">
        <v>60</v>
      </c>
      <c r="BL19" s="82">
        <v>99</v>
      </c>
      <c r="BW19" s="82">
        <f>I19</f>
        <v>21</v>
      </c>
      <c r="BX19" s="2" t="s">
        <v>68</v>
      </c>
    </row>
    <row r="20" spans="1:76" s="58" customFormat="1" ht="14.4" x14ac:dyDescent="0.3">
      <c r="A20" s="86" t="s">
        <v>48</v>
      </c>
      <c r="B20" s="41" t="s">
        <v>48</v>
      </c>
      <c r="C20" s="41" t="s">
        <v>48</v>
      </c>
      <c r="D20" s="178" t="s">
        <v>72</v>
      </c>
      <c r="E20" s="178"/>
      <c r="F20" s="86" t="s">
        <v>3</v>
      </c>
      <c r="G20" s="86" t="s">
        <v>3</v>
      </c>
      <c r="H20" s="86"/>
      <c r="I20" s="86" t="s">
        <v>3</v>
      </c>
      <c r="J20" s="87">
        <f>J21+J28+J102</f>
        <v>0</v>
      </c>
      <c r="K20" s="87">
        <f>K21+K28+K102</f>
        <v>0</v>
      </c>
      <c r="L20" s="87">
        <f>L21+L28+L102</f>
        <v>0</v>
      </c>
      <c r="M20" s="87">
        <f>M21+M28+M102</f>
        <v>0</v>
      </c>
      <c r="N20" s="88" t="s">
        <v>48</v>
      </c>
      <c r="O20" s="87">
        <f>O21+O28+O102</f>
        <v>1.1062333578999999</v>
      </c>
      <c r="P20" s="88" t="s">
        <v>48</v>
      </c>
    </row>
    <row r="21" spans="1:76" s="58" customFormat="1" ht="14.4" x14ac:dyDescent="0.3">
      <c r="A21" s="75" t="s">
        <v>48</v>
      </c>
      <c r="B21" s="36" t="s">
        <v>48</v>
      </c>
      <c r="C21" s="36" t="s">
        <v>73</v>
      </c>
      <c r="D21" s="175" t="s">
        <v>74</v>
      </c>
      <c r="E21" s="175"/>
      <c r="F21" s="75" t="s">
        <v>3</v>
      </c>
      <c r="G21" s="75" t="s">
        <v>3</v>
      </c>
      <c r="H21" s="75"/>
      <c r="I21" s="75" t="s">
        <v>3</v>
      </c>
      <c r="J21" s="76">
        <f>SUM(J22:J27)</f>
        <v>0</v>
      </c>
      <c r="K21" s="76">
        <f>SUM(K22:K27)</f>
        <v>0</v>
      </c>
      <c r="L21" s="76">
        <f>SUM(L22:L27)</f>
        <v>0</v>
      </c>
      <c r="M21" s="76">
        <f>SUM(M22:M27)</f>
        <v>0</v>
      </c>
      <c r="N21" s="77" t="s">
        <v>48</v>
      </c>
      <c r="O21" s="76">
        <f>SUM(O22:O27)</f>
        <v>9.7999999999999997E-3</v>
      </c>
      <c r="P21" s="77" t="s">
        <v>48</v>
      </c>
      <c r="AI21" s="59" t="s">
        <v>48</v>
      </c>
      <c r="AS21" s="78">
        <f>SUM(AJ22:AJ27)</f>
        <v>0</v>
      </c>
      <c r="AT21" s="78">
        <f>SUM(AK22:AK27)</f>
        <v>0</v>
      </c>
      <c r="AU21" s="78">
        <f>SUM(AL22:AL27)</f>
        <v>0</v>
      </c>
    </row>
    <row r="22" spans="1:76" s="58" customFormat="1" ht="14.4" x14ac:dyDescent="0.3">
      <c r="A22" s="38" t="s">
        <v>75</v>
      </c>
      <c r="B22" s="38" t="s">
        <v>48</v>
      </c>
      <c r="C22" s="38" t="s">
        <v>76</v>
      </c>
      <c r="D22" s="172" t="s">
        <v>77</v>
      </c>
      <c r="E22" s="172"/>
      <c r="F22" s="38" t="s">
        <v>55</v>
      </c>
      <c r="G22" s="79">
        <v>98</v>
      </c>
      <c r="H22" s="79"/>
      <c r="I22" s="80">
        <v>21</v>
      </c>
      <c r="J22" s="79">
        <f>ROUND(G22*AO22,2)</f>
        <v>0</v>
      </c>
      <c r="K22" s="79">
        <f>ROUND(G22*AP22,2)</f>
        <v>0</v>
      </c>
      <c r="L22" s="79">
        <f>ROUND(G22*H22,2)</f>
        <v>0</v>
      </c>
      <c r="M22" s="79">
        <f>L22*(1+BW22/100)</f>
        <v>0</v>
      </c>
      <c r="N22" s="79">
        <v>0</v>
      </c>
      <c r="O22" s="79">
        <f>G22*N22</f>
        <v>0</v>
      </c>
      <c r="P22" s="81" t="s">
        <v>56</v>
      </c>
      <c r="Z22" s="82">
        <f>ROUND(IF(AQ22="5",BJ22,0),2)</f>
        <v>0</v>
      </c>
      <c r="AB22" s="82">
        <f>ROUND(IF(AQ22="1",BH22,0),2)</f>
        <v>0</v>
      </c>
      <c r="AC22" s="82">
        <f>ROUND(IF(AQ22="1",BI22,0),2)</f>
        <v>0</v>
      </c>
      <c r="AD22" s="82">
        <f>ROUND(IF(AQ22="7",BH22,0),2)</f>
        <v>0</v>
      </c>
      <c r="AE22" s="82">
        <f>ROUND(IF(AQ22="7",BI22,0),2)</f>
        <v>0</v>
      </c>
      <c r="AF22" s="82">
        <f>ROUND(IF(AQ22="2",BH22,0),2)</f>
        <v>0</v>
      </c>
      <c r="AG22" s="82">
        <f>ROUND(IF(AQ22="2",BI22,0),2)</f>
        <v>0</v>
      </c>
      <c r="AH22" s="82">
        <f>ROUND(IF(AQ22="0",BJ22,0),2)</f>
        <v>0</v>
      </c>
      <c r="AI22" s="59" t="s">
        <v>48</v>
      </c>
      <c r="AJ22" s="82">
        <f>IF(AN22=0,L22,0)</f>
        <v>0</v>
      </c>
      <c r="AK22" s="82">
        <f>IF(AN22=12,L22,0)</f>
        <v>0</v>
      </c>
      <c r="AL22" s="82">
        <f>IF(AN22=21,L22,0)</f>
        <v>0</v>
      </c>
      <c r="AN22" s="82">
        <v>21</v>
      </c>
      <c r="AO22" s="82">
        <f>H22*0</f>
        <v>0</v>
      </c>
      <c r="AP22" s="82">
        <f>H22*(1-0)</f>
        <v>0</v>
      </c>
      <c r="AQ22" s="83" t="s">
        <v>78</v>
      </c>
      <c r="AV22" s="82">
        <f>ROUND(AW22+AX22,2)</f>
        <v>0</v>
      </c>
      <c r="AW22" s="82">
        <f>ROUND(G22*AO22,2)</f>
        <v>0</v>
      </c>
      <c r="AX22" s="82">
        <f>ROUND(G22*AP22,2)</f>
        <v>0</v>
      </c>
      <c r="AY22" s="83" t="s">
        <v>79</v>
      </c>
      <c r="AZ22" s="83" t="s">
        <v>80</v>
      </c>
      <c r="BA22" s="59" t="s">
        <v>59</v>
      </c>
      <c r="BC22" s="82">
        <f>AW22+AX22</f>
        <v>0</v>
      </c>
      <c r="BD22" s="82">
        <f>H22/(100-BE22)*100</f>
        <v>0</v>
      </c>
      <c r="BE22" s="82">
        <v>0</v>
      </c>
      <c r="BF22" s="82">
        <f>O22</f>
        <v>0</v>
      </c>
      <c r="BH22" s="82">
        <f>G22*AO22</f>
        <v>0</v>
      </c>
      <c r="BI22" s="82">
        <f>G22*AP22</f>
        <v>0</v>
      </c>
      <c r="BJ22" s="82">
        <f>G22*H22</f>
        <v>0</v>
      </c>
      <c r="BK22" s="83" t="s">
        <v>60</v>
      </c>
      <c r="BL22" s="82">
        <v>766</v>
      </c>
      <c r="BW22" s="82">
        <f>I22</f>
        <v>21</v>
      </c>
      <c r="BX22" s="2" t="s">
        <v>77</v>
      </c>
    </row>
    <row r="23" spans="1:76" s="58" customFormat="1" ht="13.5" customHeight="1" x14ac:dyDescent="0.3">
      <c r="A23" s="84"/>
      <c r="B23" s="84"/>
      <c r="C23" s="84"/>
      <c r="D23" s="173" t="s">
        <v>81</v>
      </c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</row>
    <row r="24" spans="1:76" s="58" customFormat="1" ht="14.4" x14ac:dyDescent="0.3">
      <c r="A24" s="38" t="s">
        <v>82</v>
      </c>
      <c r="B24" s="38" t="s">
        <v>48</v>
      </c>
      <c r="C24" s="38" t="s">
        <v>83</v>
      </c>
      <c r="D24" s="172" t="s">
        <v>84</v>
      </c>
      <c r="E24" s="172"/>
      <c r="F24" s="38" t="s">
        <v>55</v>
      </c>
      <c r="G24" s="79">
        <v>98</v>
      </c>
      <c r="H24" s="79"/>
      <c r="I24" s="80">
        <v>21</v>
      </c>
      <c r="J24" s="79">
        <f>ROUND(G24*AO24,2)</f>
        <v>0</v>
      </c>
      <c r="K24" s="79">
        <f>ROUND(G24*AP24,2)</f>
        <v>0</v>
      </c>
      <c r="L24" s="79">
        <f>ROUND(G24*H24,2)</f>
        <v>0</v>
      </c>
      <c r="M24" s="79">
        <f>L24*(1+BW24/100)</f>
        <v>0</v>
      </c>
      <c r="N24" s="79">
        <v>1E-4</v>
      </c>
      <c r="O24" s="79">
        <f>G24*N24</f>
        <v>9.7999999999999997E-3</v>
      </c>
      <c r="P24" s="81" t="s">
        <v>85</v>
      </c>
      <c r="Z24" s="82">
        <f>ROUND(IF(AQ24="5",BJ24,0),2)</f>
        <v>0</v>
      </c>
      <c r="AB24" s="82">
        <f>ROUND(IF(AQ24="1",BH24,0),2)</f>
        <v>0</v>
      </c>
      <c r="AC24" s="82">
        <f>ROUND(IF(AQ24="1",BI24,0),2)</f>
        <v>0</v>
      </c>
      <c r="AD24" s="82">
        <f>ROUND(IF(AQ24="7",BH24,0),2)</f>
        <v>0</v>
      </c>
      <c r="AE24" s="82">
        <f>ROUND(IF(AQ24="7",BI24,0),2)</f>
        <v>0</v>
      </c>
      <c r="AF24" s="82">
        <f>ROUND(IF(AQ24="2",BH24,0),2)</f>
        <v>0</v>
      </c>
      <c r="AG24" s="82">
        <f>ROUND(IF(AQ24="2",BI24,0),2)</f>
        <v>0</v>
      </c>
      <c r="AH24" s="82">
        <f>ROUND(IF(AQ24="0",BJ24,0),2)</f>
        <v>0</v>
      </c>
      <c r="AI24" s="59" t="s">
        <v>48</v>
      </c>
      <c r="AJ24" s="82">
        <f>IF(AN24=0,L24,0)</f>
        <v>0</v>
      </c>
      <c r="AK24" s="82">
        <f>IF(AN24=12,L24,0)</f>
        <v>0</v>
      </c>
      <c r="AL24" s="82">
        <f>IF(AN24=21,L24,0)</f>
        <v>0</v>
      </c>
      <c r="AN24" s="82">
        <v>21</v>
      </c>
      <c r="AO24" s="82">
        <f>H24*1</f>
        <v>0</v>
      </c>
      <c r="AP24" s="82">
        <f>H24*(1-1)</f>
        <v>0</v>
      </c>
      <c r="AQ24" s="83" t="s">
        <v>78</v>
      </c>
      <c r="AV24" s="82">
        <f>ROUND(AW24+AX24,2)</f>
        <v>0</v>
      </c>
      <c r="AW24" s="82">
        <f>ROUND(G24*AO24,2)</f>
        <v>0</v>
      </c>
      <c r="AX24" s="82">
        <f>ROUND(G24*AP24,2)</f>
        <v>0</v>
      </c>
      <c r="AY24" s="83" t="s">
        <v>79</v>
      </c>
      <c r="AZ24" s="83" t="s">
        <v>80</v>
      </c>
      <c r="BA24" s="59" t="s">
        <v>59</v>
      </c>
      <c r="BC24" s="82">
        <f>AW24+AX24</f>
        <v>0</v>
      </c>
      <c r="BD24" s="82">
        <f>H24/(100-BE24)*100</f>
        <v>0</v>
      </c>
      <c r="BE24" s="82">
        <v>0</v>
      </c>
      <c r="BF24" s="82">
        <f>O24</f>
        <v>9.7999999999999997E-3</v>
      </c>
      <c r="BH24" s="82">
        <f>G24*AO24</f>
        <v>0</v>
      </c>
      <c r="BI24" s="82">
        <f>G24*AP24</f>
        <v>0</v>
      </c>
      <c r="BJ24" s="82">
        <f>G24*H24</f>
        <v>0</v>
      </c>
      <c r="BK24" s="83" t="s">
        <v>86</v>
      </c>
      <c r="BL24" s="82">
        <v>766</v>
      </c>
      <c r="BW24" s="82">
        <f>I24</f>
        <v>21</v>
      </c>
      <c r="BX24" s="2" t="s">
        <v>84</v>
      </c>
    </row>
    <row r="25" spans="1:76" s="58" customFormat="1" ht="14.4" x14ac:dyDescent="0.3">
      <c r="A25" s="38" t="s">
        <v>70</v>
      </c>
      <c r="B25" s="38" t="s">
        <v>48</v>
      </c>
      <c r="C25" s="38" t="s">
        <v>87</v>
      </c>
      <c r="D25" s="172" t="s">
        <v>88</v>
      </c>
      <c r="E25" s="172"/>
      <c r="F25" s="38" t="s">
        <v>55</v>
      </c>
      <c r="G25" s="79">
        <v>98</v>
      </c>
      <c r="H25" s="79"/>
      <c r="I25" s="80">
        <v>21</v>
      </c>
      <c r="J25" s="79">
        <f>ROUND(G25*AO25,2)</f>
        <v>0</v>
      </c>
      <c r="K25" s="79">
        <f>ROUND(G25*AP25,2)</f>
        <v>0</v>
      </c>
      <c r="L25" s="79">
        <f>ROUND(G25*H25,2)</f>
        <v>0</v>
      </c>
      <c r="M25" s="79">
        <f>L25*(1+BW25/100)</f>
        <v>0</v>
      </c>
      <c r="N25" s="79">
        <v>0</v>
      </c>
      <c r="O25" s="79">
        <f>G25*N25</f>
        <v>0</v>
      </c>
      <c r="P25" s="81" t="s">
        <v>56</v>
      </c>
      <c r="Z25" s="82">
        <f>ROUND(IF(AQ25="5",BJ25,0),2)</f>
        <v>0</v>
      </c>
      <c r="AB25" s="82">
        <f>ROUND(IF(AQ25="1",BH25,0),2)</f>
        <v>0</v>
      </c>
      <c r="AC25" s="82">
        <f>ROUND(IF(AQ25="1",BI25,0),2)</f>
        <v>0</v>
      </c>
      <c r="AD25" s="82">
        <f>ROUND(IF(AQ25="7",BH25,0),2)</f>
        <v>0</v>
      </c>
      <c r="AE25" s="82">
        <f>ROUND(IF(AQ25="7",BI25,0),2)</f>
        <v>0</v>
      </c>
      <c r="AF25" s="82">
        <f>ROUND(IF(AQ25="2",BH25,0),2)</f>
        <v>0</v>
      </c>
      <c r="AG25" s="82">
        <f>ROUND(IF(AQ25="2",BI25,0),2)</f>
        <v>0</v>
      </c>
      <c r="AH25" s="82">
        <f>ROUND(IF(AQ25="0",BJ25,0),2)</f>
        <v>0</v>
      </c>
      <c r="AI25" s="59" t="s">
        <v>48</v>
      </c>
      <c r="AJ25" s="82">
        <f>IF(AN25=0,L25,0)</f>
        <v>0</v>
      </c>
      <c r="AK25" s="82">
        <f>IF(AN25=12,L25,0)</f>
        <v>0</v>
      </c>
      <c r="AL25" s="82">
        <f>IF(AN25=21,L25,0)</f>
        <v>0</v>
      </c>
      <c r="AN25" s="82">
        <v>21</v>
      </c>
      <c r="AO25" s="82">
        <f>H25*0.490932477</f>
        <v>0</v>
      </c>
      <c r="AP25" s="82">
        <f>H25*(1-0.490932477)</f>
        <v>0</v>
      </c>
      <c r="AQ25" s="83" t="s">
        <v>78</v>
      </c>
      <c r="AV25" s="82">
        <f>ROUND(AW25+AX25,2)</f>
        <v>0</v>
      </c>
      <c r="AW25" s="82">
        <f>ROUND(G25*AO25,2)</f>
        <v>0</v>
      </c>
      <c r="AX25" s="82">
        <f>ROUND(G25*AP25,2)</f>
        <v>0</v>
      </c>
      <c r="AY25" s="83" t="s">
        <v>79</v>
      </c>
      <c r="AZ25" s="83" t="s">
        <v>80</v>
      </c>
      <c r="BA25" s="59" t="s">
        <v>59</v>
      </c>
      <c r="BC25" s="82">
        <f>AW25+AX25</f>
        <v>0</v>
      </c>
      <c r="BD25" s="82">
        <f>H25/(100-BE25)*100</f>
        <v>0</v>
      </c>
      <c r="BE25" s="82">
        <v>0</v>
      </c>
      <c r="BF25" s="82">
        <f>O25</f>
        <v>0</v>
      </c>
      <c r="BH25" s="82">
        <f>G25*AO25</f>
        <v>0</v>
      </c>
      <c r="BI25" s="82">
        <f>G25*AP25</f>
        <v>0</v>
      </c>
      <c r="BJ25" s="82">
        <f>G25*H25</f>
        <v>0</v>
      </c>
      <c r="BK25" s="83" t="s">
        <v>60</v>
      </c>
      <c r="BL25" s="82">
        <v>766</v>
      </c>
      <c r="BW25" s="82">
        <f>I25</f>
        <v>21</v>
      </c>
      <c r="BX25" s="2" t="s">
        <v>88</v>
      </c>
    </row>
    <row r="26" spans="1:76" s="58" customFormat="1" ht="13.5" customHeight="1" x14ac:dyDescent="0.3">
      <c r="A26" s="84"/>
      <c r="B26" s="84"/>
      <c r="C26" s="84"/>
      <c r="D26" s="173" t="s">
        <v>89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</row>
    <row r="27" spans="1:76" s="58" customFormat="1" ht="14.4" x14ac:dyDescent="0.3">
      <c r="A27" s="38" t="s">
        <v>90</v>
      </c>
      <c r="B27" s="38" t="s">
        <v>48</v>
      </c>
      <c r="C27" s="38" t="s">
        <v>91</v>
      </c>
      <c r="D27" s="172" t="s">
        <v>92</v>
      </c>
      <c r="E27" s="172"/>
      <c r="F27" s="38" t="s">
        <v>93</v>
      </c>
      <c r="G27" s="79"/>
      <c r="H27" s="79"/>
      <c r="I27" s="80">
        <v>21</v>
      </c>
      <c r="J27" s="79">
        <f>ROUND(G27*AO27,2)</f>
        <v>0</v>
      </c>
      <c r="K27" s="79">
        <f>ROUND(G27*AP27,2)</f>
        <v>0</v>
      </c>
      <c r="L27" s="79">
        <f>ROUND(G27*H27,2)</f>
        <v>0</v>
      </c>
      <c r="M27" s="79">
        <f>L27*(1+BW27/100)</f>
        <v>0</v>
      </c>
      <c r="N27" s="79">
        <v>0</v>
      </c>
      <c r="O27" s="79">
        <f>G27*N27</f>
        <v>0</v>
      </c>
      <c r="P27" s="81" t="s">
        <v>56</v>
      </c>
      <c r="Z27" s="82">
        <f>ROUND(IF(AQ27="5",BJ27,0),2)</f>
        <v>0</v>
      </c>
      <c r="AB27" s="82">
        <f>ROUND(IF(AQ27="1",BH27,0),2)</f>
        <v>0</v>
      </c>
      <c r="AC27" s="82">
        <f>ROUND(IF(AQ27="1",BI27,0),2)</f>
        <v>0</v>
      </c>
      <c r="AD27" s="82">
        <f>ROUND(IF(AQ27="7",BH27,0),2)</f>
        <v>0</v>
      </c>
      <c r="AE27" s="82">
        <f>ROUND(IF(AQ27="7",BI27,0),2)</f>
        <v>0</v>
      </c>
      <c r="AF27" s="82">
        <f>ROUND(IF(AQ27="2",BH27,0),2)</f>
        <v>0</v>
      </c>
      <c r="AG27" s="82">
        <f>ROUND(IF(AQ27="2",BI27,0),2)</f>
        <v>0</v>
      </c>
      <c r="AH27" s="82">
        <f>ROUND(IF(AQ27="0",BJ27,0),2)</f>
        <v>0</v>
      </c>
      <c r="AI27" s="59" t="s">
        <v>48</v>
      </c>
      <c r="AJ27" s="82">
        <f>IF(AN27=0,L27,0)</f>
        <v>0</v>
      </c>
      <c r="AK27" s="82">
        <f>IF(AN27=12,L27,0)</f>
        <v>0</v>
      </c>
      <c r="AL27" s="82">
        <f>IF(AN27=21,L27,0)</f>
        <v>0</v>
      </c>
      <c r="AN27" s="82">
        <v>21</v>
      </c>
      <c r="AO27" s="82">
        <f>H27*0</f>
        <v>0</v>
      </c>
      <c r="AP27" s="82">
        <f>H27*(1-0)</f>
        <v>0</v>
      </c>
      <c r="AQ27" s="83" t="s">
        <v>70</v>
      </c>
      <c r="AV27" s="82">
        <f>ROUND(AW27+AX27,2)</f>
        <v>0</v>
      </c>
      <c r="AW27" s="82">
        <f>ROUND(G27*AO27,2)</f>
        <v>0</v>
      </c>
      <c r="AX27" s="82">
        <f>ROUND(G27*AP27,2)</f>
        <v>0</v>
      </c>
      <c r="AY27" s="83" t="s">
        <v>79</v>
      </c>
      <c r="AZ27" s="83" t="s">
        <v>80</v>
      </c>
      <c r="BA27" s="59" t="s">
        <v>59</v>
      </c>
      <c r="BC27" s="82">
        <f>AW27+AX27</f>
        <v>0</v>
      </c>
      <c r="BD27" s="82">
        <f>H27/(100-BE27)*100</f>
        <v>0</v>
      </c>
      <c r="BE27" s="82">
        <v>0</v>
      </c>
      <c r="BF27" s="82">
        <f>O27</f>
        <v>0</v>
      </c>
      <c r="BH27" s="82">
        <f>G27*AO27</f>
        <v>0</v>
      </c>
      <c r="BI27" s="82">
        <f>G27*AP27</f>
        <v>0</v>
      </c>
      <c r="BJ27" s="82">
        <f>G27*H27</f>
        <v>0</v>
      </c>
      <c r="BK27" s="83" t="s">
        <v>60</v>
      </c>
      <c r="BL27" s="82">
        <v>766</v>
      </c>
      <c r="BW27" s="82">
        <f>I27</f>
        <v>21</v>
      </c>
      <c r="BX27" s="2" t="s">
        <v>92</v>
      </c>
    </row>
    <row r="28" spans="1:76" s="58" customFormat="1" ht="14.4" x14ac:dyDescent="0.3">
      <c r="A28" s="75" t="s">
        <v>48</v>
      </c>
      <c r="B28" s="36" t="s">
        <v>48</v>
      </c>
      <c r="C28" s="36" t="s">
        <v>94</v>
      </c>
      <c r="D28" s="175" t="s">
        <v>95</v>
      </c>
      <c r="E28" s="175"/>
      <c r="F28" s="75" t="s">
        <v>3</v>
      </c>
      <c r="G28" s="75" t="s">
        <v>3</v>
      </c>
      <c r="H28" s="75" t="s">
        <v>3</v>
      </c>
      <c r="I28" s="75" t="s">
        <v>3</v>
      </c>
      <c r="J28" s="76">
        <f>SUM(J29:J92)</f>
        <v>0</v>
      </c>
      <c r="K28" s="76">
        <f>SUM(K29:K92)</f>
        <v>0</v>
      </c>
      <c r="L28" s="76">
        <f>SUM(L29:L92)</f>
        <v>0</v>
      </c>
      <c r="M28" s="76">
        <f>SUM(M29:M92)</f>
        <v>0</v>
      </c>
      <c r="N28" s="77" t="s">
        <v>48</v>
      </c>
      <c r="O28" s="76">
        <f>SUM(O29:O92)</f>
        <v>0.67512135789999994</v>
      </c>
      <c r="P28" s="77" t="s">
        <v>48</v>
      </c>
      <c r="AI28" s="59" t="s">
        <v>48</v>
      </c>
      <c r="AS28" s="78">
        <f>SUM(AJ29:AJ92)</f>
        <v>0</v>
      </c>
      <c r="AT28" s="78">
        <f>SUM(AK29:AK92)</f>
        <v>0</v>
      </c>
      <c r="AU28" s="78">
        <f>SUM(AL29:AL92)</f>
        <v>0</v>
      </c>
    </row>
    <row r="29" spans="1:76" s="58" customFormat="1" ht="14.4" x14ac:dyDescent="0.3">
      <c r="A29" s="38" t="s">
        <v>78</v>
      </c>
      <c r="B29" s="38" t="s">
        <v>48</v>
      </c>
      <c r="C29" s="38" t="s">
        <v>96</v>
      </c>
      <c r="D29" s="172" t="s">
        <v>97</v>
      </c>
      <c r="E29" s="172"/>
      <c r="F29" s="38" t="s">
        <v>98</v>
      </c>
      <c r="G29" s="79">
        <v>43.86</v>
      </c>
      <c r="H29" s="79"/>
      <c r="I29" s="80">
        <v>21</v>
      </c>
      <c r="J29" s="79">
        <f>ROUND(G29*AO29,2)</f>
        <v>0</v>
      </c>
      <c r="K29" s="79">
        <f>ROUND(G29*AP29,2)</f>
        <v>0</v>
      </c>
      <c r="L29" s="79">
        <f>ROUND(G29*H29,2)</f>
        <v>0</v>
      </c>
      <c r="M29" s="79">
        <f>L29*(1+BW29/100)</f>
        <v>0</v>
      </c>
      <c r="N29" s="79">
        <v>1.0000000000000001E-5</v>
      </c>
      <c r="O29" s="79">
        <f>G29*N29</f>
        <v>4.3860000000000004E-4</v>
      </c>
      <c r="P29" s="81" t="s">
        <v>56</v>
      </c>
      <c r="Z29" s="82">
        <f>ROUND(IF(AQ29="5",BJ29,0),2)</f>
        <v>0</v>
      </c>
      <c r="AB29" s="82">
        <f>ROUND(IF(AQ29="1",BH29,0),2)</f>
        <v>0</v>
      </c>
      <c r="AC29" s="82">
        <f>ROUND(IF(AQ29="1",BI29,0),2)</f>
        <v>0</v>
      </c>
      <c r="AD29" s="82">
        <f>ROUND(IF(AQ29="7",BH29,0),2)</f>
        <v>0</v>
      </c>
      <c r="AE29" s="82">
        <f>ROUND(IF(AQ29="7",BI29,0),2)</f>
        <v>0</v>
      </c>
      <c r="AF29" s="82">
        <f>ROUND(IF(AQ29="2",BH29,0),2)</f>
        <v>0</v>
      </c>
      <c r="AG29" s="82">
        <f>ROUND(IF(AQ29="2",BI29,0),2)</f>
        <v>0</v>
      </c>
      <c r="AH29" s="82">
        <f>ROUND(IF(AQ29="0",BJ29,0),2)</f>
        <v>0</v>
      </c>
      <c r="AI29" s="59" t="s">
        <v>48</v>
      </c>
      <c r="AJ29" s="82">
        <f>IF(AN29=0,L29,0)</f>
        <v>0</v>
      </c>
      <c r="AK29" s="82">
        <f>IF(AN29=12,L29,0)</f>
        <v>0</v>
      </c>
      <c r="AL29" s="82">
        <f>IF(AN29=21,L29,0)</f>
        <v>0</v>
      </c>
      <c r="AN29" s="82">
        <v>21</v>
      </c>
      <c r="AO29" s="82">
        <f>H29*0.049775205</f>
        <v>0</v>
      </c>
      <c r="AP29" s="82">
        <f>H29*(1-0.049775205)</f>
        <v>0</v>
      </c>
      <c r="AQ29" s="83" t="s">
        <v>78</v>
      </c>
      <c r="AV29" s="82">
        <f>ROUND(AW29+AX29,2)</f>
        <v>0</v>
      </c>
      <c r="AW29" s="82">
        <f>ROUND(G29*AO29,2)</f>
        <v>0</v>
      </c>
      <c r="AX29" s="82">
        <f>ROUND(G29*AP29,2)</f>
        <v>0</v>
      </c>
      <c r="AY29" s="83" t="s">
        <v>99</v>
      </c>
      <c r="AZ29" s="83" t="s">
        <v>100</v>
      </c>
      <c r="BA29" s="59" t="s">
        <v>59</v>
      </c>
      <c r="BC29" s="82">
        <f>AW29+AX29</f>
        <v>0</v>
      </c>
      <c r="BD29" s="82">
        <f>H29/(100-BE29)*100</f>
        <v>0</v>
      </c>
      <c r="BE29" s="82">
        <v>0</v>
      </c>
      <c r="BF29" s="82">
        <f>O29</f>
        <v>4.3860000000000004E-4</v>
      </c>
      <c r="BH29" s="82">
        <f>G29*AO29</f>
        <v>0</v>
      </c>
      <c r="BI29" s="82">
        <f>G29*AP29</f>
        <v>0</v>
      </c>
      <c r="BJ29" s="82">
        <f>G29*H29</f>
        <v>0</v>
      </c>
      <c r="BK29" s="83" t="s">
        <v>60</v>
      </c>
      <c r="BL29" s="82">
        <v>783</v>
      </c>
      <c r="BW29" s="82">
        <f>I29</f>
        <v>21</v>
      </c>
      <c r="BX29" s="2" t="s">
        <v>97</v>
      </c>
    </row>
    <row r="30" spans="1:76" s="58" customFormat="1" ht="14.4" x14ac:dyDescent="0.3">
      <c r="A30" s="84"/>
      <c r="B30" s="84"/>
      <c r="C30" s="84"/>
      <c r="D30" s="40" t="s">
        <v>48</v>
      </c>
      <c r="E30" s="40" t="s">
        <v>101</v>
      </c>
      <c r="F30" s="84"/>
      <c r="G30" s="85">
        <v>0</v>
      </c>
      <c r="H30" s="84"/>
      <c r="I30" s="84"/>
      <c r="J30" s="84"/>
      <c r="K30" s="84"/>
      <c r="L30" s="84"/>
      <c r="M30" s="84"/>
      <c r="N30" s="84"/>
      <c r="O30" s="84"/>
      <c r="P30" s="84"/>
    </row>
    <row r="31" spans="1:76" s="58" customFormat="1" ht="14.4" x14ac:dyDescent="0.3">
      <c r="A31" s="84"/>
      <c r="B31" s="84"/>
      <c r="C31" s="84"/>
      <c r="D31" s="40" t="s">
        <v>102</v>
      </c>
      <c r="E31" s="40" t="s">
        <v>48</v>
      </c>
      <c r="F31" s="84"/>
      <c r="G31" s="85">
        <v>43.86</v>
      </c>
      <c r="H31" s="84"/>
      <c r="I31" s="84"/>
      <c r="J31" s="84"/>
      <c r="K31" s="84"/>
      <c r="L31" s="84"/>
      <c r="M31" s="84"/>
      <c r="N31" s="84"/>
      <c r="O31" s="84"/>
      <c r="P31" s="84"/>
    </row>
    <row r="32" spans="1:76" s="58" customFormat="1" ht="14.4" x14ac:dyDescent="0.3">
      <c r="A32" s="38" t="s">
        <v>103</v>
      </c>
      <c r="B32" s="38" t="s">
        <v>48</v>
      </c>
      <c r="C32" s="38" t="s">
        <v>104</v>
      </c>
      <c r="D32" s="172" t="s">
        <v>105</v>
      </c>
      <c r="E32" s="172"/>
      <c r="F32" s="38" t="s">
        <v>98</v>
      </c>
      <c r="G32" s="79">
        <v>43.86</v>
      </c>
      <c r="H32" s="79"/>
      <c r="I32" s="80">
        <v>21</v>
      </c>
      <c r="J32" s="79">
        <f>ROUND(G32*AO32,2)</f>
        <v>0</v>
      </c>
      <c r="K32" s="79">
        <f>ROUND(G32*AP32,2)</f>
        <v>0</v>
      </c>
      <c r="L32" s="79">
        <f>ROUND(G32*H32,2)</f>
        <v>0</v>
      </c>
      <c r="M32" s="79">
        <f>L32*(1+BW32/100)</f>
        <v>0</v>
      </c>
      <c r="N32" s="79">
        <v>8.0000000000000007E-5</v>
      </c>
      <c r="O32" s="79">
        <f>G32*N32</f>
        <v>3.5088000000000003E-3</v>
      </c>
      <c r="P32" s="81" t="s">
        <v>56</v>
      </c>
      <c r="Z32" s="82">
        <f>ROUND(IF(AQ32="5",BJ32,0),2)</f>
        <v>0</v>
      </c>
      <c r="AB32" s="82">
        <f>ROUND(IF(AQ32="1",BH32,0),2)</f>
        <v>0</v>
      </c>
      <c r="AC32" s="82">
        <f>ROUND(IF(AQ32="1",BI32,0),2)</f>
        <v>0</v>
      </c>
      <c r="AD32" s="82">
        <f>ROUND(IF(AQ32="7",BH32,0),2)</f>
        <v>0</v>
      </c>
      <c r="AE32" s="82">
        <f>ROUND(IF(AQ32="7",BI32,0),2)</f>
        <v>0</v>
      </c>
      <c r="AF32" s="82">
        <f>ROUND(IF(AQ32="2",BH32,0),2)</f>
        <v>0</v>
      </c>
      <c r="AG32" s="82">
        <f>ROUND(IF(AQ32="2",BI32,0),2)</f>
        <v>0</v>
      </c>
      <c r="AH32" s="82">
        <f>ROUND(IF(AQ32="0",BJ32,0),2)</f>
        <v>0</v>
      </c>
      <c r="AI32" s="59" t="s">
        <v>48</v>
      </c>
      <c r="AJ32" s="82">
        <f>IF(AN32=0,L32,0)</f>
        <v>0</v>
      </c>
      <c r="AK32" s="82">
        <f>IF(AN32=12,L32,0)</f>
        <v>0</v>
      </c>
      <c r="AL32" s="82">
        <f>IF(AN32=21,L32,0)</f>
        <v>0</v>
      </c>
      <c r="AN32" s="82">
        <v>21</v>
      </c>
      <c r="AO32" s="82">
        <f>H32*0.125113953</f>
        <v>0</v>
      </c>
      <c r="AP32" s="82">
        <f>H32*(1-0.125113953)</f>
        <v>0</v>
      </c>
      <c r="AQ32" s="83" t="s">
        <v>78</v>
      </c>
      <c r="AV32" s="82">
        <f>ROUND(AW32+AX32,2)</f>
        <v>0</v>
      </c>
      <c r="AW32" s="82">
        <f>ROUND(G32*AO32,2)</f>
        <v>0</v>
      </c>
      <c r="AX32" s="82">
        <f>ROUND(G32*AP32,2)</f>
        <v>0</v>
      </c>
      <c r="AY32" s="83" t="s">
        <v>99</v>
      </c>
      <c r="AZ32" s="83" t="s">
        <v>100</v>
      </c>
      <c r="BA32" s="59" t="s">
        <v>59</v>
      </c>
      <c r="BC32" s="82">
        <f>AW32+AX32</f>
        <v>0</v>
      </c>
      <c r="BD32" s="82">
        <f>H32/(100-BE32)*100</f>
        <v>0</v>
      </c>
      <c r="BE32" s="82">
        <v>0</v>
      </c>
      <c r="BF32" s="82">
        <f>O32</f>
        <v>3.5088000000000003E-3</v>
      </c>
      <c r="BH32" s="82">
        <f>G32*AO32</f>
        <v>0</v>
      </c>
      <c r="BI32" s="82">
        <f>G32*AP32</f>
        <v>0</v>
      </c>
      <c r="BJ32" s="82">
        <f>G32*H32</f>
        <v>0</v>
      </c>
      <c r="BK32" s="83" t="s">
        <v>60</v>
      </c>
      <c r="BL32" s="82">
        <v>783</v>
      </c>
      <c r="BW32" s="82">
        <f>I32</f>
        <v>21</v>
      </c>
      <c r="BX32" s="2" t="s">
        <v>105</v>
      </c>
    </row>
    <row r="33" spans="1:76" s="58" customFormat="1" ht="14.4" x14ac:dyDescent="0.3">
      <c r="A33" s="84"/>
      <c r="B33" s="84"/>
      <c r="C33" s="84"/>
      <c r="D33" s="40" t="s">
        <v>48</v>
      </c>
      <c r="E33" s="40" t="s">
        <v>101</v>
      </c>
      <c r="F33" s="84"/>
      <c r="G33" s="85">
        <v>0</v>
      </c>
      <c r="H33" s="84"/>
      <c r="I33" s="84"/>
      <c r="J33" s="84"/>
      <c r="K33" s="84"/>
      <c r="L33" s="84"/>
      <c r="M33" s="84"/>
      <c r="N33" s="84"/>
      <c r="O33" s="84"/>
      <c r="P33" s="84"/>
    </row>
    <row r="34" spans="1:76" s="58" customFormat="1" ht="14.4" x14ac:dyDescent="0.3">
      <c r="A34" s="84"/>
      <c r="B34" s="84"/>
      <c r="C34" s="84"/>
      <c r="D34" s="40" t="s">
        <v>102</v>
      </c>
      <c r="E34" s="40" t="s">
        <v>48</v>
      </c>
      <c r="F34" s="84"/>
      <c r="G34" s="85">
        <v>43.86</v>
      </c>
      <c r="H34" s="84"/>
      <c r="I34" s="84"/>
      <c r="J34" s="84"/>
      <c r="K34" s="84"/>
      <c r="L34" s="84"/>
      <c r="M34" s="84"/>
      <c r="N34" s="84"/>
      <c r="O34" s="84"/>
      <c r="P34" s="84"/>
    </row>
    <row r="35" spans="1:76" s="58" customFormat="1" ht="14.4" x14ac:dyDescent="0.3">
      <c r="A35" s="38" t="s">
        <v>106</v>
      </c>
      <c r="B35" s="38" t="s">
        <v>48</v>
      </c>
      <c r="C35" s="38" t="s">
        <v>107</v>
      </c>
      <c r="D35" s="172" t="s">
        <v>108</v>
      </c>
      <c r="E35" s="172"/>
      <c r="F35" s="38" t="s">
        <v>98</v>
      </c>
      <c r="G35" s="79">
        <v>43.86</v>
      </c>
      <c r="H35" s="79"/>
      <c r="I35" s="80">
        <v>21</v>
      </c>
      <c r="J35" s="79">
        <f>ROUND(G35*AO35,2)</f>
        <v>0</v>
      </c>
      <c r="K35" s="79">
        <f>ROUND(G35*AP35,2)</f>
        <v>0</v>
      </c>
      <c r="L35" s="79">
        <f>ROUND(G35*H35,2)</f>
        <v>0</v>
      </c>
      <c r="M35" s="79">
        <f>L35*(1+BW35/100)</f>
        <v>0</v>
      </c>
      <c r="N35" s="79">
        <v>2.7999999999999998E-4</v>
      </c>
      <c r="O35" s="79">
        <f>G35*N35</f>
        <v>1.2280799999999998E-2</v>
      </c>
      <c r="P35" s="81" t="s">
        <v>56</v>
      </c>
      <c r="Z35" s="82">
        <f>ROUND(IF(AQ35="5",BJ35,0),2)</f>
        <v>0</v>
      </c>
      <c r="AB35" s="82">
        <f>ROUND(IF(AQ35="1",BH35,0),2)</f>
        <v>0</v>
      </c>
      <c r="AC35" s="82">
        <f>ROUND(IF(AQ35="1",BI35,0),2)</f>
        <v>0</v>
      </c>
      <c r="AD35" s="82">
        <f>ROUND(IF(AQ35="7",BH35,0),2)</f>
        <v>0</v>
      </c>
      <c r="AE35" s="82">
        <f>ROUND(IF(AQ35="7",BI35,0),2)</f>
        <v>0</v>
      </c>
      <c r="AF35" s="82">
        <f>ROUND(IF(AQ35="2",BH35,0),2)</f>
        <v>0</v>
      </c>
      <c r="AG35" s="82">
        <f>ROUND(IF(AQ35="2",BI35,0),2)</f>
        <v>0</v>
      </c>
      <c r="AH35" s="82">
        <f>ROUND(IF(AQ35="0",BJ35,0),2)</f>
        <v>0</v>
      </c>
      <c r="AI35" s="59" t="s">
        <v>48</v>
      </c>
      <c r="AJ35" s="82">
        <f>IF(AN35=0,L35,0)</f>
        <v>0</v>
      </c>
      <c r="AK35" s="82">
        <f>IF(AN35=12,L35,0)</f>
        <v>0</v>
      </c>
      <c r="AL35" s="82">
        <f>IF(AN35=21,L35,0)</f>
        <v>0</v>
      </c>
      <c r="AN35" s="82">
        <v>21</v>
      </c>
      <c r="AO35" s="82">
        <f>H35*0.183639763</f>
        <v>0</v>
      </c>
      <c r="AP35" s="82">
        <f>H35*(1-0.183639763)</f>
        <v>0</v>
      </c>
      <c r="AQ35" s="83" t="s">
        <v>78</v>
      </c>
      <c r="AV35" s="82">
        <f>ROUND(AW35+AX35,2)</f>
        <v>0</v>
      </c>
      <c r="AW35" s="82">
        <f>ROUND(G35*AO35,2)</f>
        <v>0</v>
      </c>
      <c r="AX35" s="82">
        <f>ROUND(G35*AP35,2)</f>
        <v>0</v>
      </c>
      <c r="AY35" s="83" t="s">
        <v>99</v>
      </c>
      <c r="AZ35" s="83" t="s">
        <v>100</v>
      </c>
      <c r="BA35" s="59" t="s">
        <v>59</v>
      </c>
      <c r="BC35" s="82">
        <f>AW35+AX35</f>
        <v>0</v>
      </c>
      <c r="BD35" s="82">
        <f>H35/(100-BE35)*100</f>
        <v>0</v>
      </c>
      <c r="BE35" s="82">
        <v>0</v>
      </c>
      <c r="BF35" s="82">
        <f>O35</f>
        <v>1.2280799999999998E-2</v>
      </c>
      <c r="BH35" s="82">
        <f>G35*AO35</f>
        <v>0</v>
      </c>
      <c r="BI35" s="82">
        <f>G35*AP35</f>
        <v>0</v>
      </c>
      <c r="BJ35" s="82">
        <f>G35*H35</f>
        <v>0</v>
      </c>
      <c r="BK35" s="83" t="s">
        <v>60</v>
      </c>
      <c r="BL35" s="82">
        <v>783</v>
      </c>
      <c r="BW35" s="82">
        <f>I35</f>
        <v>21</v>
      </c>
      <c r="BX35" s="2" t="s">
        <v>108</v>
      </c>
    </row>
    <row r="36" spans="1:76" s="58" customFormat="1" ht="14.4" x14ac:dyDescent="0.3">
      <c r="A36" s="38" t="s">
        <v>109</v>
      </c>
      <c r="B36" s="38" t="s">
        <v>48</v>
      </c>
      <c r="C36" s="38" t="s">
        <v>110</v>
      </c>
      <c r="D36" s="172" t="s">
        <v>111</v>
      </c>
      <c r="E36" s="172"/>
      <c r="F36" s="38" t="s">
        <v>98</v>
      </c>
      <c r="G36" s="79">
        <v>79.362499999999997</v>
      </c>
      <c r="H36" s="79"/>
      <c r="I36" s="80">
        <v>21</v>
      </c>
      <c r="J36" s="79">
        <f>ROUND(G36*AO36,2)</f>
        <v>0</v>
      </c>
      <c r="K36" s="79">
        <f>ROUND(G36*AP36,2)</f>
        <v>0</v>
      </c>
      <c r="L36" s="79">
        <f>ROUND(G36*H36,2)</f>
        <v>0</v>
      </c>
      <c r="M36" s="79">
        <f>L36*(1+BW36/100)</f>
        <v>0</v>
      </c>
      <c r="N36" s="79">
        <v>3.1E-4</v>
      </c>
      <c r="O36" s="79">
        <f>G36*N36</f>
        <v>2.4602374999999999E-2</v>
      </c>
      <c r="P36" s="81" t="s">
        <v>56</v>
      </c>
      <c r="Z36" s="82">
        <f>ROUND(IF(AQ36="5",BJ36,0),2)</f>
        <v>0</v>
      </c>
      <c r="AB36" s="82">
        <f>ROUND(IF(AQ36="1",BH36,0),2)</f>
        <v>0</v>
      </c>
      <c r="AC36" s="82">
        <f>ROUND(IF(AQ36="1",BI36,0),2)</f>
        <v>0</v>
      </c>
      <c r="AD36" s="82">
        <f>ROUND(IF(AQ36="7",BH36,0),2)</f>
        <v>0</v>
      </c>
      <c r="AE36" s="82">
        <f>ROUND(IF(AQ36="7",BI36,0),2)</f>
        <v>0</v>
      </c>
      <c r="AF36" s="82">
        <f>ROUND(IF(AQ36="2",BH36,0),2)</f>
        <v>0</v>
      </c>
      <c r="AG36" s="82">
        <f>ROUND(IF(AQ36="2",BI36,0),2)</f>
        <v>0</v>
      </c>
      <c r="AH36" s="82">
        <f>ROUND(IF(AQ36="0",BJ36,0),2)</f>
        <v>0</v>
      </c>
      <c r="AI36" s="59" t="s">
        <v>48</v>
      </c>
      <c r="AJ36" s="82">
        <f>IF(AN36=0,L36,0)</f>
        <v>0</v>
      </c>
      <c r="AK36" s="82">
        <f>IF(AN36=12,L36,0)</f>
        <v>0</v>
      </c>
      <c r="AL36" s="82">
        <f>IF(AN36=21,L36,0)</f>
        <v>0</v>
      </c>
      <c r="AN36" s="82">
        <v>21</v>
      </c>
      <c r="AO36" s="82">
        <f>H36*0.096356007</f>
        <v>0</v>
      </c>
      <c r="AP36" s="82">
        <f>H36*(1-0.096356007)</f>
        <v>0</v>
      </c>
      <c r="AQ36" s="83" t="s">
        <v>78</v>
      </c>
      <c r="AV36" s="82">
        <f>ROUND(AW36+AX36,2)</f>
        <v>0</v>
      </c>
      <c r="AW36" s="82">
        <f>ROUND(G36*AO36,2)</f>
        <v>0</v>
      </c>
      <c r="AX36" s="82">
        <f>ROUND(G36*AP36,2)</f>
        <v>0</v>
      </c>
      <c r="AY36" s="83" t="s">
        <v>99</v>
      </c>
      <c r="AZ36" s="83" t="s">
        <v>100</v>
      </c>
      <c r="BA36" s="59" t="s">
        <v>59</v>
      </c>
      <c r="BC36" s="82">
        <f>AW36+AX36</f>
        <v>0</v>
      </c>
      <c r="BD36" s="82">
        <f>H36/(100-BE36)*100</f>
        <v>0</v>
      </c>
      <c r="BE36" s="82">
        <v>0</v>
      </c>
      <c r="BF36" s="82">
        <f>O36</f>
        <v>2.4602374999999999E-2</v>
      </c>
      <c r="BH36" s="82">
        <f>G36*AO36</f>
        <v>0</v>
      </c>
      <c r="BI36" s="82">
        <f>G36*AP36</f>
        <v>0</v>
      </c>
      <c r="BJ36" s="82">
        <f>G36*H36</f>
        <v>0</v>
      </c>
      <c r="BK36" s="83" t="s">
        <v>60</v>
      </c>
      <c r="BL36" s="82">
        <v>783</v>
      </c>
      <c r="BW36" s="82">
        <f>I36</f>
        <v>21</v>
      </c>
      <c r="BX36" s="2" t="s">
        <v>111</v>
      </c>
    </row>
    <row r="37" spans="1:76" s="58" customFormat="1" ht="13.5" customHeight="1" x14ac:dyDescent="0.3">
      <c r="A37" s="84"/>
      <c r="B37" s="84"/>
      <c r="C37" s="84"/>
      <c r="D37" s="173" t="s">
        <v>112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</row>
    <row r="38" spans="1:76" s="58" customFormat="1" ht="14.4" x14ac:dyDescent="0.3">
      <c r="A38" s="84"/>
      <c r="B38" s="84"/>
      <c r="C38" s="84"/>
      <c r="D38" s="40" t="s">
        <v>48</v>
      </c>
      <c r="E38" s="40" t="s">
        <v>113</v>
      </c>
      <c r="F38" s="84"/>
      <c r="G38" s="85">
        <v>0</v>
      </c>
      <c r="H38" s="84"/>
      <c r="I38" s="84"/>
      <c r="J38" s="84"/>
      <c r="K38" s="84"/>
      <c r="L38" s="84"/>
      <c r="M38" s="84"/>
      <c r="N38" s="84"/>
      <c r="O38" s="84"/>
      <c r="P38" s="84"/>
    </row>
    <row r="39" spans="1:76" s="58" customFormat="1" ht="26.4" x14ac:dyDescent="0.3">
      <c r="A39" s="84"/>
      <c r="B39" s="84"/>
      <c r="C39" s="84"/>
      <c r="D39" s="40" t="s">
        <v>114</v>
      </c>
      <c r="E39" s="40" t="s">
        <v>48</v>
      </c>
      <c r="F39" s="84"/>
      <c r="G39" s="85">
        <v>79.362499999999997</v>
      </c>
      <c r="H39" s="84"/>
      <c r="I39" s="84"/>
      <c r="J39" s="84"/>
      <c r="K39" s="84"/>
      <c r="L39" s="84"/>
      <c r="M39" s="84"/>
      <c r="N39" s="84"/>
      <c r="O39" s="84"/>
      <c r="P39" s="84"/>
    </row>
    <row r="40" spans="1:76" s="58" customFormat="1" ht="14.4" x14ac:dyDescent="0.3">
      <c r="A40" s="38" t="s">
        <v>115</v>
      </c>
      <c r="B40" s="38" t="s">
        <v>48</v>
      </c>
      <c r="C40" s="38" t="s">
        <v>116</v>
      </c>
      <c r="D40" s="172" t="s">
        <v>117</v>
      </c>
      <c r="E40" s="172"/>
      <c r="F40" s="38" t="s">
        <v>98</v>
      </c>
      <c r="G40" s="79">
        <v>198.57599999999999</v>
      </c>
      <c r="H40" s="79"/>
      <c r="I40" s="80">
        <v>21</v>
      </c>
      <c r="J40" s="79">
        <f>ROUND(G40*AO40,2)</f>
        <v>0</v>
      </c>
      <c r="K40" s="79">
        <f>ROUND(G40*AP40,2)</f>
        <v>0</v>
      </c>
      <c r="L40" s="79">
        <f>ROUND(G40*H40,2)</f>
        <v>0</v>
      </c>
      <c r="M40" s="79">
        <f>L40*(1+BW40/100)</f>
        <v>0</v>
      </c>
      <c r="N40" s="79">
        <v>3.1E-4</v>
      </c>
      <c r="O40" s="79">
        <f>G40*N40</f>
        <v>6.1558559999999998E-2</v>
      </c>
      <c r="P40" s="81" t="s">
        <v>56</v>
      </c>
      <c r="Z40" s="82">
        <f>ROUND(IF(AQ40="5",BJ40,0),2)</f>
        <v>0</v>
      </c>
      <c r="AB40" s="82">
        <f>ROUND(IF(AQ40="1",BH40,0),2)</f>
        <v>0</v>
      </c>
      <c r="AC40" s="82">
        <f>ROUND(IF(AQ40="1",BI40,0),2)</f>
        <v>0</v>
      </c>
      <c r="AD40" s="82">
        <f>ROUND(IF(AQ40="7",BH40,0),2)</f>
        <v>0</v>
      </c>
      <c r="AE40" s="82">
        <f>ROUND(IF(AQ40="7",BI40,0),2)</f>
        <v>0</v>
      </c>
      <c r="AF40" s="82">
        <f>ROUND(IF(AQ40="2",BH40,0),2)</f>
        <v>0</v>
      </c>
      <c r="AG40" s="82">
        <f>ROUND(IF(AQ40="2",BI40,0),2)</f>
        <v>0</v>
      </c>
      <c r="AH40" s="82">
        <f>ROUND(IF(AQ40="0",BJ40,0),2)</f>
        <v>0</v>
      </c>
      <c r="AI40" s="59" t="s">
        <v>48</v>
      </c>
      <c r="AJ40" s="82">
        <f>IF(AN40=0,L40,0)</f>
        <v>0</v>
      </c>
      <c r="AK40" s="82">
        <f>IF(AN40=12,L40,0)</f>
        <v>0</v>
      </c>
      <c r="AL40" s="82">
        <f>IF(AN40=21,L40,0)</f>
        <v>0</v>
      </c>
      <c r="AN40" s="82">
        <v>21</v>
      </c>
      <c r="AO40" s="82">
        <f>H40*0.081522911</f>
        <v>0</v>
      </c>
      <c r="AP40" s="82">
        <f>H40*(1-0.081522911)</f>
        <v>0</v>
      </c>
      <c r="AQ40" s="83" t="s">
        <v>78</v>
      </c>
      <c r="AV40" s="82">
        <f>ROUND(AW40+AX40,2)</f>
        <v>0</v>
      </c>
      <c r="AW40" s="82">
        <f>ROUND(G40*AO40,2)</f>
        <v>0</v>
      </c>
      <c r="AX40" s="82">
        <f>ROUND(G40*AP40,2)</f>
        <v>0</v>
      </c>
      <c r="AY40" s="83" t="s">
        <v>99</v>
      </c>
      <c r="AZ40" s="83" t="s">
        <v>100</v>
      </c>
      <c r="BA40" s="59" t="s">
        <v>59</v>
      </c>
      <c r="BC40" s="82">
        <f>AW40+AX40</f>
        <v>0</v>
      </c>
      <c r="BD40" s="82">
        <f>H40/(100-BE40)*100</f>
        <v>0</v>
      </c>
      <c r="BE40" s="82">
        <v>0</v>
      </c>
      <c r="BF40" s="82">
        <f>O40</f>
        <v>6.1558559999999998E-2</v>
      </c>
      <c r="BH40" s="82">
        <f>G40*AO40</f>
        <v>0</v>
      </c>
      <c r="BI40" s="82">
        <f>G40*AP40</f>
        <v>0</v>
      </c>
      <c r="BJ40" s="82">
        <f>G40*H40</f>
        <v>0</v>
      </c>
      <c r="BK40" s="83" t="s">
        <v>60</v>
      </c>
      <c r="BL40" s="82">
        <v>783</v>
      </c>
      <c r="BW40" s="82">
        <f>I40</f>
        <v>21</v>
      </c>
      <c r="BX40" s="2" t="s">
        <v>117</v>
      </c>
    </row>
    <row r="41" spans="1:76" s="58" customFormat="1" ht="13.5" customHeight="1" x14ac:dyDescent="0.3">
      <c r="A41" s="84"/>
      <c r="B41" s="84"/>
      <c r="C41" s="84"/>
      <c r="D41" s="173" t="s">
        <v>118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1:76" s="58" customFormat="1" ht="14.4" x14ac:dyDescent="0.3">
      <c r="A42" s="84"/>
      <c r="B42" s="84"/>
      <c r="C42" s="84"/>
      <c r="D42" s="40" t="s">
        <v>48</v>
      </c>
      <c r="E42" s="40" t="s">
        <v>119</v>
      </c>
      <c r="F42" s="84"/>
      <c r="G42" s="85">
        <v>0</v>
      </c>
      <c r="H42" s="84"/>
      <c r="I42" s="84"/>
      <c r="J42" s="84"/>
      <c r="K42" s="84"/>
      <c r="L42" s="84"/>
      <c r="M42" s="84"/>
      <c r="N42" s="84"/>
      <c r="O42" s="84"/>
      <c r="P42" s="84"/>
    </row>
    <row r="43" spans="1:76" s="58" customFormat="1" ht="14.4" x14ac:dyDescent="0.3">
      <c r="A43" s="84"/>
      <c r="B43" s="84"/>
      <c r="C43" s="84"/>
      <c r="D43" s="40" t="s">
        <v>120</v>
      </c>
      <c r="E43" s="40" t="s">
        <v>48</v>
      </c>
      <c r="F43" s="84"/>
      <c r="G43" s="85">
        <v>198.57599999999999</v>
      </c>
      <c r="H43" s="84"/>
      <c r="I43" s="84"/>
      <c r="J43" s="84"/>
      <c r="K43" s="84"/>
      <c r="L43" s="84"/>
      <c r="M43" s="84"/>
      <c r="N43" s="84"/>
      <c r="O43" s="84"/>
      <c r="P43" s="84"/>
    </row>
    <row r="44" spans="1:76" s="58" customFormat="1" ht="14.4" x14ac:dyDescent="0.3">
      <c r="A44" s="38" t="s">
        <v>121</v>
      </c>
      <c r="B44" s="38" t="s">
        <v>48</v>
      </c>
      <c r="C44" s="38" t="s">
        <v>122</v>
      </c>
      <c r="D44" s="172" t="s">
        <v>117</v>
      </c>
      <c r="E44" s="172"/>
      <c r="F44" s="38" t="s">
        <v>98</v>
      </c>
      <c r="G44" s="79">
        <v>272.66699999999997</v>
      </c>
      <c r="H44" s="79"/>
      <c r="I44" s="80">
        <v>21</v>
      </c>
      <c r="J44" s="79">
        <f>ROUND(G44*AO44,2)</f>
        <v>0</v>
      </c>
      <c r="K44" s="79">
        <f>ROUND(G44*AP44,2)</f>
        <v>0</v>
      </c>
      <c r="L44" s="79">
        <f>ROUND(G44*H44,2)</f>
        <v>0</v>
      </c>
      <c r="M44" s="79">
        <f>L44*(1+BW44/100)</f>
        <v>0</v>
      </c>
      <c r="N44" s="79">
        <v>3.1E-4</v>
      </c>
      <c r="O44" s="79">
        <f>G44*N44</f>
        <v>8.4526769999999987E-2</v>
      </c>
      <c r="P44" s="81" t="s">
        <v>123</v>
      </c>
      <c r="Z44" s="82">
        <f>ROUND(IF(AQ44="5",BJ44,0),2)</f>
        <v>0</v>
      </c>
      <c r="AB44" s="82">
        <f>ROUND(IF(AQ44="1",BH44,0),2)</f>
        <v>0</v>
      </c>
      <c r="AC44" s="82">
        <f>ROUND(IF(AQ44="1",BI44,0),2)</f>
        <v>0</v>
      </c>
      <c r="AD44" s="82">
        <f>ROUND(IF(AQ44="7",BH44,0),2)</f>
        <v>0</v>
      </c>
      <c r="AE44" s="82">
        <f>ROUND(IF(AQ44="7",BI44,0),2)</f>
        <v>0</v>
      </c>
      <c r="AF44" s="82">
        <f>ROUND(IF(AQ44="2",BH44,0),2)</f>
        <v>0</v>
      </c>
      <c r="AG44" s="82">
        <f>ROUND(IF(AQ44="2",BI44,0),2)</f>
        <v>0</v>
      </c>
      <c r="AH44" s="82">
        <f>ROUND(IF(AQ44="0",BJ44,0),2)</f>
        <v>0</v>
      </c>
      <c r="AI44" s="59" t="s">
        <v>48</v>
      </c>
      <c r="AJ44" s="82">
        <f>IF(AN44=0,L44,0)</f>
        <v>0</v>
      </c>
      <c r="AK44" s="82">
        <f>IF(AN44=12,L44,0)</f>
        <v>0</v>
      </c>
      <c r="AL44" s="82">
        <f>IF(AN44=21,L44,0)</f>
        <v>0</v>
      </c>
      <c r="AN44" s="82">
        <v>21</v>
      </c>
      <c r="AO44" s="82">
        <f>H44*0.081507701</f>
        <v>0</v>
      </c>
      <c r="AP44" s="82">
        <f>H44*(1-0.081507701)</f>
        <v>0</v>
      </c>
      <c r="AQ44" s="83" t="s">
        <v>78</v>
      </c>
      <c r="AV44" s="82">
        <f>ROUND(AW44+AX44,2)</f>
        <v>0</v>
      </c>
      <c r="AW44" s="82">
        <f>ROUND(G44*AO44,2)</f>
        <v>0</v>
      </c>
      <c r="AX44" s="82">
        <f>ROUND(G44*AP44,2)</f>
        <v>0</v>
      </c>
      <c r="AY44" s="83" t="s">
        <v>99</v>
      </c>
      <c r="AZ44" s="83" t="s">
        <v>100</v>
      </c>
      <c r="BA44" s="59" t="s">
        <v>59</v>
      </c>
      <c r="BC44" s="82">
        <f>AW44+AX44</f>
        <v>0</v>
      </c>
      <c r="BD44" s="82">
        <f>H44/(100-BE44)*100</f>
        <v>0</v>
      </c>
      <c r="BE44" s="82">
        <v>0</v>
      </c>
      <c r="BF44" s="82">
        <f>O44</f>
        <v>8.4526769999999987E-2</v>
      </c>
      <c r="BH44" s="82">
        <f>G44*AO44</f>
        <v>0</v>
      </c>
      <c r="BI44" s="82">
        <f>G44*AP44</f>
        <v>0</v>
      </c>
      <c r="BJ44" s="82">
        <f>G44*H44</f>
        <v>0</v>
      </c>
      <c r="BK44" s="83" t="s">
        <v>60</v>
      </c>
      <c r="BL44" s="82">
        <v>783</v>
      </c>
      <c r="BW44" s="82">
        <f>I44</f>
        <v>21</v>
      </c>
      <c r="BX44" s="2" t="s">
        <v>117</v>
      </c>
    </row>
    <row r="45" spans="1:76" s="58" customFormat="1" ht="13.5" customHeight="1" x14ac:dyDescent="0.3">
      <c r="A45" s="84"/>
      <c r="B45" s="84"/>
      <c r="C45" s="84"/>
      <c r="D45" s="173" t="s">
        <v>124</v>
      </c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</row>
    <row r="46" spans="1:76" s="58" customFormat="1" ht="14.4" x14ac:dyDescent="0.3">
      <c r="A46" s="84"/>
      <c r="B46" s="84"/>
      <c r="C46" s="84"/>
      <c r="D46" s="40" t="s">
        <v>48</v>
      </c>
      <c r="E46" s="40" t="s">
        <v>119</v>
      </c>
      <c r="F46" s="84"/>
      <c r="G46" s="85">
        <v>0</v>
      </c>
      <c r="H46" s="84"/>
      <c r="I46" s="84"/>
      <c r="J46" s="84"/>
      <c r="K46" s="84"/>
      <c r="L46" s="84"/>
      <c r="M46" s="84"/>
      <c r="N46" s="84"/>
      <c r="O46" s="84"/>
      <c r="P46" s="84"/>
    </row>
    <row r="47" spans="1:76" s="58" customFormat="1" ht="14.4" x14ac:dyDescent="0.3">
      <c r="A47" s="84"/>
      <c r="B47" s="84"/>
      <c r="C47" s="84"/>
      <c r="D47" s="40" t="s">
        <v>125</v>
      </c>
      <c r="E47" s="40" t="s">
        <v>48</v>
      </c>
      <c r="F47" s="84"/>
      <c r="G47" s="85">
        <v>237.309</v>
      </c>
      <c r="H47" s="84"/>
      <c r="I47" s="84"/>
      <c r="J47" s="84"/>
      <c r="K47" s="84"/>
      <c r="L47" s="84"/>
      <c r="M47" s="84"/>
      <c r="N47" s="84"/>
      <c r="O47" s="84"/>
      <c r="P47" s="84"/>
    </row>
    <row r="48" spans="1:76" s="58" customFormat="1" ht="14.4" x14ac:dyDescent="0.3">
      <c r="A48" s="84"/>
      <c r="B48" s="84"/>
      <c r="C48" s="84"/>
      <c r="D48" s="40" t="s">
        <v>126</v>
      </c>
      <c r="E48" s="40" t="s">
        <v>127</v>
      </c>
      <c r="F48" s="84"/>
      <c r="G48" s="85">
        <v>35.357999999999997</v>
      </c>
      <c r="H48" s="84"/>
      <c r="I48" s="84"/>
      <c r="J48" s="84"/>
      <c r="K48" s="84"/>
      <c r="L48" s="84"/>
      <c r="M48" s="84"/>
      <c r="N48" s="84"/>
      <c r="O48" s="84"/>
      <c r="P48" s="84"/>
    </row>
    <row r="49" spans="1:76" s="58" customFormat="1" ht="14.4" x14ac:dyDescent="0.3">
      <c r="A49" s="38" t="s">
        <v>128</v>
      </c>
      <c r="B49" s="38" t="s">
        <v>48</v>
      </c>
      <c r="C49" s="38" t="s">
        <v>129</v>
      </c>
      <c r="D49" s="172" t="s">
        <v>130</v>
      </c>
      <c r="E49" s="172"/>
      <c r="F49" s="38" t="s">
        <v>98</v>
      </c>
      <c r="G49" s="79">
        <v>601.79706999999996</v>
      </c>
      <c r="H49" s="79"/>
      <c r="I49" s="80">
        <v>21</v>
      </c>
      <c r="J49" s="79">
        <f>ROUND(G49*AO49,2)</f>
        <v>0</v>
      </c>
      <c r="K49" s="79">
        <f>ROUND(G49*AP49,2)</f>
        <v>0</v>
      </c>
      <c r="L49" s="79">
        <f>ROUND(G49*H49,2)</f>
        <v>0</v>
      </c>
      <c r="M49" s="79">
        <f>L49*(1+BW49/100)</f>
        <v>0</v>
      </c>
      <c r="N49" s="79">
        <v>6.0000000000000002E-5</v>
      </c>
      <c r="O49" s="79">
        <f>G49*N49</f>
        <v>3.6107824199999999E-2</v>
      </c>
      <c r="P49" s="81" t="s">
        <v>56</v>
      </c>
      <c r="Z49" s="82">
        <f>ROUND(IF(AQ49="5",BJ49,0),2)</f>
        <v>0</v>
      </c>
      <c r="AB49" s="82">
        <f>ROUND(IF(AQ49="1",BH49,0),2)</f>
        <v>0</v>
      </c>
      <c r="AC49" s="82">
        <f>ROUND(IF(AQ49="1",BI49,0),2)</f>
        <v>0</v>
      </c>
      <c r="AD49" s="82">
        <f>ROUND(IF(AQ49="7",BH49,0),2)</f>
        <v>0</v>
      </c>
      <c r="AE49" s="82">
        <f>ROUND(IF(AQ49="7",BI49,0),2)</f>
        <v>0</v>
      </c>
      <c r="AF49" s="82">
        <f>ROUND(IF(AQ49="2",BH49,0),2)</f>
        <v>0</v>
      </c>
      <c r="AG49" s="82">
        <f>ROUND(IF(AQ49="2",BI49,0),2)</f>
        <v>0</v>
      </c>
      <c r="AH49" s="82">
        <f>ROUND(IF(AQ49="0",BJ49,0),2)</f>
        <v>0</v>
      </c>
      <c r="AI49" s="59" t="s">
        <v>48</v>
      </c>
      <c r="AJ49" s="82">
        <f>IF(AN49=0,L49,0)</f>
        <v>0</v>
      </c>
      <c r="AK49" s="82">
        <f>IF(AN49=12,L49,0)</f>
        <v>0</v>
      </c>
      <c r="AL49" s="82">
        <f>IF(AN49=21,L49,0)</f>
        <v>0</v>
      </c>
      <c r="AN49" s="82">
        <v>21</v>
      </c>
      <c r="AO49" s="82">
        <f>H49*0.045762656</f>
        <v>0</v>
      </c>
      <c r="AP49" s="82">
        <f>H49*(1-0.045762656)</f>
        <v>0</v>
      </c>
      <c r="AQ49" s="83" t="s">
        <v>78</v>
      </c>
      <c r="AV49" s="82">
        <f>ROUND(AW49+AX49,2)</f>
        <v>0</v>
      </c>
      <c r="AW49" s="82">
        <f>ROUND(G49*AO49,2)</f>
        <v>0</v>
      </c>
      <c r="AX49" s="82">
        <f>ROUND(G49*AP49,2)</f>
        <v>0</v>
      </c>
      <c r="AY49" s="83" t="s">
        <v>99</v>
      </c>
      <c r="AZ49" s="83" t="s">
        <v>100</v>
      </c>
      <c r="BA49" s="59" t="s">
        <v>59</v>
      </c>
      <c r="BC49" s="82">
        <f>AW49+AX49</f>
        <v>0</v>
      </c>
      <c r="BD49" s="82">
        <f>H49/(100-BE49)*100</f>
        <v>0</v>
      </c>
      <c r="BE49" s="82">
        <v>0</v>
      </c>
      <c r="BF49" s="82">
        <f>O49</f>
        <v>3.6107824199999999E-2</v>
      </c>
      <c r="BH49" s="82">
        <f>G49*AO49</f>
        <v>0</v>
      </c>
      <c r="BI49" s="82">
        <f>G49*AP49</f>
        <v>0</v>
      </c>
      <c r="BJ49" s="82">
        <f>G49*H49</f>
        <v>0</v>
      </c>
      <c r="BK49" s="83" t="s">
        <v>60</v>
      </c>
      <c r="BL49" s="82">
        <v>783</v>
      </c>
      <c r="BW49" s="82">
        <f>I49</f>
        <v>21</v>
      </c>
      <c r="BX49" s="2" t="s">
        <v>130</v>
      </c>
    </row>
    <row r="50" spans="1:76" s="58" customFormat="1" ht="14.4" x14ac:dyDescent="0.3">
      <c r="A50" s="84"/>
      <c r="B50" s="84"/>
      <c r="C50" s="84"/>
      <c r="D50" s="40" t="s">
        <v>48</v>
      </c>
      <c r="E50" s="40" t="s">
        <v>113</v>
      </c>
      <c r="F50" s="84"/>
      <c r="G50" s="85">
        <v>0</v>
      </c>
      <c r="H50" s="84"/>
      <c r="I50" s="84"/>
      <c r="J50" s="84"/>
      <c r="K50" s="84"/>
      <c r="L50" s="84"/>
      <c r="M50" s="84"/>
      <c r="N50" s="84"/>
      <c r="O50" s="84"/>
      <c r="P50" s="84"/>
    </row>
    <row r="51" spans="1:76" s="58" customFormat="1" ht="14.4" x14ac:dyDescent="0.3">
      <c r="A51" s="84"/>
      <c r="B51" s="84"/>
      <c r="C51" s="84"/>
      <c r="D51" s="40" t="s">
        <v>48</v>
      </c>
      <c r="E51" s="40" t="s">
        <v>131</v>
      </c>
      <c r="F51" s="84"/>
      <c r="G51" s="85">
        <v>0</v>
      </c>
      <c r="H51" s="84"/>
      <c r="I51" s="84"/>
      <c r="J51" s="84"/>
      <c r="K51" s="84"/>
      <c r="L51" s="84"/>
      <c r="M51" s="84"/>
      <c r="N51" s="84"/>
      <c r="O51" s="84"/>
      <c r="P51" s="84"/>
    </row>
    <row r="52" spans="1:76" s="58" customFormat="1" ht="14.4" x14ac:dyDescent="0.3">
      <c r="A52" s="84"/>
      <c r="B52" s="84"/>
      <c r="C52" s="84"/>
      <c r="D52" s="40" t="s">
        <v>48</v>
      </c>
      <c r="E52" s="40" t="s">
        <v>132</v>
      </c>
      <c r="F52" s="84"/>
      <c r="G52" s="85">
        <v>0</v>
      </c>
      <c r="H52" s="84"/>
      <c r="I52" s="84"/>
      <c r="J52" s="84"/>
      <c r="K52" s="84"/>
      <c r="L52" s="84"/>
      <c r="M52" s="84"/>
      <c r="N52" s="84"/>
      <c r="O52" s="84"/>
      <c r="P52" s="84"/>
    </row>
    <row r="53" spans="1:76" s="58" customFormat="1" ht="26.4" x14ac:dyDescent="0.3">
      <c r="A53" s="84"/>
      <c r="B53" s="84"/>
      <c r="C53" s="84"/>
      <c r="D53" s="40" t="s">
        <v>133</v>
      </c>
      <c r="E53" s="40" t="s">
        <v>134</v>
      </c>
      <c r="F53" s="84"/>
      <c r="G53" s="85">
        <v>83.330619999999996</v>
      </c>
      <c r="H53" s="84"/>
      <c r="I53" s="84"/>
      <c r="J53" s="84"/>
      <c r="K53" s="84"/>
      <c r="L53" s="84"/>
      <c r="M53" s="84"/>
      <c r="N53" s="84"/>
      <c r="O53" s="84"/>
      <c r="P53" s="84"/>
    </row>
    <row r="54" spans="1:76" s="58" customFormat="1" ht="14.4" x14ac:dyDescent="0.3">
      <c r="A54" s="84"/>
      <c r="B54" s="84"/>
      <c r="C54" s="84"/>
      <c r="D54" s="40" t="s">
        <v>48</v>
      </c>
      <c r="E54" s="40" t="s">
        <v>119</v>
      </c>
      <c r="F54" s="84"/>
      <c r="G54" s="85">
        <v>0</v>
      </c>
      <c r="H54" s="84"/>
      <c r="I54" s="84"/>
      <c r="J54" s="84"/>
      <c r="K54" s="84"/>
      <c r="L54" s="84"/>
      <c r="M54" s="84"/>
      <c r="N54" s="84"/>
      <c r="O54" s="84"/>
      <c r="P54" s="84"/>
    </row>
    <row r="55" spans="1:76" s="58" customFormat="1" ht="14.4" x14ac:dyDescent="0.3">
      <c r="A55" s="84"/>
      <c r="B55" s="84"/>
      <c r="C55" s="84"/>
      <c r="D55" s="40" t="s">
        <v>120</v>
      </c>
      <c r="E55" s="40" t="s">
        <v>48</v>
      </c>
      <c r="F55" s="84"/>
      <c r="G55" s="85">
        <v>198.57599999999999</v>
      </c>
      <c r="H55" s="84"/>
      <c r="I55" s="84"/>
      <c r="J55" s="84"/>
      <c r="K55" s="84"/>
      <c r="L55" s="84"/>
      <c r="M55" s="84"/>
      <c r="N55" s="84"/>
      <c r="O55" s="84"/>
      <c r="P55" s="84"/>
    </row>
    <row r="56" spans="1:76" s="58" customFormat="1" ht="14.4" x14ac:dyDescent="0.3">
      <c r="A56" s="84"/>
      <c r="B56" s="84"/>
      <c r="C56" s="84"/>
      <c r="D56" s="40" t="s">
        <v>48</v>
      </c>
      <c r="E56" s="40" t="s">
        <v>119</v>
      </c>
      <c r="F56" s="84"/>
      <c r="G56" s="85">
        <v>0</v>
      </c>
      <c r="H56" s="84"/>
      <c r="I56" s="84"/>
      <c r="J56" s="84"/>
      <c r="K56" s="84"/>
      <c r="L56" s="84"/>
      <c r="M56" s="84"/>
      <c r="N56" s="84"/>
      <c r="O56" s="84"/>
      <c r="P56" s="84"/>
    </row>
    <row r="57" spans="1:76" s="58" customFormat="1" ht="14.4" x14ac:dyDescent="0.3">
      <c r="A57" s="84"/>
      <c r="B57" s="84"/>
      <c r="C57" s="84"/>
      <c r="D57" s="40" t="s">
        <v>135</v>
      </c>
      <c r="E57" s="40" t="s">
        <v>134</v>
      </c>
      <c r="F57" s="84"/>
      <c r="G57" s="85">
        <v>249.17445000000001</v>
      </c>
      <c r="H57" s="84"/>
      <c r="I57" s="84"/>
      <c r="J57" s="84"/>
      <c r="K57" s="84"/>
      <c r="L57" s="84"/>
      <c r="M57" s="84"/>
      <c r="N57" s="84"/>
      <c r="O57" s="84"/>
      <c r="P57" s="84"/>
    </row>
    <row r="58" spans="1:76" s="58" customFormat="1" ht="14.4" x14ac:dyDescent="0.3">
      <c r="A58" s="84"/>
      <c r="B58" s="84"/>
      <c r="C58" s="84"/>
      <c r="D58" s="40" t="s">
        <v>136</v>
      </c>
      <c r="E58" s="40" t="s">
        <v>137</v>
      </c>
      <c r="F58" s="84"/>
      <c r="G58" s="85">
        <v>70.715999999999994</v>
      </c>
      <c r="H58" s="84"/>
      <c r="I58" s="84"/>
      <c r="J58" s="84"/>
      <c r="K58" s="84"/>
      <c r="L58" s="84"/>
      <c r="M58" s="84"/>
      <c r="N58" s="84"/>
      <c r="O58" s="84"/>
      <c r="P58" s="84"/>
    </row>
    <row r="59" spans="1:76" s="58" customFormat="1" ht="14.4" x14ac:dyDescent="0.3">
      <c r="A59" s="38" t="s">
        <v>138</v>
      </c>
      <c r="B59" s="38" t="s">
        <v>48</v>
      </c>
      <c r="C59" s="38" t="s">
        <v>139</v>
      </c>
      <c r="D59" s="172" t="s">
        <v>140</v>
      </c>
      <c r="E59" s="172"/>
      <c r="F59" s="38" t="s">
        <v>98</v>
      </c>
      <c r="G59" s="79">
        <v>601.79706999999996</v>
      </c>
      <c r="H59" s="79"/>
      <c r="I59" s="80">
        <v>21</v>
      </c>
      <c r="J59" s="79">
        <f>ROUND(G59*AO59,2)</f>
        <v>0</v>
      </c>
      <c r="K59" s="79">
        <f>ROUND(G59*AP59,2)</f>
        <v>0</v>
      </c>
      <c r="L59" s="79">
        <f>ROUND(G59*H59,2)</f>
        <v>0</v>
      </c>
      <c r="M59" s="79">
        <f>L59*(1+BW59/100)</f>
        <v>0</v>
      </c>
      <c r="N59" s="79">
        <v>1.0000000000000001E-5</v>
      </c>
      <c r="O59" s="79">
        <f>G59*N59</f>
        <v>6.0179706999999999E-3</v>
      </c>
      <c r="P59" s="81" t="s">
        <v>56</v>
      </c>
      <c r="Z59" s="82">
        <f>ROUND(IF(AQ59="5",BJ59,0),2)</f>
        <v>0</v>
      </c>
      <c r="AB59" s="82">
        <f>ROUND(IF(AQ59="1",BH59,0),2)</f>
        <v>0</v>
      </c>
      <c r="AC59" s="82">
        <f>ROUND(IF(AQ59="1",BI59,0),2)</f>
        <v>0</v>
      </c>
      <c r="AD59" s="82">
        <f>ROUND(IF(AQ59="7",BH59,0),2)</f>
        <v>0</v>
      </c>
      <c r="AE59" s="82">
        <f>ROUND(IF(AQ59="7",BI59,0),2)</f>
        <v>0</v>
      </c>
      <c r="AF59" s="82">
        <f>ROUND(IF(AQ59="2",BH59,0),2)</f>
        <v>0</v>
      </c>
      <c r="AG59" s="82">
        <f>ROUND(IF(AQ59="2",BI59,0),2)</f>
        <v>0</v>
      </c>
      <c r="AH59" s="82">
        <f>ROUND(IF(AQ59="0",BJ59,0),2)</f>
        <v>0</v>
      </c>
      <c r="AI59" s="59" t="s">
        <v>48</v>
      </c>
      <c r="AJ59" s="82">
        <f>IF(AN59=0,L59,0)</f>
        <v>0</v>
      </c>
      <c r="AK59" s="82">
        <f>IF(AN59=12,L59,0)</f>
        <v>0</v>
      </c>
      <c r="AL59" s="82">
        <f>IF(AN59=21,L59,0)</f>
        <v>0</v>
      </c>
      <c r="AN59" s="82">
        <v>21</v>
      </c>
      <c r="AO59" s="82">
        <f>H59*0.039394782</f>
        <v>0</v>
      </c>
      <c r="AP59" s="82">
        <f>H59*(1-0.039394782)</f>
        <v>0</v>
      </c>
      <c r="AQ59" s="83" t="s">
        <v>78</v>
      </c>
      <c r="AV59" s="82">
        <f>ROUND(AW59+AX59,2)</f>
        <v>0</v>
      </c>
      <c r="AW59" s="82">
        <f>ROUND(G59*AO59,2)</f>
        <v>0</v>
      </c>
      <c r="AX59" s="82">
        <f>ROUND(G59*AP59,2)</f>
        <v>0</v>
      </c>
      <c r="AY59" s="83" t="s">
        <v>99</v>
      </c>
      <c r="AZ59" s="83" t="s">
        <v>100</v>
      </c>
      <c r="BA59" s="59" t="s">
        <v>59</v>
      </c>
      <c r="BC59" s="82">
        <f>AW59+AX59</f>
        <v>0</v>
      </c>
      <c r="BD59" s="82">
        <f>H59/(100-BE59)*100</f>
        <v>0</v>
      </c>
      <c r="BE59" s="82">
        <v>0</v>
      </c>
      <c r="BF59" s="82">
        <f>O59</f>
        <v>6.0179706999999999E-3</v>
      </c>
      <c r="BH59" s="82">
        <f>G59*AO59</f>
        <v>0</v>
      </c>
      <c r="BI59" s="82">
        <f>G59*AP59</f>
        <v>0</v>
      </c>
      <c r="BJ59" s="82">
        <f>G59*H59</f>
        <v>0</v>
      </c>
      <c r="BK59" s="83" t="s">
        <v>60</v>
      </c>
      <c r="BL59" s="82">
        <v>783</v>
      </c>
      <c r="BW59" s="82">
        <f>I59</f>
        <v>21</v>
      </c>
      <c r="BX59" s="2" t="s">
        <v>140</v>
      </c>
    </row>
    <row r="60" spans="1:76" s="58" customFormat="1" ht="13.5" customHeight="1" x14ac:dyDescent="0.3">
      <c r="A60" s="84"/>
      <c r="B60" s="84"/>
      <c r="C60" s="84"/>
      <c r="D60" s="173" t="s">
        <v>141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</row>
    <row r="61" spans="1:76" s="58" customFormat="1" ht="14.4" x14ac:dyDescent="0.3">
      <c r="A61" s="84"/>
      <c r="B61" s="84"/>
      <c r="C61" s="84"/>
      <c r="D61" s="40" t="s">
        <v>48</v>
      </c>
      <c r="E61" s="40" t="s">
        <v>113</v>
      </c>
      <c r="F61" s="84"/>
      <c r="G61" s="85">
        <v>0</v>
      </c>
      <c r="H61" s="84"/>
      <c r="I61" s="84"/>
      <c r="J61" s="84"/>
      <c r="K61" s="84"/>
      <c r="L61" s="84"/>
      <c r="M61" s="84"/>
      <c r="N61" s="84"/>
      <c r="O61" s="84"/>
      <c r="P61" s="84"/>
    </row>
    <row r="62" spans="1:76" s="58" customFormat="1" ht="14.4" x14ac:dyDescent="0.3">
      <c r="A62" s="84"/>
      <c r="B62" s="84"/>
      <c r="C62" s="84"/>
      <c r="D62" s="40" t="s">
        <v>48</v>
      </c>
      <c r="E62" s="40" t="s">
        <v>131</v>
      </c>
      <c r="F62" s="84"/>
      <c r="G62" s="85">
        <v>0</v>
      </c>
      <c r="H62" s="84"/>
      <c r="I62" s="84"/>
      <c r="J62" s="84"/>
      <c r="K62" s="84"/>
      <c r="L62" s="84"/>
      <c r="M62" s="84"/>
      <c r="N62" s="84"/>
      <c r="O62" s="84"/>
      <c r="P62" s="84"/>
    </row>
    <row r="63" spans="1:76" s="58" customFormat="1" ht="14.4" x14ac:dyDescent="0.3">
      <c r="A63" s="84"/>
      <c r="B63" s="84"/>
      <c r="C63" s="84"/>
      <c r="D63" s="40" t="s">
        <v>48</v>
      </c>
      <c r="E63" s="40" t="s">
        <v>132</v>
      </c>
      <c r="F63" s="84"/>
      <c r="G63" s="85">
        <v>0</v>
      </c>
      <c r="H63" s="84"/>
      <c r="I63" s="84"/>
      <c r="J63" s="84"/>
      <c r="K63" s="84"/>
      <c r="L63" s="84"/>
      <c r="M63" s="84"/>
      <c r="N63" s="84"/>
      <c r="O63" s="84"/>
      <c r="P63" s="84"/>
    </row>
    <row r="64" spans="1:76" s="58" customFormat="1" ht="26.4" x14ac:dyDescent="0.3">
      <c r="A64" s="84"/>
      <c r="B64" s="84"/>
      <c r="C64" s="84"/>
      <c r="D64" s="40" t="s">
        <v>133</v>
      </c>
      <c r="E64" s="40" t="s">
        <v>134</v>
      </c>
      <c r="F64" s="84"/>
      <c r="G64" s="85">
        <v>83.330619999999996</v>
      </c>
      <c r="H64" s="84"/>
      <c r="I64" s="84"/>
      <c r="J64" s="84"/>
      <c r="K64" s="84"/>
      <c r="L64" s="84"/>
      <c r="M64" s="84"/>
      <c r="N64" s="84"/>
      <c r="O64" s="84"/>
      <c r="P64" s="84"/>
    </row>
    <row r="65" spans="1:76" s="58" customFormat="1" ht="14.4" x14ac:dyDescent="0.3">
      <c r="A65" s="84"/>
      <c r="B65" s="84"/>
      <c r="C65" s="84"/>
      <c r="D65" s="40" t="s">
        <v>48</v>
      </c>
      <c r="E65" s="40" t="s">
        <v>119</v>
      </c>
      <c r="F65" s="84"/>
      <c r="G65" s="85">
        <v>0</v>
      </c>
      <c r="H65" s="84"/>
      <c r="I65" s="84"/>
      <c r="J65" s="84"/>
      <c r="K65" s="84"/>
      <c r="L65" s="84"/>
      <c r="M65" s="84"/>
      <c r="N65" s="84"/>
      <c r="O65" s="84"/>
      <c r="P65" s="84"/>
    </row>
    <row r="66" spans="1:76" s="58" customFormat="1" ht="14.4" x14ac:dyDescent="0.3">
      <c r="A66" s="84"/>
      <c r="B66" s="84"/>
      <c r="C66" s="84"/>
      <c r="D66" s="40" t="s">
        <v>120</v>
      </c>
      <c r="E66" s="40" t="s">
        <v>48</v>
      </c>
      <c r="F66" s="84"/>
      <c r="G66" s="85">
        <v>198.57599999999999</v>
      </c>
      <c r="H66" s="84"/>
      <c r="I66" s="84"/>
      <c r="J66" s="84"/>
      <c r="K66" s="84"/>
      <c r="L66" s="84"/>
      <c r="M66" s="84"/>
      <c r="N66" s="84"/>
      <c r="O66" s="84"/>
      <c r="P66" s="84"/>
    </row>
    <row r="67" spans="1:76" s="58" customFormat="1" ht="14.4" x14ac:dyDescent="0.3">
      <c r="A67" s="84"/>
      <c r="B67" s="84"/>
      <c r="C67" s="84"/>
      <c r="D67" s="40" t="s">
        <v>48</v>
      </c>
      <c r="E67" s="40" t="s">
        <v>119</v>
      </c>
      <c r="F67" s="84"/>
      <c r="G67" s="85">
        <v>0</v>
      </c>
      <c r="H67" s="84"/>
      <c r="I67" s="84"/>
      <c r="J67" s="84"/>
      <c r="K67" s="84"/>
      <c r="L67" s="84"/>
      <c r="M67" s="84"/>
      <c r="N67" s="84"/>
      <c r="O67" s="84"/>
      <c r="P67" s="84"/>
    </row>
    <row r="68" spans="1:76" s="58" customFormat="1" ht="14.4" x14ac:dyDescent="0.3">
      <c r="A68" s="84"/>
      <c r="B68" s="84"/>
      <c r="C68" s="84"/>
      <c r="D68" s="40" t="s">
        <v>135</v>
      </c>
      <c r="E68" s="40" t="s">
        <v>134</v>
      </c>
      <c r="F68" s="84"/>
      <c r="G68" s="85">
        <v>249.17445000000001</v>
      </c>
      <c r="H68" s="84"/>
      <c r="I68" s="84"/>
      <c r="J68" s="84"/>
      <c r="K68" s="84"/>
      <c r="L68" s="84"/>
      <c r="M68" s="84"/>
      <c r="N68" s="84"/>
      <c r="O68" s="84"/>
      <c r="P68" s="84"/>
    </row>
    <row r="69" spans="1:76" s="58" customFormat="1" ht="14.4" x14ac:dyDescent="0.3">
      <c r="A69" s="84"/>
      <c r="B69" s="84"/>
      <c r="C69" s="84"/>
      <c r="D69" s="40" t="s">
        <v>136</v>
      </c>
      <c r="E69" s="40" t="s">
        <v>137</v>
      </c>
      <c r="F69" s="84"/>
      <c r="G69" s="85">
        <v>70.715999999999994</v>
      </c>
      <c r="H69" s="84"/>
      <c r="I69" s="84"/>
      <c r="J69" s="84"/>
      <c r="K69" s="84"/>
      <c r="L69" s="84"/>
      <c r="M69" s="84"/>
      <c r="N69" s="84"/>
      <c r="O69" s="84"/>
      <c r="P69" s="84"/>
    </row>
    <row r="70" spans="1:76" s="58" customFormat="1" ht="14.4" x14ac:dyDescent="0.3">
      <c r="A70" s="38" t="s">
        <v>142</v>
      </c>
      <c r="B70" s="38" t="s">
        <v>48</v>
      </c>
      <c r="C70" s="38" t="s">
        <v>143</v>
      </c>
      <c r="D70" s="172" t="s">
        <v>144</v>
      </c>
      <c r="E70" s="172"/>
      <c r="F70" s="38" t="s">
        <v>98</v>
      </c>
      <c r="G70" s="79">
        <v>566.43907000000002</v>
      </c>
      <c r="H70" s="79"/>
      <c r="I70" s="80">
        <v>21</v>
      </c>
      <c r="J70" s="79">
        <f>ROUND(G70*AO70,2)</f>
        <v>0</v>
      </c>
      <c r="K70" s="79">
        <f>ROUND(G70*AP70,2)</f>
        <v>0</v>
      </c>
      <c r="L70" s="79">
        <f>ROUND(G70*H70,2)</f>
        <v>0</v>
      </c>
      <c r="M70" s="79">
        <f>L70*(1+BW70/100)</f>
        <v>0</v>
      </c>
      <c r="N70" s="79">
        <v>2.0000000000000001E-4</v>
      </c>
      <c r="O70" s="79">
        <f>G70*N70</f>
        <v>0.11328781400000001</v>
      </c>
      <c r="P70" s="81" t="s">
        <v>56</v>
      </c>
      <c r="Z70" s="82">
        <f>ROUND(IF(AQ70="5",BJ70,0),2)</f>
        <v>0</v>
      </c>
      <c r="AB70" s="82">
        <f>ROUND(IF(AQ70="1",BH70,0),2)</f>
        <v>0</v>
      </c>
      <c r="AC70" s="82">
        <f>ROUND(IF(AQ70="1",BI70,0),2)</f>
        <v>0</v>
      </c>
      <c r="AD70" s="82">
        <f>ROUND(IF(AQ70="7",BH70,0),2)</f>
        <v>0</v>
      </c>
      <c r="AE70" s="82">
        <f>ROUND(IF(AQ70="7",BI70,0),2)</f>
        <v>0</v>
      </c>
      <c r="AF70" s="82">
        <f>ROUND(IF(AQ70="2",BH70,0),2)</f>
        <v>0</v>
      </c>
      <c r="AG70" s="82">
        <f>ROUND(IF(AQ70="2",BI70,0),2)</f>
        <v>0</v>
      </c>
      <c r="AH70" s="82">
        <f>ROUND(IF(AQ70="0",BJ70,0),2)</f>
        <v>0</v>
      </c>
      <c r="AI70" s="59" t="s">
        <v>48</v>
      </c>
      <c r="AJ70" s="82">
        <f>IF(AN70=0,L70,0)</f>
        <v>0</v>
      </c>
      <c r="AK70" s="82">
        <f>IF(AN70=12,L70,0)</f>
        <v>0</v>
      </c>
      <c r="AL70" s="82">
        <f>IF(AN70=21,L70,0)</f>
        <v>0</v>
      </c>
      <c r="AN70" s="82">
        <v>21</v>
      </c>
      <c r="AO70" s="82">
        <f>H70*0.125391869</f>
        <v>0</v>
      </c>
      <c r="AP70" s="82">
        <f>H70*(1-0.125391869)</f>
        <v>0</v>
      </c>
      <c r="AQ70" s="83" t="s">
        <v>78</v>
      </c>
      <c r="AV70" s="82">
        <f>ROUND(AW70+AX70,2)</f>
        <v>0</v>
      </c>
      <c r="AW70" s="82">
        <f>ROUND(G70*AO70,2)</f>
        <v>0</v>
      </c>
      <c r="AX70" s="82">
        <f>ROUND(G70*AP70,2)</f>
        <v>0</v>
      </c>
      <c r="AY70" s="83" t="s">
        <v>99</v>
      </c>
      <c r="AZ70" s="83" t="s">
        <v>100</v>
      </c>
      <c r="BA70" s="59" t="s">
        <v>59</v>
      </c>
      <c r="BC70" s="82">
        <f>AW70+AX70</f>
        <v>0</v>
      </c>
      <c r="BD70" s="82">
        <f>H70/(100-BE70)*100</f>
        <v>0</v>
      </c>
      <c r="BE70" s="82">
        <v>0</v>
      </c>
      <c r="BF70" s="82">
        <f>O70</f>
        <v>0.11328781400000001</v>
      </c>
      <c r="BH70" s="82">
        <f>G70*AO70</f>
        <v>0</v>
      </c>
      <c r="BI70" s="82">
        <f>G70*AP70</f>
        <v>0</v>
      </c>
      <c r="BJ70" s="82">
        <f>G70*H70</f>
        <v>0</v>
      </c>
      <c r="BK70" s="83" t="s">
        <v>60</v>
      </c>
      <c r="BL70" s="82">
        <v>783</v>
      </c>
      <c r="BW70" s="82">
        <f>I70</f>
        <v>21</v>
      </c>
      <c r="BX70" s="2" t="s">
        <v>144</v>
      </c>
    </row>
    <row r="71" spans="1:76" s="58" customFormat="1" ht="13.5" customHeight="1" x14ac:dyDescent="0.3">
      <c r="A71" s="84"/>
      <c r="B71" s="84"/>
      <c r="C71" s="84"/>
      <c r="D71" s="173" t="s">
        <v>145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</row>
    <row r="72" spans="1:76" s="58" customFormat="1" ht="14.4" x14ac:dyDescent="0.3">
      <c r="A72" s="84"/>
      <c r="B72" s="84"/>
      <c r="C72" s="84"/>
      <c r="D72" s="40" t="s">
        <v>48</v>
      </c>
      <c r="E72" s="40" t="s">
        <v>113</v>
      </c>
      <c r="F72" s="84"/>
      <c r="G72" s="85">
        <v>0</v>
      </c>
      <c r="H72" s="84"/>
      <c r="I72" s="84"/>
      <c r="J72" s="84"/>
      <c r="K72" s="84"/>
      <c r="L72" s="84"/>
      <c r="M72" s="84"/>
      <c r="N72" s="84"/>
      <c r="O72" s="84"/>
      <c r="P72" s="84"/>
    </row>
    <row r="73" spans="1:76" s="58" customFormat="1" ht="14.4" x14ac:dyDescent="0.3">
      <c r="A73" s="84"/>
      <c r="B73" s="84"/>
      <c r="C73" s="84"/>
      <c r="D73" s="40" t="s">
        <v>48</v>
      </c>
      <c r="E73" s="40" t="s">
        <v>131</v>
      </c>
      <c r="F73" s="84"/>
      <c r="G73" s="85">
        <v>0</v>
      </c>
      <c r="H73" s="84"/>
      <c r="I73" s="84"/>
      <c r="J73" s="84"/>
      <c r="K73" s="84"/>
      <c r="L73" s="84"/>
      <c r="M73" s="84"/>
      <c r="N73" s="84"/>
      <c r="O73" s="84"/>
      <c r="P73" s="84"/>
    </row>
    <row r="74" spans="1:76" s="58" customFormat="1" ht="14.4" x14ac:dyDescent="0.3">
      <c r="A74" s="84"/>
      <c r="B74" s="84"/>
      <c r="C74" s="84"/>
      <c r="D74" s="40" t="s">
        <v>48</v>
      </c>
      <c r="E74" s="40" t="s">
        <v>132</v>
      </c>
      <c r="F74" s="84"/>
      <c r="G74" s="85">
        <v>0</v>
      </c>
      <c r="H74" s="84"/>
      <c r="I74" s="84"/>
      <c r="J74" s="84"/>
      <c r="K74" s="84"/>
      <c r="L74" s="84"/>
      <c r="M74" s="84"/>
      <c r="N74" s="84"/>
      <c r="O74" s="84"/>
      <c r="P74" s="84"/>
    </row>
    <row r="75" spans="1:76" s="58" customFormat="1" ht="26.4" x14ac:dyDescent="0.3">
      <c r="A75" s="84"/>
      <c r="B75" s="84"/>
      <c r="C75" s="84"/>
      <c r="D75" s="40" t="s">
        <v>133</v>
      </c>
      <c r="E75" s="40" t="s">
        <v>134</v>
      </c>
      <c r="F75" s="84"/>
      <c r="G75" s="85">
        <v>83.330619999999996</v>
      </c>
      <c r="H75" s="84"/>
      <c r="I75" s="84"/>
      <c r="J75" s="84"/>
      <c r="K75" s="84"/>
      <c r="L75" s="84"/>
      <c r="M75" s="84"/>
      <c r="N75" s="84"/>
      <c r="O75" s="84"/>
      <c r="P75" s="84"/>
    </row>
    <row r="76" spans="1:76" s="58" customFormat="1" ht="14.4" x14ac:dyDescent="0.3">
      <c r="A76" s="84"/>
      <c r="B76" s="84"/>
      <c r="C76" s="84"/>
      <c r="D76" s="40" t="s">
        <v>48</v>
      </c>
      <c r="E76" s="40" t="s">
        <v>119</v>
      </c>
      <c r="F76" s="84"/>
      <c r="G76" s="85">
        <v>0</v>
      </c>
      <c r="H76" s="84"/>
      <c r="I76" s="84"/>
      <c r="J76" s="84"/>
      <c r="K76" s="84"/>
      <c r="L76" s="84"/>
      <c r="M76" s="84"/>
      <c r="N76" s="84"/>
      <c r="O76" s="84"/>
      <c r="P76" s="84"/>
    </row>
    <row r="77" spans="1:76" s="58" customFormat="1" ht="14.4" x14ac:dyDescent="0.3">
      <c r="A77" s="84"/>
      <c r="B77" s="84"/>
      <c r="C77" s="84"/>
      <c r="D77" s="40" t="s">
        <v>120</v>
      </c>
      <c r="E77" s="40" t="s">
        <v>48</v>
      </c>
      <c r="F77" s="84"/>
      <c r="G77" s="85">
        <v>198.57599999999999</v>
      </c>
      <c r="H77" s="84"/>
      <c r="I77" s="84"/>
      <c r="J77" s="84"/>
      <c r="K77" s="84"/>
      <c r="L77" s="84"/>
      <c r="M77" s="84"/>
      <c r="N77" s="84"/>
      <c r="O77" s="84"/>
      <c r="P77" s="84"/>
    </row>
    <row r="78" spans="1:76" s="58" customFormat="1" ht="14.4" x14ac:dyDescent="0.3">
      <c r="A78" s="84"/>
      <c r="B78" s="84"/>
      <c r="C78" s="84"/>
      <c r="D78" s="40" t="s">
        <v>48</v>
      </c>
      <c r="E78" s="40" t="s">
        <v>119</v>
      </c>
      <c r="F78" s="84"/>
      <c r="G78" s="85">
        <v>0</v>
      </c>
      <c r="H78" s="84"/>
      <c r="I78" s="84"/>
      <c r="J78" s="84"/>
      <c r="K78" s="84"/>
      <c r="L78" s="84"/>
      <c r="M78" s="84"/>
      <c r="N78" s="84"/>
      <c r="O78" s="84"/>
      <c r="P78" s="84"/>
    </row>
    <row r="79" spans="1:76" s="58" customFormat="1" ht="14.4" x14ac:dyDescent="0.3">
      <c r="A79" s="84"/>
      <c r="B79" s="84"/>
      <c r="C79" s="84"/>
      <c r="D79" s="40" t="s">
        <v>135</v>
      </c>
      <c r="E79" s="40" t="s">
        <v>134</v>
      </c>
      <c r="F79" s="84"/>
      <c r="G79" s="85">
        <v>249.17445000000001</v>
      </c>
      <c r="H79" s="84"/>
      <c r="I79" s="84"/>
      <c r="J79" s="84"/>
      <c r="K79" s="84"/>
      <c r="L79" s="84"/>
      <c r="M79" s="84"/>
      <c r="N79" s="84"/>
      <c r="O79" s="84"/>
      <c r="P79" s="84"/>
    </row>
    <row r="80" spans="1:76" s="58" customFormat="1" ht="14.4" x14ac:dyDescent="0.3">
      <c r="A80" s="84"/>
      <c r="B80" s="84"/>
      <c r="C80" s="84"/>
      <c r="D80" s="40" t="s">
        <v>126</v>
      </c>
      <c r="E80" s="40" t="s">
        <v>137</v>
      </c>
      <c r="F80" s="84"/>
      <c r="G80" s="85">
        <v>35.357999999999997</v>
      </c>
      <c r="H80" s="84"/>
      <c r="I80" s="84"/>
      <c r="J80" s="84"/>
      <c r="K80" s="84"/>
      <c r="L80" s="84"/>
      <c r="M80" s="84"/>
      <c r="N80" s="84"/>
      <c r="O80" s="84"/>
      <c r="P80" s="84"/>
    </row>
    <row r="81" spans="1:76" s="58" customFormat="1" ht="14.4" x14ac:dyDescent="0.3">
      <c r="A81" s="38" t="s">
        <v>146</v>
      </c>
      <c r="B81" s="38" t="s">
        <v>48</v>
      </c>
      <c r="C81" s="38" t="s">
        <v>147</v>
      </c>
      <c r="D81" s="172" t="s">
        <v>148</v>
      </c>
      <c r="E81" s="172"/>
      <c r="F81" s="38" t="s">
        <v>98</v>
      </c>
      <c r="G81" s="79">
        <v>1097.5201500000001</v>
      </c>
      <c r="H81" s="79"/>
      <c r="I81" s="80">
        <v>21</v>
      </c>
      <c r="J81" s="79">
        <f>ROUND(G81*AO81,2)</f>
        <v>0</v>
      </c>
      <c r="K81" s="79">
        <f>ROUND(G81*AP81,2)</f>
        <v>0</v>
      </c>
      <c r="L81" s="79">
        <f>ROUND(G81*H81,2)</f>
        <v>0</v>
      </c>
      <c r="M81" s="79">
        <f>L81*(1+BW81/100)</f>
        <v>0</v>
      </c>
      <c r="N81" s="79">
        <v>2.0000000000000001E-4</v>
      </c>
      <c r="O81" s="79">
        <f>G81*N81</f>
        <v>0.21950403000000002</v>
      </c>
      <c r="P81" s="81" t="s">
        <v>56</v>
      </c>
      <c r="Z81" s="82">
        <f>ROUND(IF(AQ81="5",BJ81,0),2)</f>
        <v>0</v>
      </c>
      <c r="AB81" s="82">
        <f>ROUND(IF(AQ81="1",BH81,0),2)</f>
        <v>0</v>
      </c>
      <c r="AC81" s="82">
        <f>ROUND(IF(AQ81="1",BI81,0),2)</f>
        <v>0</v>
      </c>
      <c r="AD81" s="82">
        <f>ROUND(IF(AQ81="7",BH81,0),2)</f>
        <v>0</v>
      </c>
      <c r="AE81" s="82">
        <f>ROUND(IF(AQ81="7",BI81,0),2)</f>
        <v>0</v>
      </c>
      <c r="AF81" s="82">
        <f>ROUND(IF(AQ81="2",BH81,0),2)</f>
        <v>0</v>
      </c>
      <c r="AG81" s="82">
        <f>ROUND(IF(AQ81="2",BI81,0),2)</f>
        <v>0</v>
      </c>
      <c r="AH81" s="82">
        <f>ROUND(IF(AQ81="0",BJ81,0),2)</f>
        <v>0</v>
      </c>
      <c r="AI81" s="59" t="s">
        <v>48</v>
      </c>
      <c r="AJ81" s="82">
        <f>IF(AN81=0,L81,0)</f>
        <v>0</v>
      </c>
      <c r="AK81" s="82">
        <f>IF(AN81=12,L81,0)</f>
        <v>0</v>
      </c>
      <c r="AL81" s="82">
        <f>IF(AN81=21,L81,0)</f>
        <v>0</v>
      </c>
      <c r="AN81" s="82">
        <v>21</v>
      </c>
      <c r="AO81" s="82">
        <f>H81*0.143958347</f>
        <v>0</v>
      </c>
      <c r="AP81" s="82">
        <f>H81*(1-0.143958347)</f>
        <v>0</v>
      </c>
      <c r="AQ81" s="83" t="s">
        <v>78</v>
      </c>
      <c r="AV81" s="82">
        <f>ROUND(AW81+AX81,2)</f>
        <v>0</v>
      </c>
      <c r="AW81" s="82">
        <f>ROUND(G81*AO81,2)</f>
        <v>0</v>
      </c>
      <c r="AX81" s="82">
        <f>ROUND(G81*AP81,2)</f>
        <v>0</v>
      </c>
      <c r="AY81" s="83" t="s">
        <v>99</v>
      </c>
      <c r="AZ81" s="83" t="s">
        <v>100</v>
      </c>
      <c r="BA81" s="59" t="s">
        <v>59</v>
      </c>
      <c r="BC81" s="82">
        <f>AW81+AX81</f>
        <v>0</v>
      </c>
      <c r="BD81" s="82">
        <f>H81/(100-BE81)*100</f>
        <v>0</v>
      </c>
      <c r="BE81" s="82">
        <v>0</v>
      </c>
      <c r="BF81" s="82">
        <f>O81</f>
        <v>0.21950403000000002</v>
      </c>
      <c r="BH81" s="82">
        <f>G81*AO81</f>
        <v>0</v>
      </c>
      <c r="BI81" s="82">
        <f>G81*AP81</f>
        <v>0</v>
      </c>
      <c r="BJ81" s="82">
        <f>G81*H81</f>
        <v>0</v>
      </c>
      <c r="BK81" s="83" t="s">
        <v>60</v>
      </c>
      <c r="BL81" s="82">
        <v>783</v>
      </c>
      <c r="BW81" s="82">
        <f>I81</f>
        <v>21</v>
      </c>
      <c r="BX81" s="2" t="s">
        <v>148</v>
      </c>
    </row>
    <row r="82" spans="1:76" s="58" customFormat="1" ht="14.4" x14ac:dyDescent="0.3">
      <c r="A82" s="84"/>
      <c r="B82" s="84"/>
      <c r="C82" s="84"/>
      <c r="D82" s="40" t="s">
        <v>48</v>
      </c>
      <c r="E82" s="40" t="s">
        <v>149</v>
      </c>
      <c r="F82" s="84"/>
      <c r="G82" s="85">
        <v>0</v>
      </c>
      <c r="H82" s="84"/>
      <c r="I82" s="84"/>
      <c r="J82" s="84"/>
      <c r="K82" s="84"/>
      <c r="L82" s="84"/>
      <c r="M82" s="84"/>
      <c r="N82" s="84"/>
      <c r="O82" s="84"/>
      <c r="P82" s="84"/>
    </row>
    <row r="83" spans="1:76" s="58" customFormat="1" ht="14.4" x14ac:dyDescent="0.3">
      <c r="A83" s="84"/>
      <c r="B83" s="84"/>
      <c r="C83" s="84"/>
      <c r="D83" s="40" t="s">
        <v>48</v>
      </c>
      <c r="E83" s="40" t="s">
        <v>113</v>
      </c>
      <c r="F83" s="84"/>
      <c r="G83" s="85">
        <v>0</v>
      </c>
      <c r="H83" s="84"/>
      <c r="I83" s="84"/>
      <c r="J83" s="84"/>
      <c r="K83" s="84"/>
      <c r="L83" s="84"/>
      <c r="M83" s="84"/>
      <c r="N83" s="84"/>
      <c r="O83" s="84"/>
      <c r="P83" s="84"/>
    </row>
    <row r="84" spans="1:76" s="58" customFormat="1" ht="14.4" x14ac:dyDescent="0.3">
      <c r="A84" s="84"/>
      <c r="B84" s="84"/>
      <c r="C84" s="84"/>
      <c r="D84" s="40" t="s">
        <v>48</v>
      </c>
      <c r="E84" s="40" t="s">
        <v>131</v>
      </c>
      <c r="F84" s="84"/>
      <c r="G84" s="85">
        <v>0</v>
      </c>
      <c r="H84" s="84"/>
      <c r="I84" s="84"/>
      <c r="J84" s="84"/>
      <c r="K84" s="84"/>
      <c r="L84" s="84"/>
      <c r="M84" s="84"/>
      <c r="N84" s="84"/>
      <c r="O84" s="84"/>
      <c r="P84" s="84"/>
    </row>
    <row r="85" spans="1:76" s="58" customFormat="1" ht="14.4" x14ac:dyDescent="0.3">
      <c r="A85" s="84"/>
      <c r="B85" s="84"/>
      <c r="C85" s="84"/>
      <c r="D85" s="40" t="s">
        <v>48</v>
      </c>
      <c r="E85" s="40" t="s">
        <v>132</v>
      </c>
      <c r="F85" s="84"/>
      <c r="G85" s="85">
        <v>0</v>
      </c>
      <c r="H85" s="84"/>
      <c r="I85" s="84"/>
      <c r="J85" s="84"/>
      <c r="K85" s="84"/>
      <c r="L85" s="84"/>
      <c r="M85" s="84"/>
      <c r="N85" s="84"/>
      <c r="O85" s="84"/>
      <c r="P85" s="84"/>
    </row>
    <row r="86" spans="1:76" s="58" customFormat="1" ht="26.4" x14ac:dyDescent="0.3">
      <c r="A86" s="84"/>
      <c r="B86" s="84"/>
      <c r="C86" s="84"/>
      <c r="D86" s="40" t="s">
        <v>150</v>
      </c>
      <c r="E86" s="40" t="s">
        <v>134</v>
      </c>
      <c r="F86" s="84"/>
      <c r="G86" s="85">
        <v>166.66125</v>
      </c>
      <c r="H86" s="84"/>
      <c r="I86" s="84"/>
      <c r="J86" s="84"/>
      <c r="K86" s="84"/>
      <c r="L86" s="84"/>
      <c r="M86" s="84"/>
      <c r="N86" s="84"/>
      <c r="O86" s="84"/>
      <c r="P86" s="84"/>
    </row>
    <row r="87" spans="1:76" s="58" customFormat="1" ht="14.4" x14ac:dyDescent="0.3">
      <c r="A87" s="84"/>
      <c r="B87" s="84"/>
      <c r="C87" s="84"/>
      <c r="D87" s="40" t="s">
        <v>48</v>
      </c>
      <c r="E87" s="40" t="s">
        <v>119</v>
      </c>
      <c r="F87" s="84"/>
      <c r="G87" s="85">
        <v>0</v>
      </c>
      <c r="H87" s="84"/>
      <c r="I87" s="84"/>
      <c r="J87" s="84"/>
      <c r="K87" s="84"/>
      <c r="L87" s="84"/>
      <c r="M87" s="84"/>
      <c r="N87" s="84"/>
      <c r="O87" s="84"/>
      <c r="P87" s="84"/>
    </row>
    <row r="88" spans="1:76" s="58" customFormat="1" ht="14.4" x14ac:dyDescent="0.3">
      <c r="A88" s="84"/>
      <c r="B88" s="84"/>
      <c r="C88" s="84"/>
      <c r="D88" s="40" t="s">
        <v>151</v>
      </c>
      <c r="E88" s="40" t="s">
        <v>48</v>
      </c>
      <c r="F88" s="84"/>
      <c r="G88" s="85">
        <v>397.15199999999999</v>
      </c>
      <c r="H88" s="84"/>
      <c r="I88" s="84"/>
      <c r="J88" s="84"/>
      <c r="K88" s="84"/>
      <c r="L88" s="84"/>
      <c r="M88" s="84"/>
      <c r="N88" s="84"/>
      <c r="O88" s="84"/>
      <c r="P88" s="84"/>
    </row>
    <row r="89" spans="1:76" s="58" customFormat="1" ht="14.4" x14ac:dyDescent="0.3">
      <c r="A89" s="84"/>
      <c r="B89" s="84"/>
      <c r="C89" s="84"/>
      <c r="D89" s="40" t="s">
        <v>48</v>
      </c>
      <c r="E89" s="40" t="s">
        <v>119</v>
      </c>
      <c r="F89" s="84"/>
      <c r="G89" s="85">
        <v>0</v>
      </c>
      <c r="H89" s="84"/>
      <c r="I89" s="84"/>
      <c r="J89" s="84"/>
      <c r="K89" s="84"/>
      <c r="L89" s="84"/>
      <c r="M89" s="84"/>
      <c r="N89" s="84"/>
      <c r="O89" s="84"/>
      <c r="P89" s="84"/>
    </row>
    <row r="90" spans="1:76" s="58" customFormat="1" ht="14.4" x14ac:dyDescent="0.3">
      <c r="A90" s="84"/>
      <c r="B90" s="84"/>
      <c r="C90" s="84"/>
      <c r="D90" s="40" t="s">
        <v>152</v>
      </c>
      <c r="E90" s="40" t="s">
        <v>134</v>
      </c>
      <c r="F90" s="84"/>
      <c r="G90" s="85">
        <v>498.34890000000001</v>
      </c>
      <c r="H90" s="84"/>
      <c r="I90" s="84"/>
      <c r="J90" s="84"/>
      <c r="K90" s="84"/>
      <c r="L90" s="84"/>
      <c r="M90" s="84"/>
      <c r="N90" s="84"/>
      <c r="O90" s="84"/>
      <c r="P90" s="84"/>
    </row>
    <row r="91" spans="1:76" s="58" customFormat="1" ht="14.4" x14ac:dyDescent="0.3">
      <c r="A91" s="84"/>
      <c r="B91" s="84"/>
      <c r="C91" s="84"/>
      <c r="D91" s="40" t="s">
        <v>126</v>
      </c>
      <c r="E91" s="40" t="s">
        <v>137</v>
      </c>
      <c r="F91" s="84"/>
      <c r="G91" s="85">
        <v>35.357999999999997</v>
      </c>
      <c r="H91" s="84"/>
      <c r="I91" s="84"/>
      <c r="J91" s="84"/>
      <c r="K91" s="84"/>
      <c r="L91" s="84"/>
      <c r="M91" s="84"/>
      <c r="N91" s="84"/>
      <c r="O91" s="84"/>
      <c r="P91" s="84"/>
    </row>
    <row r="92" spans="1:76" s="58" customFormat="1" ht="14.4" x14ac:dyDescent="0.3">
      <c r="A92" s="38" t="s">
        <v>153</v>
      </c>
      <c r="B92" s="38" t="s">
        <v>48</v>
      </c>
      <c r="C92" s="38" t="s">
        <v>154</v>
      </c>
      <c r="D92" s="172" t="s">
        <v>155</v>
      </c>
      <c r="E92" s="172"/>
      <c r="F92" s="38" t="s">
        <v>98</v>
      </c>
      <c r="G92" s="79">
        <v>566.43907000000002</v>
      </c>
      <c r="H92" s="79"/>
      <c r="I92" s="80">
        <v>21</v>
      </c>
      <c r="J92" s="79">
        <f>ROUND(G92*AO92,2)</f>
        <v>0</v>
      </c>
      <c r="K92" s="79">
        <f>ROUND(G92*AP92,2)</f>
        <v>0</v>
      </c>
      <c r="L92" s="79">
        <f>ROUND(G92*H92,2)</f>
        <v>0</v>
      </c>
      <c r="M92" s="79">
        <f>L92*(1+BW92/100)</f>
        <v>0</v>
      </c>
      <c r="N92" s="79">
        <v>2.0000000000000001E-4</v>
      </c>
      <c r="O92" s="79">
        <f>G92*N92</f>
        <v>0.11328781400000001</v>
      </c>
      <c r="P92" s="81" t="s">
        <v>56</v>
      </c>
      <c r="Z92" s="82">
        <f>ROUND(IF(AQ92="5",BJ92,0),2)</f>
        <v>0</v>
      </c>
      <c r="AB92" s="82">
        <f>ROUND(IF(AQ92="1",BH92,0),2)</f>
        <v>0</v>
      </c>
      <c r="AC92" s="82">
        <f>ROUND(IF(AQ92="1",BI92,0),2)</f>
        <v>0</v>
      </c>
      <c r="AD92" s="82">
        <f>ROUND(IF(AQ92="7",BH92,0),2)</f>
        <v>0</v>
      </c>
      <c r="AE92" s="82">
        <f>ROUND(IF(AQ92="7",BI92,0),2)</f>
        <v>0</v>
      </c>
      <c r="AF92" s="82">
        <f>ROUND(IF(AQ92="2",BH92,0),2)</f>
        <v>0</v>
      </c>
      <c r="AG92" s="82">
        <f>ROUND(IF(AQ92="2",BI92,0),2)</f>
        <v>0</v>
      </c>
      <c r="AH92" s="82">
        <f>ROUND(IF(AQ92="0",BJ92,0),2)</f>
        <v>0</v>
      </c>
      <c r="AI92" s="59" t="s">
        <v>48</v>
      </c>
      <c r="AJ92" s="82">
        <f>IF(AN92=0,L92,0)</f>
        <v>0</v>
      </c>
      <c r="AK92" s="82">
        <f>IF(AN92=12,L92,0)</f>
        <v>0</v>
      </c>
      <c r="AL92" s="82">
        <f>IF(AN92=21,L92,0)</f>
        <v>0</v>
      </c>
      <c r="AN92" s="82">
        <v>21</v>
      </c>
      <c r="AO92" s="82">
        <f>H92*0.223752186</f>
        <v>0</v>
      </c>
      <c r="AP92" s="82">
        <f>H92*(1-0.223752186)</f>
        <v>0</v>
      </c>
      <c r="AQ92" s="83" t="s">
        <v>78</v>
      </c>
      <c r="AV92" s="82">
        <f>ROUND(AW92+AX92,2)</f>
        <v>0</v>
      </c>
      <c r="AW92" s="82">
        <f>ROUND(G92*AO92,2)</f>
        <v>0</v>
      </c>
      <c r="AX92" s="82">
        <f>ROUND(G92*AP92,2)</f>
        <v>0</v>
      </c>
      <c r="AY92" s="83" t="s">
        <v>99</v>
      </c>
      <c r="AZ92" s="83" t="s">
        <v>100</v>
      </c>
      <c r="BA92" s="59" t="s">
        <v>59</v>
      </c>
      <c r="BC92" s="82">
        <f>AW92+AX92</f>
        <v>0</v>
      </c>
      <c r="BD92" s="82">
        <f>H92/(100-BE92)*100</f>
        <v>0</v>
      </c>
      <c r="BE92" s="82">
        <v>0</v>
      </c>
      <c r="BF92" s="82">
        <f>O92</f>
        <v>0.11328781400000001</v>
      </c>
      <c r="BH92" s="82">
        <f>G92*AO92</f>
        <v>0</v>
      </c>
      <c r="BI92" s="82">
        <f>G92*AP92</f>
        <v>0</v>
      </c>
      <c r="BJ92" s="82">
        <f>G92*H92</f>
        <v>0</v>
      </c>
      <c r="BK92" s="83" t="s">
        <v>60</v>
      </c>
      <c r="BL92" s="82">
        <v>783</v>
      </c>
      <c r="BW92" s="82">
        <f>I92</f>
        <v>21</v>
      </c>
      <c r="BX92" s="2" t="s">
        <v>155</v>
      </c>
    </row>
    <row r="93" spans="1:76" s="58" customFormat="1" ht="14.4" x14ac:dyDescent="0.3">
      <c r="A93" s="84"/>
      <c r="B93" s="84"/>
      <c r="C93" s="84"/>
      <c r="D93" s="40" t="s">
        <v>48</v>
      </c>
      <c r="E93" s="40" t="s">
        <v>113</v>
      </c>
      <c r="F93" s="84"/>
      <c r="G93" s="85">
        <v>0</v>
      </c>
      <c r="H93" s="84"/>
      <c r="I93" s="84"/>
      <c r="J93" s="84"/>
      <c r="K93" s="84"/>
      <c r="L93" s="84"/>
      <c r="M93" s="84"/>
      <c r="N93" s="84"/>
      <c r="O93" s="84"/>
      <c r="P93" s="84"/>
    </row>
    <row r="94" spans="1:76" s="58" customFormat="1" ht="14.4" x14ac:dyDescent="0.3">
      <c r="A94" s="84"/>
      <c r="B94" s="84"/>
      <c r="C94" s="84"/>
      <c r="D94" s="40" t="s">
        <v>48</v>
      </c>
      <c r="E94" s="40" t="s">
        <v>131</v>
      </c>
      <c r="F94" s="84"/>
      <c r="G94" s="85">
        <v>0</v>
      </c>
      <c r="H94" s="84"/>
      <c r="I94" s="84"/>
      <c r="J94" s="84"/>
      <c r="K94" s="84"/>
      <c r="L94" s="84"/>
      <c r="M94" s="84"/>
      <c r="N94" s="84"/>
      <c r="O94" s="84"/>
      <c r="P94" s="84"/>
    </row>
    <row r="95" spans="1:76" s="58" customFormat="1" ht="14.4" x14ac:dyDescent="0.3">
      <c r="A95" s="84"/>
      <c r="B95" s="84"/>
      <c r="C95" s="84"/>
      <c r="D95" s="40" t="s">
        <v>48</v>
      </c>
      <c r="E95" s="40" t="s">
        <v>132</v>
      </c>
      <c r="F95" s="84"/>
      <c r="G95" s="85">
        <v>0</v>
      </c>
      <c r="H95" s="84"/>
      <c r="I95" s="84"/>
      <c r="J95" s="84"/>
      <c r="K95" s="84"/>
      <c r="L95" s="84"/>
      <c r="M95" s="84"/>
      <c r="N95" s="84"/>
      <c r="O95" s="84"/>
      <c r="P95" s="84"/>
    </row>
    <row r="96" spans="1:76" s="58" customFormat="1" ht="26.4" x14ac:dyDescent="0.3">
      <c r="A96" s="84"/>
      <c r="B96" s="84"/>
      <c r="C96" s="84"/>
      <c r="D96" s="40" t="s">
        <v>133</v>
      </c>
      <c r="E96" s="40" t="s">
        <v>134</v>
      </c>
      <c r="F96" s="84"/>
      <c r="G96" s="85">
        <v>83.330619999999996</v>
      </c>
      <c r="H96" s="84"/>
      <c r="I96" s="84"/>
      <c r="J96" s="84"/>
      <c r="K96" s="84"/>
      <c r="L96" s="84"/>
      <c r="M96" s="84"/>
      <c r="N96" s="84"/>
      <c r="O96" s="84"/>
      <c r="P96" s="84"/>
    </row>
    <row r="97" spans="1:76" s="58" customFormat="1" ht="14.4" x14ac:dyDescent="0.3">
      <c r="A97" s="84"/>
      <c r="B97" s="84"/>
      <c r="C97" s="84"/>
      <c r="D97" s="40" t="s">
        <v>48</v>
      </c>
      <c r="E97" s="40" t="s">
        <v>119</v>
      </c>
      <c r="F97" s="84"/>
      <c r="G97" s="85">
        <v>0</v>
      </c>
      <c r="H97" s="84"/>
      <c r="I97" s="84"/>
      <c r="J97" s="84"/>
      <c r="K97" s="84"/>
      <c r="L97" s="84"/>
      <c r="M97" s="84"/>
      <c r="N97" s="84"/>
      <c r="O97" s="84"/>
      <c r="P97" s="84"/>
    </row>
    <row r="98" spans="1:76" s="58" customFormat="1" ht="14.4" x14ac:dyDescent="0.3">
      <c r="A98" s="84"/>
      <c r="B98" s="84"/>
      <c r="C98" s="84"/>
      <c r="D98" s="40" t="s">
        <v>120</v>
      </c>
      <c r="E98" s="40" t="s">
        <v>48</v>
      </c>
      <c r="F98" s="84"/>
      <c r="G98" s="85">
        <v>198.57599999999999</v>
      </c>
      <c r="H98" s="84"/>
      <c r="I98" s="84"/>
      <c r="J98" s="84"/>
      <c r="K98" s="84"/>
      <c r="L98" s="84"/>
      <c r="M98" s="84"/>
      <c r="N98" s="84"/>
      <c r="O98" s="84"/>
      <c r="P98" s="84"/>
    </row>
    <row r="99" spans="1:76" s="58" customFormat="1" ht="14.4" x14ac:dyDescent="0.3">
      <c r="A99" s="84"/>
      <c r="B99" s="84"/>
      <c r="C99" s="84"/>
      <c r="D99" s="40" t="s">
        <v>48</v>
      </c>
      <c r="E99" s="40" t="s">
        <v>119</v>
      </c>
      <c r="F99" s="84"/>
      <c r="G99" s="85">
        <v>0</v>
      </c>
      <c r="H99" s="84"/>
      <c r="I99" s="84"/>
      <c r="J99" s="84"/>
      <c r="K99" s="84"/>
      <c r="L99" s="84"/>
      <c r="M99" s="84"/>
      <c r="N99" s="84"/>
      <c r="O99" s="84"/>
      <c r="P99" s="84"/>
    </row>
    <row r="100" spans="1:76" s="58" customFormat="1" ht="14.4" x14ac:dyDescent="0.3">
      <c r="A100" s="84"/>
      <c r="B100" s="84"/>
      <c r="C100" s="84"/>
      <c r="D100" s="40" t="s">
        <v>135</v>
      </c>
      <c r="E100" s="40" t="s">
        <v>134</v>
      </c>
      <c r="F100" s="84"/>
      <c r="G100" s="85">
        <v>249.17445000000001</v>
      </c>
      <c r="H100" s="84"/>
      <c r="I100" s="84"/>
      <c r="J100" s="84"/>
      <c r="K100" s="84"/>
      <c r="L100" s="84"/>
      <c r="M100" s="84"/>
      <c r="N100" s="84"/>
      <c r="O100" s="84"/>
      <c r="P100" s="84"/>
    </row>
    <row r="101" spans="1:76" s="58" customFormat="1" ht="14.4" x14ac:dyDescent="0.3">
      <c r="A101" s="84"/>
      <c r="B101" s="84"/>
      <c r="C101" s="84"/>
      <c r="D101" s="40" t="s">
        <v>126</v>
      </c>
      <c r="E101" s="40" t="s">
        <v>137</v>
      </c>
      <c r="F101" s="84"/>
      <c r="G101" s="85">
        <v>35.357999999999997</v>
      </c>
      <c r="H101" s="84"/>
      <c r="I101" s="84"/>
      <c r="J101" s="84"/>
      <c r="K101" s="84"/>
      <c r="L101" s="84"/>
      <c r="M101" s="84"/>
      <c r="N101" s="84"/>
      <c r="O101" s="84"/>
      <c r="P101" s="84"/>
    </row>
    <row r="102" spans="1:76" s="58" customFormat="1" ht="14.4" x14ac:dyDescent="0.3">
      <c r="A102" s="75" t="s">
        <v>48</v>
      </c>
      <c r="B102" s="36" t="s">
        <v>48</v>
      </c>
      <c r="C102" s="36" t="s">
        <v>156</v>
      </c>
      <c r="D102" s="175" t="s">
        <v>157</v>
      </c>
      <c r="E102" s="175"/>
      <c r="F102" s="75" t="s">
        <v>3</v>
      </c>
      <c r="G102" s="75" t="s">
        <v>3</v>
      </c>
      <c r="H102" s="75" t="s">
        <v>3</v>
      </c>
      <c r="I102" s="75" t="s">
        <v>3</v>
      </c>
      <c r="J102" s="76">
        <f>SUM(J103:J108)</f>
        <v>0</v>
      </c>
      <c r="K102" s="76">
        <f t="shared" ref="K102:O102" si="0">SUM(K103:K108)</f>
        <v>0</v>
      </c>
      <c r="L102" s="76">
        <f t="shared" si="0"/>
        <v>0</v>
      </c>
      <c r="M102" s="76">
        <f t="shared" si="0"/>
        <v>0</v>
      </c>
      <c r="N102" s="76"/>
      <c r="O102" s="76">
        <f t="shared" si="0"/>
        <v>0.42131200000000002</v>
      </c>
      <c r="P102" s="77" t="s">
        <v>48</v>
      </c>
      <c r="AI102" s="59" t="s">
        <v>48</v>
      </c>
      <c r="AS102" s="78">
        <f>SUM(AJ103:AJ103)</f>
        <v>0</v>
      </c>
      <c r="AT102" s="78">
        <f>SUM(AK103:AK103)</f>
        <v>0</v>
      </c>
      <c r="AU102" s="78">
        <f>SUM(AL103:AL103)</f>
        <v>0</v>
      </c>
    </row>
    <row r="103" spans="1:76" s="58" customFormat="1" ht="14.4" x14ac:dyDescent="0.3">
      <c r="A103" s="38" t="s">
        <v>158</v>
      </c>
      <c r="B103" s="38" t="s">
        <v>48</v>
      </c>
      <c r="C103" s="38" t="s">
        <v>159</v>
      </c>
      <c r="D103" s="172" t="s">
        <v>160</v>
      </c>
      <c r="E103" s="172"/>
      <c r="F103" s="38" t="s">
        <v>98</v>
      </c>
      <c r="G103" s="79">
        <v>18.559999999999999</v>
      </c>
      <c r="H103" s="79"/>
      <c r="I103" s="80">
        <v>21</v>
      </c>
      <c r="J103" s="79">
        <f>ROUND(G103*AO103,2)</f>
        <v>0</v>
      </c>
      <c r="K103" s="79">
        <f>ROUND(G103*AP103,2)</f>
        <v>0</v>
      </c>
      <c r="L103" s="79">
        <f>ROUND(G103*H103,2)</f>
        <v>0</v>
      </c>
      <c r="M103" s="79">
        <f>L103*(1+BW103/100)</f>
        <v>0</v>
      </c>
      <c r="N103" s="79">
        <v>2.2700000000000001E-2</v>
      </c>
      <c r="O103" s="79">
        <f>G103*N103</f>
        <v>0.42131200000000002</v>
      </c>
      <c r="P103" s="81" t="s">
        <v>56</v>
      </c>
      <c r="Z103" s="82">
        <f>ROUND(IF(AQ103="5",BJ103,0),2)</f>
        <v>0</v>
      </c>
      <c r="AB103" s="82">
        <f>ROUND(IF(AQ103="1",BH103,0),2)</f>
        <v>0</v>
      </c>
      <c r="AC103" s="82">
        <f>ROUND(IF(AQ103="1",BI103,0),2)</f>
        <v>0</v>
      </c>
      <c r="AD103" s="82">
        <f>ROUND(IF(AQ103="7",BH103,0),2)</f>
        <v>0</v>
      </c>
      <c r="AE103" s="82">
        <f>ROUND(IF(AQ103="7",BI103,0),2)</f>
        <v>0</v>
      </c>
      <c r="AF103" s="82">
        <f>ROUND(IF(AQ103="2",BH103,0),2)</f>
        <v>0</v>
      </c>
      <c r="AG103" s="82">
        <f>ROUND(IF(AQ103="2",BI103,0),2)</f>
        <v>0</v>
      </c>
      <c r="AH103" s="82">
        <f>ROUND(IF(AQ103="0",BJ103,0),2)</f>
        <v>0</v>
      </c>
      <c r="AI103" s="59" t="s">
        <v>48</v>
      </c>
      <c r="AJ103" s="82">
        <f>IF(AN103=0,L103,0)</f>
        <v>0</v>
      </c>
      <c r="AK103" s="82">
        <f>IF(AN103=12,L103,0)</f>
        <v>0</v>
      </c>
      <c r="AL103" s="82">
        <f>IF(AN103=21,L103,0)</f>
        <v>0</v>
      </c>
      <c r="AN103" s="82">
        <v>21</v>
      </c>
      <c r="AO103" s="82">
        <f>H103*0.636632894</f>
        <v>0</v>
      </c>
      <c r="AP103" s="82">
        <f>H103*(1-0.636632894)</f>
        <v>0</v>
      </c>
      <c r="AQ103" s="83" t="s">
        <v>78</v>
      </c>
      <c r="AV103" s="82">
        <f>ROUND(AW103+AX103,2)</f>
        <v>0</v>
      </c>
      <c r="AW103" s="82">
        <f>ROUND(G103*AO103,2)</f>
        <v>0</v>
      </c>
      <c r="AX103" s="82">
        <f>ROUND(G103*AP103,2)</f>
        <v>0</v>
      </c>
      <c r="AY103" s="83" t="s">
        <v>161</v>
      </c>
      <c r="AZ103" s="83" t="s">
        <v>100</v>
      </c>
      <c r="BA103" s="59" t="s">
        <v>59</v>
      </c>
      <c r="BC103" s="82">
        <f>AW103+AX103</f>
        <v>0</v>
      </c>
      <c r="BD103" s="82">
        <f>H103/(100-BE103)*100</f>
        <v>0</v>
      </c>
      <c r="BE103" s="82">
        <v>0</v>
      </c>
      <c r="BF103" s="82">
        <f>O103</f>
        <v>0.42131200000000002</v>
      </c>
      <c r="BH103" s="82">
        <f>G103*AO103</f>
        <v>0</v>
      </c>
      <c r="BI103" s="82">
        <f>G103*AP103</f>
        <v>0</v>
      </c>
      <c r="BJ103" s="82">
        <f>G103*H103</f>
        <v>0</v>
      </c>
      <c r="BK103" s="83" t="s">
        <v>60</v>
      </c>
      <c r="BL103" s="82">
        <v>787</v>
      </c>
      <c r="BW103" s="82">
        <f>I103</f>
        <v>21</v>
      </c>
      <c r="BX103" s="2" t="s">
        <v>160</v>
      </c>
    </row>
    <row r="104" spans="1:76" s="58" customFormat="1" ht="13.5" customHeight="1" x14ac:dyDescent="0.3">
      <c r="A104" s="84"/>
      <c r="B104" s="84"/>
      <c r="C104" s="84"/>
      <c r="D104" s="173" t="s">
        <v>162</v>
      </c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</row>
    <row r="105" spans="1:76" s="58" customFormat="1" ht="14.4" x14ac:dyDescent="0.3">
      <c r="A105" s="84"/>
      <c r="B105" s="84"/>
      <c r="C105" s="84"/>
      <c r="D105" s="40" t="s">
        <v>48</v>
      </c>
      <c r="E105" s="40" t="s">
        <v>113</v>
      </c>
      <c r="F105" s="84"/>
      <c r="G105" s="85">
        <v>0</v>
      </c>
      <c r="H105" s="84"/>
      <c r="I105" s="84"/>
      <c r="J105" s="84"/>
      <c r="K105" s="84"/>
      <c r="L105" s="84"/>
      <c r="M105" s="84"/>
      <c r="N105" s="84"/>
      <c r="O105" s="84"/>
      <c r="P105" s="84"/>
    </row>
    <row r="106" spans="1:76" s="58" customFormat="1" ht="14.4" x14ac:dyDescent="0.3">
      <c r="A106" s="84"/>
      <c r="B106" s="84"/>
      <c r="C106" s="84"/>
      <c r="D106" s="40" t="s">
        <v>163</v>
      </c>
      <c r="E106" s="40" t="s">
        <v>164</v>
      </c>
      <c r="F106" s="84"/>
      <c r="G106" s="85">
        <v>11.22</v>
      </c>
      <c r="H106" s="84"/>
      <c r="I106" s="84"/>
      <c r="J106" s="84"/>
      <c r="K106" s="84"/>
      <c r="L106" s="84"/>
      <c r="M106" s="84"/>
      <c r="N106" s="84"/>
      <c r="O106" s="84"/>
      <c r="P106" s="84"/>
    </row>
    <row r="107" spans="1:76" s="89" customFormat="1" ht="26.4" x14ac:dyDescent="0.3">
      <c r="A107" s="84"/>
      <c r="B107" s="84"/>
      <c r="C107" s="84"/>
      <c r="D107" s="40" t="s">
        <v>165</v>
      </c>
      <c r="E107" s="40" t="s">
        <v>166</v>
      </c>
      <c r="F107" s="84"/>
      <c r="G107" s="85">
        <v>7.34</v>
      </c>
      <c r="H107" s="84"/>
      <c r="I107" s="84"/>
      <c r="J107" s="84"/>
      <c r="K107" s="84"/>
      <c r="L107" s="84"/>
      <c r="M107" s="84"/>
      <c r="N107" s="84"/>
      <c r="O107" s="84"/>
      <c r="P107" s="84"/>
    </row>
    <row r="108" spans="1:76" s="92" customFormat="1" ht="14.4" x14ac:dyDescent="0.3">
      <c r="A108" s="49" t="s">
        <v>235</v>
      </c>
      <c r="B108" s="49" t="s">
        <v>48</v>
      </c>
      <c r="C108" s="49" t="s">
        <v>236</v>
      </c>
      <c r="D108" s="176" t="s">
        <v>237</v>
      </c>
      <c r="E108" s="177"/>
      <c r="F108" s="49" t="s">
        <v>93</v>
      </c>
      <c r="G108" s="50">
        <v>200.44990000000001</v>
      </c>
      <c r="H108" s="50"/>
      <c r="I108" s="90">
        <v>21</v>
      </c>
      <c r="J108" s="50">
        <f>ROUND(G108*AO108,2)</f>
        <v>0</v>
      </c>
      <c r="K108" s="50">
        <f>ROUND(G108*AP108,2)</f>
        <v>0</v>
      </c>
      <c r="L108" s="50">
        <f>ROUND(G108*H108,2)</f>
        <v>0</v>
      </c>
      <c r="M108" s="50">
        <f>L108*(1+BW108/100)</f>
        <v>0</v>
      </c>
      <c r="N108" s="50">
        <v>0</v>
      </c>
      <c r="O108" s="50">
        <f>G108*N108</f>
        <v>0</v>
      </c>
      <c r="P108" s="91" t="s">
        <v>56</v>
      </c>
      <c r="Z108" s="93">
        <f>ROUND(IF(AQ108="5",BJ108,0),2)</f>
        <v>0</v>
      </c>
      <c r="AB108" s="93">
        <f>ROUND(IF(AQ108="1",BH108,0),2)</f>
        <v>0</v>
      </c>
      <c r="AC108" s="93">
        <f>ROUND(IF(AQ108="1",BI108,0),2)</f>
        <v>0</v>
      </c>
      <c r="AD108" s="93">
        <f>ROUND(IF(AQ108="7",BH108,0),2)</f>
        <v>0</v>
      </c>
      <c r="AE108" s="93">
        <f>ROUND(IF(AQ108="7",BI108,0),2)</f>
        <v>0</v>
      </c>
      <c r="AF108" s="93">
        <f>ROUND(IF(AQ108="2",BH108,0),2)</f>
        <v>0</v>
      </c>
      <c r="AG108" s="93">
        <f>ROUND(IF(AQ108="2",BI108,0),2)</f>
        <v>0</v>
      </c>
      <c r="AH108" s="93">
        <f>ROUND(IF(AQ108="0",BJ108,0),2)</f>
        <v>0</v>
      </c>
      <c r="AI108" s="94" t="s">
        <v>48</v>
      </c>
      <c r="AJ108" s="93">
        <f>IF(AN108=0,L108,0)</f>
        <v>0</v>
      </c>
      <c r="AK108" s="93">
        <f>IF(AN108=12,L108,0)</f>
        <v>0</v>
      </c>
      <c r="AL108" s="93">
        <f>IF(AN108=21,L108,0)</f>
        <v>0</v>
      </c>
      <c r="AN108" s="93">
        <v>21</v>
      </c>
      <c r="AO108" s="93">
        <f>H108*0</f>
        <v>0</v>
      </c>
      <c r="AP108" s="93">
        <f>H108*(1-0)</f>
        <v>0</v>
      </c>
      <c r="AQ108" s="95" t="s">
        <v>70</v>
      </c>
      <c r="AV108" s="93">
        <f>ROUND(AW108+AX108,2)</f>
        <v>0</v>
      </c>
      <c r="AW108" s="93">
        <f>ROUND(G108*AO108,2)</f>
        <v>0</v>
      </c>
      <c r="AX108" s="93">
        <f>ROUND(G108*AP108,2)</f>
        <v>0</v>
      </c>
      <c r="AY108" s="95" t="s">
        <v>161</v>
      </c>
      <c r="AZ108" s="95" t="s">
        <v>100</v>
      </c>
      <c r="BA108" s="94" t="s">
        <v>59</v>
      </c>
      <c r="BC108" s="93">
        <f>AW108+AX108</f>
        <v>0</v>
      </c>
      <c r="BD108" s="93">
        <f>H108/(100-BE108)*100</f>
        <v>0</v>
      </c>
      <c r="BE108" s="93">
        <v>0</v>
      </c>
      <c r="BF108" s="93">
        <f>O108</f>
        <v>0</v>
      </c>
      <c r="BH108" s="93">
        <f>G108*AO108</f>
        <v>0</v>
      </c>
      <c r="BI108" s="93">
        <f>G108*AP108</f>
        <v>0</v>
      </c>
      <c r="BJ108" s="93">
        <f>G108*H108</f>
        <v>0</v>
      </c>
      <c r="BK108" s="95" t="s">
        <v>60</v>
      </c>
      <c r="BL108" s="93">
        <v>787</v>
      </c>
      <c r="BW108" s="93">
        <f>I108</f>
        <v>21</v>
      </c>
      <c r="BX108" s="96" t="s">
        <v>237</v>
      </c>
    </row>
    <row r="109" spans="1:76" ht="14.4" x14ac:dyDescent="0.3">
      <c r="J109" s="174" t="s">
        <v>167</v>
      </c>
      <c r="K109" s="174"/>
      <c r="L109" s="5">
        <f>ROUND(L13+L18+L21+L28+L102,2)</f>
        <v>0</v>
      </c>
      <c r="M109" s="5">
        <f>ROUND(M13+M18+M21+M28+M102,2)</f>
        <v>0</v>
      </c>
    </row>
    <row r="110" spans="1:76" ht="14.4" x14ac:dyDescent="0.3">
      <c r="A110" s="6" t="s">
        <v>168</v>
      </c>
    </row>
    <row r="111" spans="1:76" ht="12.75" customHeight="1" x14ac:dyDescent="0.3">
      <c r="A111" s="97" t="s">
        <v>48</v>
      </c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</row>
  </sheetData>
  <mergeCells count="66"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P3"/>
    <mergeCell ref="J4:P5"/>
    <mergeCell ref="J6:P7"/>
    <mergeCell ref="J8:P9"/>
    <mergeCell ref="D10:E10"/>
    <mergeCell ref="D8:E9"/>
    <mergeCell ref="H2:H3"/>
    <mergeCell ref="H4:H5"/>
    <mergeCell ref="H6:H7"/>
    <mergeCell ref="H8:H9"/>
    <mergeCell ref="D11:E11"/>
    <mergeCell ref="J10:L10"/>
    <mergeCell ref="N10:O10"/>
    <mergeCell ref="D12:E12"/>
    <mergeCell ref="D13:E13"/>
    <mergeCell ref="D14:E14"/>
    <mergeCell ref="D15:P15"/>
    <mergeCell ref="D18:E18"/>
    <mergeCell ref="D19:E19"/>
    <mergeCell ref="D20:E20"/>
    <mergeCell ref="D21:E21"/>
    <mergeCell ref="D22:E22"/>
    <mergeCell ref="D23:P23"/>
    <mergeCell ref="D24:E24"/>
    <mergeCell ref="D25:E25"/>
    <mergeCell ref="D26:P26"/>
    <mergeCell ref="D27:E27"/>
    <mergeCell ref="D28:E28"/>
    <mergeCell ref="D29:E29"/>
    <mergeCell ref="D32:E32"/>
    <mergeCell ref="D35:E35"/>
    <mergeCell ref="D36:E36"/>
    <mergeCell ref="D37:P37"/>
    <mergeCell ref="D40:E40"/>
    <mergeCell ref="D41:P41"/>
    <mergeCell ref="D44:E44"/>
    <mergeCell ref="D45:P45"/>
    <mergeCell ref="D49:E49"/>
    <mergeCell ref="D59:E59"/>
    <mergeCell ref="D60:P60"/>
    <mergeCell ref="D103:E103"/>
    <mergeCell ref="D104:P104"/>
    <mergeCell ref="J109:K109"/>
    <mergeCell ref="A111:P111"/>
    <mergeCell ref="D70:E70"/>
    <mergeCell ref="D71:P71"/>
    <mergeCell ref="D81:E81"/>
    <mergeCell ref="D92:E92"/>
    <mergeCell ref="D102:E102"/>
    <mergeCell ref="D108:E108"/>
  </mergeCells>
  <pageMargins left="0.393999993801117" right="0.393999993801117" top="0.59100002050399802" bottom="0.591000020503998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Rekapitulace</vt:lpstr>
      <vt:lpstr>Soupis dodávek a prací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Ekonom Zdravka</cp:lastModifiedBy>
  <dcterms:created xsi:type="dcterms:W3CDTF">2021-06-10T20:06:38Z</dcterms:created>
  <dcterms:modified xsi:type="dcterms:W3CDTF">2025-06-26T08:58:28Z</dcterms:modified>
</cp:coreProperties>
</file>