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<sst xmlns="http://schemas.openxmlformats.org/spreadsheetml/2006/main" count="520" uniqueCount="263">
  <si>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</si>
  <si>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</si>
  <si>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</si>
  <si>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</si>
  <si>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</si>
  <si>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</si>
  <si>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</si>
  <si>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</si>
  <si>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</si>
  <si>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</si>
  <si>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</si>
  <si>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</si>
  <si>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</si>
  <si>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</si>
  <si>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</si>
  <si>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</si>
  <si>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</si>
  <si>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</si>
  <si>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</si>
  <si>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</si>
  <si>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</si>
  <si>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</si>
  <si>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</si>
  <si>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</si>
  <si>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</si>
  <si>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</si>
  <si>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</si>
  <si>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</si>
  <si>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</si>
  <si>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</si>
  <si>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</si>
  <si>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</si>
  <si>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</si>
  <si>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</si>
  <si>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</si>
  <si>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</si>
  <si>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</si>
  <si>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</si>
  <si>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</si>
  <si>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</si>
  <si>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</si>
  <si>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</si>
  <si>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</si>
  <si>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Poznámka:</t>
  </si>
  <si>
    <t>Objekt</t>
  </si>
  <si>
    <t>Kód</t>
  </si>
  <si>
    <t>113106211R00</t>
  </si>
  <si>
    <t>132200010RA0</t>
  </si>
  <si>
    <t>139711101RT3</t>
  </si>
  <si>
    <t>174101101R00</t>
  </si>
  <si>
    <t>43</t>
  </si>
  <si>
    <t>436234211R00</t>
  </si>
  <si>
    <t>58</t>
  </si>
  <si>
    <t>581100111RA0</t>
  </si>
  <si>
    <t>59</t>
  </si>
  <si>
    <t>596100020RAF</t>
  </si>
  <si>
    <t>591050010RBA</t>
  </si>
  <si>
    <t>61</t>
  </si>
  <si>
    <t>614471713R00</t>
  </si>
  <si>
    <t>62</t>
  </si>
  <si>
    <t>620991121R00</t>
  </si>
  <si>
    <t>622434114R00</t>
  </si>
  <si>
    <t>622412242RT1</t>
  </si>
  <si>
    <t>622904112R00</t>
  </si>
  <si>
    <t>764</t>
  </si>
  <si>
    <t>764510440R00</t>
  </si>
  <si>
    <t>764211721R00</t>
  </si>
  <si>
    <t>764521440R00</t>
  </si>
  <si>
    <t>766</t>
  </si>
  <si>
    <t>766623622R00</t>
  </si>
  <si>
    <t>767</t>
  </si>
  <si>
    <t>767222120R00</t>
  </si>
  <si>
    <t>91</t>
  </si>
  <si>
    <t>919735113R00</t>
  </si>
  <si>
    <t>94</t>
  </si>
  <si>
    <t>941941031R00</t>
  </si>
  <si>
    <t>941941111R00</t>
  </si>
  <si>
    <t>941941191R00</t>
  </si>
  <si>
    <t>941941831R00</t>
  </si>
  <si>
    <t>944944011R00</t>
  </si>
  <si>
    <t>944944081R00</t>
  </si>
  <si>
    <t>944944031R00</t>
  </si>
  <si>
    <t>96</t>
  </si>
  <si>
    <t>965081923R00</t>
  </si>
  <si>
    <t>965082941R00</t>
  </si>
  <si>
    <t>966077131R00</t>
  </si>
  <si>
    <t>967031733R00</t>
  </si>
  <si>
    <t>97</t>
  </si>
  <si>
    <t>978015291R00</t>
  </si>
  <si>
    <t>979011331R00</t>
  </si>
  <si>
    <t>979011332R00</t>
  </si>
  <si>
    <t>H01</t>
  </si>
  <si>
    <t>998011003R00</t>
  </si>
  <si>
    <t>S</t>
  </si>
  <si>
    <t>979981104R00</t>
  </si>
  <si>
    <t>28323134</t>
  </si>
  <si>
    <t>Jesnice ISŠ</t>
  </si>
  <si>
    <t>Oprava fasády</t>
  </si>
  <si>
    <t>Jesenice u Rakovníka</t>
  </si>
  <si>
    <t>Zkrácený popis</t>
  </si>
  <si>
    <t>Rozměry</t>
  </si>
  <si>
    <t>Přípravné a přidružené práce</t>
  </si>
  <si>
    <t>Rozebrání dlažeb z velkých kostek v kam. těženém</t>
  </si>
  <si>
    <t>Hloubené vykopávky</t>
  </si>
  <si>
    <t>Hloubení nezapaž. rýh šířky do 60 cm v hornině 1-4</t>
  </si>
  <si>
    <t>Vykopávka v uzavřených prostorách v hor.1-4</t>
  </si>
  <si>
    <t>Konstrukce ze zemin</t>
  </si>
  <si>
    <t>Zásyp jam, rýh, šachet se zhutněním</t>
  </si>
  <si>
    <t>Schodiště</t>
  </si>
  <si>
    <t>Boční zídky schodů + oprava stupňů</t>
  </si>
  <si>
    <t>Kryty pozemních komunikací, letišť a ploch z betonu a ostatních hmot</t>
  </si>
  <si>
    <t>Komunikace s CB krytem D2-T-4-CH-PII</t>
  </si>
  <si>
    <t>Kryty pozemních komunikací, letišť a ploch dlážděných (předlažby)</t>
  </si>
  <si>
    <t>Chodník z dlažby betonové, podklad beton prostý</t>
  </si>
  <si>
    <t>Komunikace z dlažby zámkové, podklad beton prostý</t>
  </si>
  <si>
    <t>Úprava povrchů vnitřní</t>
  </si>
  <si>
    <t>Vyspravení beton. konstrukcí cem. maltou tl. 30 mm</t>
  </si>
  <si>
    <t>Úprava povrchů vnější</t>
  </si>
  <si>
    <t>Zakrývání výplní vnějších otvorů z lešení</t>
  </si>
  <si>
    <t>Omítkový sanační systém Cemix, vnější, 4vrst</t>
  </si>
  <si>
    <t>Nátěr stěn vnějších, slož.4 CEMIX , silikátový</t>
  </si>
  <si>
    <t>Očištění fasád tlakovou vodou složitost 1 - 2</t>
  </si>
  <si>
    <t>Konstrukce klempířské</t>
  </si>
  <si>
    <t>Oplechování parapetů včetně rohů Ti Zn, rš 250 mm</t>
  </si>
  <si>
    <t>Oprava krytiny Ti-Zn, tab.2 x 1 m, do 25 m2,do 30°</t>
  </si>
  <si>
    <t>Oplechování říms z Ti Zn plechu, rš 250 mm</t>
  </si>
  <si>
    <t>Konstrukce truhlářské</t>
  </si>
  <si>
    <t>Okna plastová dle přílohy</t>
  </si>
  <si>
    <t>Konstrukce doplňkové stavební (zámečnické)</t>
  </si>
  <si>
    <t>Montáž  + dodávka zábradlí z prof. oceli do zdiva a stupňů, do 40 kg</t>
  </si>
  <si>
    <t>Doplňující konstrukce a práce na pozemních komunikacích a zpevněných plochách</t>
  </si>
  <si>
    <t>Řezání stávajícího živičného krytu tl. 10 - 15 cm</t>
  </si>
  <si>
    <t>Lešení a stavební výtahy</t>
  </si>
  <si>
    <t>Montáž lešení leh.řad.s podlahami,š.do 1 m, H 10 m</t>
  </si>
  <si>
    <t>Pronájem lešení za den</t>
  </si>
  <si>
    <t>Příplatek za každý měsíc použití lešení k pol.1031</t>
  </si>
  <si>
    <t>Demontáž lešení leh.řad.s podlahami,š.1 m, H 10 m</t>
  </si>
  <si>
    <t>Montáž ochranné sítě z umělých vláken</t>
  </si>
  <si>
    <t>Demontáž ochranné sítě z umělých vláken</t>
  </si>
  <si>
    <t>Příplatek za každý měsíc použití sítí k pol. 4011</t>
  </si>
  <si>
    <t>Bourání konstrukcí</t>
  </si>
  <si>
    <t>Bourání dlažeb beton.,čedič.tl.40 mm, pl.nad 1 m2</t>
  </si>
  <si>
    <t>Odstranění násypu tl. nad 20 cm jakékoliv plochy</t>
  </si>
  <si>
    <t>Odstranění doplňkových konstrukcí - kryt násypky</t>
  </si>
  <si>
    <t>Přisekání plošné zdiva cihelného -parapety římsy</t>
  </si>
  <si>
    <t>Prorážení otvorů a ostatní bourací práce</t>
  </si>
  <si>
    <t>Otlučení omítek vnějších MVC v složit.1-4 do 100 %</t>
  </si>
  <si>
    <t>Pronájem shozu  (za metr)</t>
  </si>
  <si>
    <t>Pronájem násypky  (za kus)</t>
  </si>
  <si>
    <t>Budovy občanské výstavby</t>
  </si>
  <si>
    <t>Přesun hmot pro budovy zděné výšky do 24 m</t>
  </si>
  <si>
    <t>Přesuny sutí</t>
  </si>
  <si>
    <t>Kontejner, suť bez příměsí, odvoz a likvidace, 9 t</t>
  </si>
  <si>
    <t>Ostatní materiál</t>
  </si>
  <si>
    <t>Fólie nopová DELTA MS DRAIN  s ukončovací lištou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</si>
  <si>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</si>
  <si>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</si>
  <si>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</si>
  <si>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</si>
  <si>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</si>
  <si>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</si>
  <si>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</si>
  <si>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</si>
  <si>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komplet</t>
  </si>
  <si>
    <t>kus</t>
  </si>
  <si>
    <t>den</t>
  </si>
  <si>
    <t>t</t>
  </si>
  <si>
    <t>Množství</t>
  </si>
  <si>
    <t>26.09.2018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</si>
  <si>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</si>
  <si>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</si>
  <si>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</si>
  <si>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</si>
  <si>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</si>
  <si>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</si>
  <si>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</si>
  <si>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</si>
  <si>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</si>
  <si>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</si>
  <si>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</si>
  <si>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</si>
  <si>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</si>
  <si>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</si>
  <si>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</si>
  <si>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</si>
  <si>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</si>
  <si>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</si>
  <si>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</si>
  <si>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</si>
  <si>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</si>
  <si>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</si>
  <si>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</si>
  <si>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</si>
  <si>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</si>
  <si>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</si>
  <si>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</si>
  <si>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17_</t>
  </si>
  <si>
    <t>43_</t>
  </si>
  <si>
    <t>58_</t>
  </si>
  <si>
    <t>59_</t>
  </si>
  <si>
    <t>61_</t>
  </si>
  <si>
    <t>62_</t>
  </si>
  <si>
    <t>764_</t>
  </si>
  <si>
    <t>766_</t>
  </si>
  <si>
    <t>767_</t>
  </si>
  <si>
    <t>91_</t>
  </si>
  <si>
    <t>94_</t>
  </si>
  <si>
    <t>96_</t>
  </si>
  <si>
    <t>97_</t>
  </si>
  <si>
    <t>H01_</t>
  </si>
  <si>
    <t>S_</t>
  </si>
  <si>
    <t>Z99999_</t>
  </si>
  <si>
    <t>1_</t>
  </si>
  <si>
    <t>4_</t>
  </si>
  <si>
    <t>5_</t>
  </si>
  <si>
    <t>6_</t>
  </si>
  <si>
    <t>76_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</si>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</sst>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1" fillId="34" borderId="45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8"/>
  <sheetViews>
    <sheetView tabSelected="1" zoomScalePageLayoutView="0" workbookViewId="0" topLeftCell="A1">
      <pane ySplit="11" topLeftCell="A21" activePane="bottomLeft" state="frozen"/>
      <selection pane="topLeft" activeCell="A1" sqref="A1"/>
      <selection pane="bottomLeft" activeCell="F26" sqref="F2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7.00390625" style="0" customWidth="1"/>
    <col min="5" max="5" width="7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>
      <c r="A2" s="70" t="s">
        <v>1</v>
      </c>
      <c r="B2" s="71"/>
      <c r="C2" s="71"/>
      <c r="D2" s="72" t="s">
        <v>96</v>
      </c>
      <c r="E2" s="74" t="s">
        <v>155</v>
      </c>
      <c r="F2" s="71"/>
      <c r="G2" s="74" t="s">
        <v>6</v>
      </c>
      <c r="H2" s="71"/>
      <c r="I2" s="75" t="s">
        <v>174</v>
      </c>
      <c r="J2" s="75" t="s">
        <v>6</v>
      </c>
      <c r="K2" s="71"/>
      <c r="L2" s="71"/>
      <c r="M2" s="76"/>
      <c r="N2" s="28"/>
    </row>
    <row r="3" spans="1:14" ht="12.75">
      <c r="A3" s="67"/>
      <c r="B3" s="60"/>
      <c r="C3" s="60"/>
      <c r="D3" s="73"/>
      <c r="E3" s="60"/>
      <c r="F3" s="60"/>
      <c r="G3" s="60"/>
      <c r="H3" s="60"/>
      <c r="I3" s="60"/>
      <c r="J3" s="60"/>
      <c r="K3" s="60"/>
      <c r="L3" s="60"/>
      <c r="M3" s="65"/>
      <c r="N3" s="28"/>
    </row>
    <row r="4" spans="1:14" ht="12.75">
      <c r="A4" s="61" t="s">
        <v>2</v>
      </c>
      <c r="B4" s="60"/>
      <c r="C4" s="60"/>
      <c r="D4" s="59" t="s">
        <v>97</v>
      </c>
      <c r="E4" s="64" t="s">
        <v>156</v>
      </c>
      <c r="F4" s="60"/>
      <c r="G4" s="64" t="s">
        <v>6</v>
      </c>
      <c r="H4" s="60"/>
      <c r="I4" s="59" t="s">
        <v>175</v>
      </c>
      <c r="J4" s="59" t="s">
        <v>6</v>
      </c>
      <c r="K4" s="60"/>
      <c r="L4" s="60"/>
      <c r="M4" s="65"/>
      <c r="N4" s="28"/>
    </row>
    <row r="5" spans="1:14" ht="12.75">
      <c r="A5" s="67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5"/>
      <c r="N5" s="28"/>
    </row>
    <row r="6" spans="1:14" ht="12.75">
      <c r="A6" s="61" t="s">
        <v>3</v>
      </c>
      <c r="B6" s="60"/>
      <c r="C6" s="60"/>
      <c r="D6" s="59" t="s">
        <v>98</v>
      </c>
      <c r="E6" s="64" t="s">
        <v>157</v>
      </c>
      <c r="F6" s="60"/>
      <c r="G6" s="64" t="s">
        <v>6</v>
      </c>
      <c r="H6" s="60"/>
      <c r="I6" s="59" t="s">
        <v>176</v>
      </c>
      <c r="J6" s="59" t="s">
        <v>6</v>
      </c>
      <c r="K6" s="60"/>
      <c r="L6" s="60"/>
      <c r="M6" s="65"/>
      <c r="N6" s="28"/>
    </row>
    <row r="7" spans="1:14" ht="12.75">
      <c r="A7" s="67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5"/>
      <c r="N7" s="28"/>
    </row>
    <row r="8" spans="1:14" ht="12.75">
      <c r="A8" s="61" t="s">
        <v>4</v>
      </c>
      <c r="B8" s="60"/>
      <c r="C8" s="60"/>
      <c r="D8" s="59" t="s">
        <v>6</v>
      </c>
      <c r="E8" s="64" t="s">
        <v>158</v>
      </c>
      <c r="F8" s="60"/>
      <c r="G8" s="64" t="s">
        <v>168</v>
      </c>
      <c r="H8" s="60"/>
      <c r="I8" s="59" t="s">
        <v>177</v>
      </c>
      <c r="J8" s="59" t="s">
        <v>6</v>
      </c>
      <c r="K8" s="60"/>
      <c r="L8" s="60"/>
      <c r="M8" s="65"/>
      <c r="N8" s="28"/>
    </row>
    <row r="9" spans="1:14" ht="12.7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6"/>
      <c r="N9" s="28"/>
    </row>
    <row r="10" spans="1:14" ht="12.75">
      <c r="A10" s="1" t="s">
        <v>5</v>
      </c>
      <c r="B10" s="9" t="s">
        <v>44</v>
      </c>
      <c r="C10" s="9" t="s">
        <v>45</v>
      </c>
      <c r="D10" s="9" t="s">
        <v>99</v>
      </c>
      <c r="E10" s="9" t="s">
        <v>159</v>
      </c>
      <c r="F10" s="14" t="s">
        <v>167</v>
      </c>
      <c r="G10" s="17" t="s">
        <v>169</v>
      </c>
      <c r="H10" s="54" t="s">
        <v>171</v>
      </c>
      <c r="I10" s="55"/>
      <c r="J10" s="56"/>
      <c r="K10" s="54" t="s">
        <v>180</v>
      </c>
      <c r="L10" s="56"/>
      <c r="M10" s="24" t="s">
        <v>181</v>
      </c>
      <c r="N10" s="29"/>
    </row>
    <row r="11" spans="1:24" ht="12.75">
      <c r="A11" s="2" t="s">
        <v>6</v>
      </c>
      <c r="B11" s="10" t="s">
        <v>6</v>
      </c>
      <c r="C11" s="10" t="s">
        <v>6</v>
      </c>
      <c r="D11" s="13" t="s">
        <v>100</v>
      </c>
      <c r="E11" s="10" t="s">
        <v>6</v>
      </c>
      <c r="F11" s="10" t="s">
        <v>6</v>
      </c>
      <c r="G11" s="18" t="s">
        <v>170</v>
      </c>
      <c r="H11" s="19" t="s">
        <v>172</v>
      </c>
      <c r="I11" s="20" t="s">
        <v>178</v>
      </c>
      <c r="J11" s="21" t="s">
        <v>179</v>
      </c>
      <c r="K11" s="19" t="s">
        <v>169</v>
      </c>
      <c r="L11" s="21" t="s">
        <v>179</v>
      </c>
      <c r="M11" s="25" t="s">
        <v>182</v>
      </c>
      <c r="N11" s="29"/>
      <c r="P11" s="23" t="s">
        <v>184</v>
      </c>
      <c r="Q11" s="23" t="s">
        <v>185</v>
      </c>
      <c r="R11" s="23" t="s">
        <v>186</v>
      </c>
      <c r="S11" s="23" t="s">
        <v>187</v>
      </c>
      <c r="T11" s="23" t="s">
        <v>188</v>
      </c>
      <c r="U11" s="23" t="s">
        <v>189</v>
      </c>
      <c r="V11" s="23" t="s">
        <v>190</v>
      </c>
      <c r="W11" s="23" t="s">
        <v>191</v>
      </c>
      <c r="X11" s="23" t="s">
        <v>192</v>
      </c>
    </row>
    <row r="12" spans="1:37" ht="12.75">
      <c r="A12" s="3"/>
      <c r="B12" s="11"/>
      <c r="C12" s="11" t="s">
        <v>17</v>
      </c>
      <c r="D12" s="11" t="s">
        <v>101</v>
      </c>
      <c r="E12" s="3" t="s">
        <v>6</v>
      </c>
      <c r="F12" s="3" t="s">
        <v>6</v>
      </c>
      <c r="G12" s="3" t="s">
        <v>6</v>
      </c>
      <c r="H12" s="33">
        <f>SUM(H13:H13)</f>
        <v>0</v>
      </c>
      <c r="I12" s="33">
        <f>SUM(I13:I13)</f>
        <v>0</v>
      </c>
      <c r="J12" s="33">
        <f>H12+I12</f>
        <v>0</v>
      </c>
      <c r="K12" s="22"/>
      <c r="L12" s="33">
        <f>SUM(L13:L13)</f>
        <v>25.02</v>
      </c>
      <c r="M12" s="22"/>
      <c r="Y12" s="23"/>
      <c r="AI12" s="34">
        <f>SUM(Z13:Z13)</f>
        <v>0</v>
      </c>
      <c r="AJ12" s="34">
        <f>SUM(AA13:AA13)</f>
        <v>0</v>
      </c>
      <c r="AK12" s="34">
        <f>SUM(AB13:AB13)</f>
        <v>0</v>
      </c>
    </row>
    <row r="13" spans="1:48" ht="12.75">
      <c r="A13" s="4" t="s">
        <v>7</v>
      </c>
      <c r="B13" s="4"/>
      <c r="C13" s="4" t="s">
        <v>46</v>
      </c>
      <c r="D13" s="4" t="s">
        <v>102</v>
      </c>
      <c r="E13" s="4" t="s">
        <v>160</v>
      </c>
      <c r="F13" s="15">
        <v>60</v>
      </c>
      <c r="G13" s="15"/>
      <c r="H13" s="15">
        <f>F13*AE13</f>
        <v>0</v>
      </c>
      <c r="I13" s="15">
        <f>J13-H13</f>
        <v>0</v>
      </c>
      <c r="J13" s="15">
        <f>F13*G13</f>
        <v>0</v>
      </c>
      <c r="K13" s="15">
        <v>0.417</v>
      </c>
      <c r="L13" s="15">
        <f>F13*K13</f>
        <v>25.02</v>
      </c>
      <c r="M13" s="26" t="s">
        <v>183</v>
      </c>
      <c r="P13" s="30">
        <f>IF(AG13="5",J13,0)</f>
        <v>0</v>
      </c>
      <c r="R13" s="30">
        <f>IF(AG13="1",H13,0)</f>
        <v>0</v>
      </c>
      <c r="S13" s="30">
        <f>IF(AG13="1",I13,0)</f>
        <v>0</v>
      </c>
      <c r="T13" s="30">
        <f>IF(AG13="7",H13,0)</f>
        <v>0</v>
      </c>
      <c r="U13" s="30">
        <f>IF(AG13="7",I13,0)</f>
        <v>0</v>
      </c>
      <c r="V13" s="30">
        <f>IF(AG13="2",H13,0)</f>
        <v>0</v>
      </c>
      <c r="W13" s="30">
        <f>IF(AG13="2",I13,0)</f>
        <v>0</v>
      </c>
      <c r="X13" s="30">
        <f>IF(AG13="0",J13,0)</f>
        <v>0</v>
      </c>
      <c r="Y13" s="23"/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30">
        <v>21</v>
      </c>
      <c r="AE13" s="30">
        <f>G13*0</f>
        <v>0</v>
      </c>
      <c r="AF13" s="30">
        <f>G13*(1-0)</f>
        <v>0</v>
      </c>
      <c r="AG13" s="26" t="s">
        <v>7</v>
      </c>
      <c r="AM13" s="30">
        <f>F13*AE13</f>
        <v>0</v>
      </c>
      <c r="AN13" s="30">
        <f>F13*AF13</f>
        <v>0</v>
      </c>
      <c r="AO13" s="32" t="s">
        <v>194</v>
      </c>
      <c r="AP13" s="32" t="s">
        <v>212</v>
      </c>
      <c r="AQ13" s="23" t="s">
        <v>219</v>
      </c>
      <c r="AS13" s="30">
        <f>AM13+AN13</f>
        <v>0</v>
      </c>
      <c r="AT13" s="30">
        <f>G13/(100-AU13)*100</f>
        <v>0</v>
      </c>
      <c r="AU13" s="30">
        <v>0</v>
      </c>
      <c r="AV13" s="30">
        <f>L13</f>
        <v>25.02</v>
      </c>
    </row>
    <row r="14" spans="1:37" ht="12.75">
      <c r="A14" s="5"/>
      <c r="B14" s="12"/>
      <c r="C14" s="12" t="s">
        <v>19</v>
      </c>
      <c r="D14" s="12" t="s">
        <v>103</v>
      </c>
      <c r="E14" s="5" t="s">
        <v>6</v>
      </c>
      <c r="F14" s="5" t="s">
        <v>6</v>
      </c>
      <c r="G14" s="5"/>
      <c r="H14" s="34">
        <f>SUM(H15:H16)</f>
        <v>0</v>
      </c>
      <c r="I14" s="34">
        <f>SUM(I15:I16)</f>
        <v>0</v>
      </c>
      <c r="J14" s="34">
        <f>H14+I14</f>
        <v>0</v>
      </c>
      <c r="K14" s="23"/>
      <c r="L14" s="34">
        <f>SUM(L15:L16)</f>
        <v>0</v>
      </c>
      <c r="M14" s="23"/>
      <c r="Y14" s="23"/>
      <c r="AI14" s="34">
        <f>SUM(Z15:Z16)</f>
        <v>0</v>
      </c>
      <c r="AJ14" s="34">
        <f>SUM(AA15:AA16)</f>
        <v>0</v>
      </c>
      <c r="AK14" s="34">
        <f>SUM(AB15:AB16)</f>
        <v>0</v>
      </c>
    </row>
    <row r="15" spans="1:48" ht="12.75">
      <c r="A15" s="4" t="s">
        <v>8</v>
      </c>
      <c r="B15" s="4"/>
      <c r="C15" s="4" t="s">
        <v>47</v>
      </c>
      <c r="D15" s="4" t="s">
        <v>104</v>
      </c>
      <c r="E15" s="4" t="s">
        <v>161</v>
      </c>
      <c r="F15" s="15">
        <v>33</v>
      </c>
      <c r="G15" s="15"/>
      <c r="H15" s="15">
        <f>F15*AE15</f>
        <v>0</v>
      </c>
      <c r="I15" s="15">
        <f>J15-H15</f>
        <v>0</v>
      </c>
      <c r="J15" s="15">
        <f>F15*G15</f>
        <v>0</v>
      </c>
      <c r="K15" s="15">
        <v>0</v>
      </c>
      <c r="L15" s="15">
        <f>F15*K15</f>
        <v>0</v>
      </c>
      <c r="M15" s="26" t="s">
        <v>183</v>
      </c>
      <c r="P15" s="30">
        <f>IF(AG15="5",J15,0)</f>
        <v>0</v>
      </c>
      <c r="R15" s="30">
        <f>IF(AG15="1",H15,0)</f>
        <v>0</v>
      </c>
      <c r="S15" s="30">
        <f>IF(AG15="1",I15,0)</f>
        <v>0</v>
      </c>
      <c r="T15" s="30">
        <f>IF(AG15="7",H15,0)</f>
        <v>0</v>
      </c>
      <c r="U15" s="30">
        <f>IF(AG15="7",I15,0)</f>
        <v>0</v>
      </c>
      <c r="V15" s="30">
        <f>IF(AG15="2",H15,0)</f>
        <v>0</v>
      </c>
      <c r="W15" s="30">
        <f>IF(AG15="2",I15,0)</f>
        <v>0</v>
      </c>
      <c r="X15" s="30">
        <f>IF(AG15="0",J15,0)</f>
        <v>0</v>
      </c>
      <c r="Y15" s="23"/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30">
        <v>21</v>
      </c>
      <c r="AE15" s="30">
        <f>G15*0</f>
        <v>0</v>
      </c>
      <c r="AF15" s="30">
        <f>G15*(1-0)</f>
        <v>0</v>
      </c>
      <c r="AG15" s="26" t="s">
        <v>7</v>
      </c>
      <c r="AM15" s="30">
        <f>F15*AE15</f>
        <v>0</v>
      </c>
      <c r="AN15" s="30">
        <f>F15*AF15</f>
        <v>0</v>
      </c>
      <c r="AO15" s="32" t="s">
        <v>195</v>
      </c>
      <c r="AP15" s="32" t="s">
        <v>212</v>
      </c>
      <c r="AQ15" s="23" t="s">
        <v>219</v>
      </c>
      <c r="AS15" s="30">
        <f>AM15+AN15</f>
        <v>0</v>
      </c>
      <c r="AT15" s="30">
        <f>G15/(100-AU15)*100</f>
        <v>0</v>
      </c>
      <c r="AU15" s="30">
        <v>0</v>
      </c>
      <c r="AV15" s="30">
        <f>L15</f>
        <v>0</v>
      </c>
    </row>
    <row r="16" spans="1:48" ht="12.75">
      <c r="A16" s="4" t="s">
        <v>9</v>
      </c>
      <c r="B16" s="4"/>
      <c r="C16" s="4" t="s">
        <v>48</v>
      </c>
      <c r="D16" s="4" t="s">
        <v>105</v>
      </c>
      <c r="E16" s="4" t="s">
        <v>161</v>
      </c>
      <c r="F16" s="15">
        <v>32</v>
      </c>
      <c r="G16" s="15"/>
      <c r="H16" s="15">
        <f>F16*AE16</f>
        <v>0</v>
      </c>
      <c r="I16" s="15">
        <f>J16-H16</f>
        <v>0</v>
      </c>
      <c r="J16" s="15">
        <f>F16*G16</f>
        <v>0</v>
      </c>
      <c r="K16" s="15">
        <v>0</v>
      </c>
      <c r="L16" s="15">
        <f>F16*K16</f>
        <v>0</v>
      </c>
      <c r="M16" s="26" t="s">
        <v>183</v>
      </c>
      <c r="P16" s="30">
        <f>IF(AG16="5",J16,0)</f>
        <v>0</v>
      </c>
      <c r="R16" s="30">
        <f>IF(AG16="1",H16,0)</f>
        <v>0</v>
      </c>
      <c r="S16" s="30">
        <f>IF(AG16="1",I16,0)</f>
        <v>0</v>
      </c>
      <c r="T16" s="30">
        <f>IF(AG16="7",H16,0)</f>
        <v>0</v>
      </c>
      <c r="U16" s="30">
        <f>IF(AG16="7",I16,0)</f>
        <v>0</v>
      </c>
      <c r="V16" s="30">
        <f>IF(AG16="2",H16,0)</f>
        <v>0</v>
      </c>
      <c r="W16" s="30">
        <f>IF(AG16="2",I16,0)</f>
        <v>0</v>
      </c>
      <c r="X16" s="30">
        <f>IF(AG16="0",J16,0)</f>
        <v>0</v>
      </c>
      <c r="Y16" s="23"/>
      <c r="Z16" s="15">
        <f>IF(AD16=0,J16,0)</f>
        <v>0</v>
      </c>
      <c r="AA16" s="15">
        <f>IF(AD16=15,J16,0)</f>
        <v>0</v>
      </c>
      <c r="AB16" s="15">
        <f>IF(AD16=21,J16,0)</f>
        <v>0</v>
      </c>
      <c r="AD16" s="30">
        <v>21</v>
      </c>
      <c r="AE16" s="30">
        <f>G16*0</f>
        <v>0</v>
      </c>
      <c r="AF16" s="30">
        <f>G16*(1-0)</f>
        <v>0</v>
      </c>
      <c r="AG16" s="26" t="s">
        <v>7</v>
      </c>
      <c r="AM16" s="30">
        <f>F16*AE16</f>
        <v>0</v>
      </c>
      <c r="AN16" s="30">
        <f>F16*AF16</f>
        <v>0</v>
      </c>
      <c r="AO16" s="32" t="s">
        <v>195</v>
      </c>
      <c r="AP16" s="32" t="s">
        <v>212</v>
      </c>
      <c r="AQ16" s="23" t="s">
        <v>219</v>
      </c>
      <c r="AS16" s="30">
        <f>AM16+AN16</f>
        <v>0</v>
      </c>
      <c r="AT16" s="30">
        <f>G16/(100-AU16)*100</f>
        <v>0</v>
      </c>
      <c r="AU16" s="30">
        <v>0</v>
      </c>
      <c r="AV16" s="30">
        <f>L16</f>
        <v>0</v>
      </c>
    </row>
    <row r="17" spans="1:37" ht="12.75">
      <c r="A17" s="5"/>
      <c r="B17" s="12"/>
      <c r="C17" s="12" t="s">
        <v>23</v>
      </c>
      <c r="D17" s="12" t="s">
        <v>106</v>
      </c>
      <c r="E17" s="5" t="s">
        <v>6</v>
      </c>
      <c r="F17" s="5" t="s">
        <v>6</v>
      </c>
      <c r="G17" s="5"/>
      <c r="H17" s="34">
        <f>SUM(H18:H18)</f>
        <v>0</v>
      </c>
      <c r="I17" s="34">
        <f>SUM(I18:I18)</f>
        <v>0</v>
      </c>
      <c r="J17" s="34">
        <f>H17+I17</f>
        <v>0</v>
      </c>
      <c r="K17" s="23"/>
      <c r="L17" s="34">
        <f>SUM(L18:L18)</f>
        <v>0</v>
      </c>
      <c r="M17" s="23"/>
      <c r="Y17" s="23"/>
      <c r="AI17" s="34">
        <f>SUM(Z18:Z18)</f>
        <v>0</v>
      </c>
      <c r="AJ17" s="34">
        <f>SUM(AA18:AA18)</f>
        <v>0</v>
      </c>
      <c r="AK17" s="34">
        <f>SUM(AB18:AB18)</f>
        <v>0</v>
      </c>
    </row>
    <row r="18" spans="1:48" ht="12.75">
      <c r="A18" s="4" t="s">
        <v>10</v>
      </c>
      <c r="B18" s="4"/>
      <c r="C18" s="4" t="s">
        <v>49</v>
      </c>
      <c r="D18" s="4" t="s">
        <v>107</v>
      </c>
      <c r="E18" s="4" t="s">
        <v>161</v>
      </c>
      <c r="F18" s="15">
        <v>19.728</v>
      </c>
      <c r="G18" s="15"/>
      <c r="H18" s="15">
        <f>F18*AE18</f>
        <v>0</v>
      </c>
      <c r="I18" s="15">
        <f>J18-H18</f>
        <v>0</v>
      </c>
      <c r="J18" s="15">
        <f>F18*G18</f>
        <v>0</v>
      </c>
      <c r="K18" s="15">
        <v>0</v>
      </c>
      <c r="L18" s="15">
        <f>F18*K18</f>
        <v>0</v>
      </c>
      <c r="M18" s="26" t="s">
        <v>183</v>
      </c>
      <c r="P18" s="30">
        <f>IF(AG18="5",J18,0)</f>
        <v>0</v>
      </c>
      <c r="R18" s="30">
        <f>IF(AG18="1",H18,0)</f>
        <v>0</v>
      </c>
      <c r="S18" s="30">
        <f>IF(AG18="1",I18,0)</f>
        <v>0</v>
      </c>
      <c r="T18" s="30">
        <f>IF(AG18="7",H18,0)</f>
        <v>0</v>
      </c>
      <c r="U18" s="30">
        <f>IF(AG18="7",I18,0)</f>
        <v>0</v>
      </c>
      <c r="V18" s="30">
        <f>IF(AG18="2",H18,0)</f>
        <v>0</v>
      </c>
      <c r="W18" s="30">
        <f>IF(AG18="2",I18,0)</f>
        <v>0</v>
      </c>
      <c r="X18" s="30">
        <f>IF(AG18="0",J18,0)</f>
        <v>0</v>
      </c>
      <c r="Y18" s="23"/>
      <c r="Z18" s="15">
        <f>IF(AD18=0,J18,0)</f>
        <v>0</v>
      </c>
      <c r="AA18" s="15">
        <f>IF(AD18=15,J18,0)</f>
        <v>0</v>
      </c>
      <c r="AB18" s="15">
        <f>IF(AD18=21,J18,0)</f>
        <v>0</v>
      </c>
      <c r="AD18" s="30">
        <v>21</v>
      </c>
      <c r="AE18" s="30">
        <f>G18*0</f>
        <v>0</v>
      </c>
      <c r="AF18" s="30">
        <f>G18*(1-0)</f>
        <v>0</v>
      </c>
      <c r="AG18" s="26" t="s">
        <v>7</v>
      </c>
      <c r="AM18" s="30">
        <f>F18*AE18</f>
        <v>0</v>
      </c>
      <c r="AN18" s="30">
        <f>F18*AF18</f>
        <v>0</v>
      </c>
      <c r="AO18" s="32" t="s">
        <v>196</v>
      </c>
      <c r="AP18" s="32" t="s">
        <v>212</v>
      </c>
      <c r="AQ18" s="23" t="s">
        <v>219</v>
      </c>
      <c r="AS18" s="30">
        <f>AM18+AN18</f>
        <v>0</v>
      </c>
      <c r="AT18" s="30">
        <f>G18/(100-AU18)*100</f>
        <v>0</v>
      </c>
      <c r="AU18" s="30">
        <v>0</v>
      </c>
      <c r="AV18" s="30">
        <f>L18</f>
        <v>0</v>
      </c>
    </row>
    <row r="19" spans="1:37" ht="12.75">
      <c r="A19" s="5"/>
      <c r="B19" s="12"/>
      <c r="C19" s="12" t="s">
        <v>50</v>
      </c>
      <c r="D19" s="12" t="s">
        <v>108</v>
      </c>
      <c r="E19" s="5" t="s">
        <v>6</v>
      </c>
      <c r="F19" s="5" t="s">
        <v>6</v>
      </c>
      <c r="G19" s="5"/>
      <c r="H19" s="34">
        <f>SUM(H20:H20)</f>
        <v>0</v>
      </c>
      <c r="I19" s="34">
        <f>SUM(I20:I20)</f>
        <v>0</v>
      </c>
      <c r="J19" s="34">
        <f>H19+I19</f>
        <v>0</v>
      </c>
      <c r="K19" s="23"/>
      <c r="L19" s="34">
        <f>SUM(L20:L20)</f>
        <v>3.83136</v>
      </c>
      <c r="M19" s="23"/>
      <c r="Y19" s="23"/>
      <c r="AI19" s="34">
        <f>SUM(Z20:Z20)</f>
        <v>0</v>
      </c>
      <c r="AJ19" s="34">
        <f>SUM(AA20:AA20)</f>
        <v>0</v>
      </c>
      <c r="AK19" s="34">
        <f>SUM(AB20:AB20)</f>
        <v>0</v>
      </c>
    </row>
    <row r="20" spans="1:48" ht="12.75">
      <c r="A20" s="4" t="s">
        <v>11</v>
      </c>
      <c r="B20" s="4"/>
      <c r="C20" s="4" t="s">
        <v>51</v>
      </c>
      <c r="D20" s="4" t="s">
        <v>109</v>
      </c>
      <c r="E20" s="4" t="s">
        <v>161</v>
      </c>
      <c r="F20" s="15">
        <v>2</v>
      </c>
      <c r="G20" s="15"/>
      <c r="H20" s="15">
        <f>F20*AE20</f>
        <v>0</v>
      </c>
      <c r="I20" s="15">
        <f>J20-H20</f>
        <v>0</v>
      </c>
      <c r="J20" s="15">
        <f>F20*G20</f>
        <v>0</v>
      </c>
      <c r="K20" s="15">
        <v>1.91568</v>
      </c>
      <c r="L20" s="15">
        <f>F20*K20</f>
        <v>3.83136</v>
      </c>
      <c r="M20" s="26" t="s">
        <v>183</v>
      </c>
      <c r="P20" s="30">
        <f>IF(AG20="5",J20,0)</f>
        <v>0</v>
      </c>
      <c r="R20" s="30">
        <f>IF(AG20="1",H20,0)</f>
        <v>0</v>
      </c>
      <c r="S20" s="30">
        <f>IF(AG20="1",I20,0)</f>
        <v>0</v>
      </c>
      <c r="T20" s="30">
        <f>IF(AG20="7",H20,0)</f>
        <v>0</v>
      </c>
      <c r="U20" s="30">
        <f>IF(AG20="7",I20,0)</f>
        <v>0</v>
      </c>
      <c r="V20" s="30">
        <f>IF(AG20="2",H20,0)</f>
        <v>0</v>
      </c>
      <c r="W20" s="30">
        <f>IF(AG20="2",I20,0)</f>
        <v>0</v>
      </c>
      <c r="X20" s="30">
        <f>IF(AG20="0",J20,0)</f>
        <v>0</v>
      </c>
      <c r="Y20" s="23"/>
      <c r="Z20" s="15">
        <f>IF(AD20=0,J20,0)</f>
        <v>0</v>
      </c>
      <c r="AA20" s="15">
        <f>IF(AD20=15,J20,0)</f>
        <v>0</v>
      </c>
      <c r="AB20" s="15">
        <f>IF(AD20=21,J20,0)</f>
        <v>0</v>
      </c>
      <c r="AD20" s="30">
        <v>21</v>
      </c>
      <c r="AE20" s="30">
        <f>G20*0.616198660714286</f>
        <v>0</v>
      </c>
      <c r="AF20" s="30">
        <f>G20*(1-0.616198660714286)</f>
        <v>0</v>
      </c>
      <c r="AG20" s="26" t="s">
        <v>7</v>
      </c>
      <c r="AM20" s="30">
        <f>F20*AE20</f>
        <v>0</v>
      </c>
      <c r="AN20" s="30">
        <f>F20*AF20</f>
        <v>0</v>
      </c>
      <c r="AO20" s="32" t="s">
        <v>197</v>
      </c>
      <c r="AP20" s="32" t="s">
        <v>213</v>
      </c>
      <c r="AQ20" s="23" t="s">
        <v>219</v>
      </c>
      <c r="AS20" s="30">
        <f>AM20+AN20</f>
        <v>0</v>
      </c>
      <c r="AT20" s="30">
        <f>G20/(100-AU20)*100</f>
        <v>0</v>
      </c>
      <c r="AU20" s="30">
        <v>0</v>
      </c>
      <c r="AV20" s="30">
        <f>L20</f>
        <v>3.83136</v>
      </c>
    </row>
    <row r="21" spans="1:37" ht="12.75">
      <c r="A21" s="5"/>
      <c r="B21" s="12"/>
      <c r="C21" s="12" t="s">
        <v>52</v>
      </c>
      <c r="D21" s="12" t="s">
        <v>110</v>
      </c>
      <c r="E21" s="5" t="s">
        <v>6</v>
      </c>
      <c r="F21" s="5" t="s">
        <v>6</v>
      </c>
      <c r="G21" s="5"/>
      <c r="H21" s="34">
        <f>SUM(H22:H22)</f>
        <v>0</v>
      </c>
      <c r="I21" s="34">
        <f>SUM(I22:I22)</f>
        <v>0</v>
      </c>
      <c r="J21" s="34">
        <f>H21+I21</f>
        <v>0</v>
      </c>
      <c r="K21" s="23"/>
      <c r="L21" s="34">
        <f>SUM(L22:L22)</f>
        <v>7.03764</v>
      </c>
      <c r="M21" s="23"/>
      <c r="Y21" s="23"/>
      <c r="AI21" s="34">
        <f>SUM(Z22:Z22)</f>
        <v>0</v>
      </c>
      <c r="AJ21" s="34">
        <f>SUM(AA22:AA22)</f>
        <v>0</v>
      </c>
      <c r="AK21" s="34">
        <f>SUM(AB22:AB22)</f>
        <v>0</v>
      </c>
    </row>
    <row r="22" spans="1:48" ht="12.75">
      <c r="A22" s="4" t="s">
        <v>12</v>
      </c>
      <c r="B22" s="4"/>
      <c r="C22" s="4" t="s">
        <v>53</v>
      </c>
      <c r="D22" s="4" t="s">
        <v>111</v>
      </c>
      <c r="E22" s="4" t="s">
        <v>160</v>
      </c>
      <c r="F22" s="15">
        <v>18</v>
      </c>
      <c r="G22" s="15"/>
      <c r="H22" s="15">
        <f>F22*AE22</f>
        <v>0</v>
      </c>
      <c r="I22" s="15">
        <f>J22-H22</f>
        <v>0</v>
      </c>
      <c r="J22" s="15">
        <f>F22*G22</f>
        <v>0</v>
      </c>
      <c r="K22" s="15">
        <v>0.39098</v>
      </c>
      <c r="L22" s="15">
        <f>F22*K22</f>
        <v>7.03764</v>
      </c>
      <c r="M22" s="26" t="s">
        <v>183</v>
      </c>
      <c r="P22" s="30">
        <f>IF(AG22="5",J22,0)</f>
        <v>0</v>
      </c>
      <c r="R22" s="30">
        <f>IF(AG22="1",H22,0)</f>
        <v>0</v>
      </c>
      <c r="S22" s="30">
        <f>IF(AG22="1",I22,0)</f>
        <v>0</v>
      </c>
      <c r="T22" s="30">
        <f>IF(AG22="7",H22,0)</f>
        <v>0</v>
      </c>
      <c r="U22" s="30">
        <f>IF(AG22="7",I22,0)</f>
        <v>0</v>
      </c>
      <c r="V22" s="30">
        <f>IF(AG22="2",H22,0)</f>
        <v>0</v>
      </c>
      <c r="W22" s="30">
        <f>IF(AG22="2",I22,0)</f>
        <v>0</v>
      </c>
      <c r="X22" s="30">
        <f>IF(AG22="0",J22,0)</f>
        <v>0</v>
      </c>
      <c r="Y22" s="23"/>
      <c r="Z22" s="15">
        <f>IF(AD22=0,J22,0)</f>
        <v>0</v>
      </c>
      <c r="AA22" s="15">
        <f>IF(AD22=15,J22,0)</f>
        <v>0</v>
      </c>
      <c r="AB22" s="15">
        <f>IF(AD22=21,J22,0)</f>
        <v>0</v>
      </c>
      <c r="AD22" s="30">
        <v>21</v>
      </c>
      <c r="AE22" s="30">
        <f>G22*0.555280809847129</f>
        <v>0</v>
      </c>
      <c r="AF22" s="30">
        <f>G22*(1-0.555280809847129)</f>
        <v>0</v>
      </c>
      <c r="AG22" s="26" t="s">
        <v>7</v>
      </c>
      <c r="AM22" s="30">
        <f>F22*AE22</f>
        <v>0</v>
      </c>
      <c r="AN22" s="30">
        <f>F22*AF22</f>
        <v>0</v>
      </c>
      <c r="AO22" s="32" t="s">
        <v>198</v>
      </c>
      <c r="AP22" s="32" t="s">
        <v>214</v>
      </c>
      <c r="AQ22" s="23" t="s">
        <v>219</v>
      </c>
      <c r="AS22" s="30">
        <f>AM22+AN22</f>
        <v>0</v>
      </c>
      <c r="AT22" s="30">
        <f>G22/(100-AU22)*100</f>
        <v>0</v>
      </c>
      <c r="AU22" s="30">
        <v>0</v>
      </c>
      <c r="AV22" s="30">
        <f>L22</f>
        <v>7.03764</v>
      </c>
    </row>
    <row r="23" spans="1:37" ht="12.75">
      <c r="A23" s="5"/>
      <c r="B23" s="12"/>
      <c r="C23" s="12" t="s">
        <v>54</v>
      </c>
      <c r="D23" s="12" t="s">
        <v>112</v>
      </c>
      <c r="E23" s="5" t="s">
        <v>6</v>
      </c>
      <c r="F23" s="5" t="s">
        <v>6</v>
      </c>
      <c r="G23" s="5"/>
      <c r="H23" s="34">
        <f>SUM(H24:H25)</f>
        <v>0</v>
      </c>
      <c r="I23" s="34">
        <f>SUM(I24:I25)</f>
        <v>0</v>
      </c>
      <c r="J23" s="34">
        <f>H23+I23</f>
        <v>0</v>
      </c>
      <c r="K23" s="23"/>
      <c r="L23" s="34">
        <f>SUM(L24:L25)</f>
        <v>30.48354</v>
      </c>
      <c r="M23" s="23"/>
      <c r="Y23" s="23"/>
      <c r="AI23" s="34">
        <f>SUM(Z24:Z25)</f>
        <v>0</v>
      </c>
      <c r="AJ23" s="34">
        <f>SUM(AA24:AA25)</f>
        <v>0</v>
      </c>
      <c r="AK23" s="34">
        <f>SUM(AB24:AB25)</f>
        <v>0</v>
      </c>
    </row>
    <row r="24" spans="1:48" ht="12.75">
      <c r="A24" s="4" t="s">
        <v>13</v>
      </c>
      <c r="B24" s="4"/>
      <c r="C24" s="4" t="s">
        <v>55</v>
      </c>
      <c r="D24" s="4" t="s">
        <v>113</v>
      </c>
      <c r="E24" s="4" t="s">
        <v>160</v>
      </c>
      <c r="F24" s="15">
        <v>18</v>
      </c>
      <c r="G24" s="15"/>
      <c r="H24" s="15">
        <f>F24*AE24</f>
        <v>0</v>
      </c>
      <c r="I24" s="15">
        <f>J24-H24</f>
        <v>0</v>
      </c>
      <c r="J24" s="15">
        <f>F24*G24</f>
        <v>0</v>
      </c>
      <c r="K24" s="15">
        <v>0.49977</v>
      </c>
      <c r="L24" s="15">
        <f>F24*K24</f>
        <v>8.99586</v>
      </c>
      <c r="M24" s="26" t="s">
        <v>183</v>
      </c>
      <c r="P24" s="30">
        <f>IF(AG24="5",J24,0)</f>
        <v>0</v>
      </c>
      <c r="R24" s="30">
        <f>IF(AG24="1",H24,0)</f>
        <v>0</v>
      </c>
      <c r="S24" s="30">
        <f>IF(AG24="1",I24,0)</f>
        <v>0</v>
      </c>
      <c r="T24" s="30">
        <f>IF(AG24="7",H24,0)</f>
        <v>0</v>
      </c>
      <c r="U24" s="30">
        <f>IF(AG24="7",I24,0)</f>
        <v>0</v>
      </c>
      <c r="V24" s="30">
        <f>IF(AG24="2",H24,0)</f>
        <v>0</v>
      </c>
      <c r="W24" s="30">
        <f>IF(AG24="2",I24,0)</f>
        <v>0</v>
      </c>
      <c r="X24" s="30">
        <f>IF(AG24="0",J24,0)</f>
        <v>0</v>
      </c>
      <c r="Y24" s="23"/>
      <c r="Z24" s="15">
        <f>IF(AD24=0,J24,0)</f>
        <v>0</v>
      </c>
      <c r="AA24" s="15">
        <f>IF(AD24=15,J24,0)</f>
        <v>0</v>
      </c>
      <c r="AB24" s="15">
        <f>IF(AD24=21,J24,0)</f>
        <v>0</v>
      </c>
      <c r="AD24" s="30">
        <v>21</v>
      </c>
      <c r="AE24" s="30">
        <f>G24*0.594441087613293</f>
        <v>0</v>
      </c>
      <c r="AF24" s="30">
        <f>G24*(1-0.594441087613293)</f>
        <v>0</v>
      </c>
      <c r="AG24" s="26" t="s">
        <v>7</v>
      </c>
      <c r="AM24" s="30">
        <f>F24*AE24</f>
        <v>0</v>
      </c>
      <c r="AN24" s="30">
        <f>F24*AF24</f>
        <v>0</v>
      </c>
      <c r="AO24" s="32" t="s">
        <v>199</v>
      </c>
      <c r="AP24" s="32" t="s">
        <v>214</v>
      </c>
      <c r="AQ24" s="23" t="s">
        <v>219</v>
      </c>
      <c r="AS24" s="30">
        <f>AM24+AN24</f>
        <v>0</v>
      </c>
      <c r="AT24" s="30">
        <f>G24/(100-AU24)*100</f>
        <v>0</v>
      </c>
      <c r="AU24" s="30">
        <v>0</v>
      </c>
      <c r="AV24" s="30">
        <f>L24</f>
        <v>8.99586</v>
      </c>
    </row>
    <row r="25" spans="1:48" ht="12.75">
      <c r="A25" s="4" t="s">
        <v>14</v>
      </c>
      <c r="B25" s="4"/>
      <c r="C25" s="4" t="s">
        <v>56</v>
      </c>
      <c r="D25" s="4" t="s">
        <v>114</v>
      </c>
      <c r="E25" s="4" t="s">
        <v>160</v>
      </c>
      <c r="F25" s="15">
        <v>32</v>
      </c>
      <c r="G25" s="15"/>
      <c r="H25" s="15">
        <f>F25*AE25</f>
        <v>0</v>
      </c>
      <c r="I25" s="15">
        <f>J25-H25</f>
        <v>0</v>
      </c>
      <c r="J25" s="15">
        <f>F25*G25</f>
        <v>0</v>
      </c>
      <c r="K25" s="15">
        <v>0.67149</v>
      </c>
      <c r="L25" s="15">
        <f>F25*K25</f>
        <v>21.48768</v>
      </c>
      <c r="M25" s="26" t="s">
        <v>183</v>
      </c>
      <c r="P25" s="30">
        <f>IF(AG25="5",J25,0)</f>
        <v>0</v>
      </c>
      <c r="R25" s="30">
        <f>IF(AG25="1",H25,0)</f>
        <v>0</v>
      </c>
      <c r="S25" s="30">
        <f>IF(AG25="1",I25,0)</f>
        <v>0</v>
      </c>
      <c r="T25" s="30">
        <f>IF(AG25="7",H25,0)</f>
        <v>0</v>
      </c>
      <c r="U25" s="30">
        <f>IF(AG25="7",I25,0)</f>
        <v>0</v>
      </c>
      <c r="V25" s="30">
        <f>IF(AG25="2",H25,0)</f>
        <v>0</v>
      </c>
      <c r="W25" s="30">
        <f>IF(AG25="2",I25,0)</f>
        <v>0</v>
      </c>
      <c r="X25" s="30">
        <f>IF(AG25="0",J25,0)</f>
        <v>0</v>
      </c>
      <c r="Y25" s="23"/>
      <c r="Z25" s="15">
        <f>IF(AD25=0,J25,0)</f>
        <v>0</v>
      </c>
      <c r="AA25" s="15">
        <f>IF(AD25=15,J25,0)</f>
        <v>0</v>
      </c>
      <c r="AB25" s="15">
        <f>IF(AD25=21,J25,0)</f>
        <v>0</v>
      </c>
      <c r="AD25" s="30">
        <v>21</v>
      </c>
      <c r="AE25" s="30">
        <f>G25*0.573789257651205</f>
        <v>0</v>
      </c>
      <c r="AF25" s="30">
        <f>G25*(1-0.573789257651205)</f>
        <v>0</v>
      </c>
      <c r="AG25" s="26" t="s">
        <v>7</v>
      </c>
      <c r="AM25" s="30">
        <f>F25*AE25</f>
        <v>0</v>
      </c>
      <c r="AN25" s="30">
        <f>F25*AF25</f>
        <v>0</v>
      </c>
      <c r="AO25" s="32" t="s">
        <v>199</v>
      </c>
      <c r="AP25" s="32" t="s">
        <v>214</v>
      </c>
      <c r="AQ25" s="23" t="s">
        <v>219</v>
      </c>
      <c r="AS25" s="30">
        <f>AM25+AN25</f>
        <v>0</v>
      </c>
      <c r="AT25" s="30">
        <f>G25/(100-AU25)*100</f>
        <v>0</v>
      </c>
      <c r="AU25" s="30">
        <v>0</v>
      </c>
      <c r="AV25" s="30">
        <f>L25</f>
        <v>21.48768</v>
      </c>
    </row>
    <row r="26" spans="1:37" ht="12.75">
      <c r="A26" s="5"/>
      <c r="B26" s="12"/>
      <c r="C26" s="12" t="s">
        <v>57</v>
      </c>
      <c r="D26" s="12" t="s">
        <v>115</v>
      </c>
      <c r="E26" s="5" t="s">
        <v>6</v>
      </c>
      <c r="F26" s="5" t="s">
        <v>6</v>
      </c>
      <c r="G26" s="5"/>
      <c r="H26" s="34">
        <f>SUM(H27:H27)</f>
        <v>0</v>
      </c>
      <c r="I26" s="34">
        <f>SUM(I27:I27)</f>
        <v>0</v>
      </c>
      <c r="J26" s="34">
        <f>H26+I26</f>
        <v>0</v>
      </c>
      <c r="K26" s="23"/>
      <c r="L26" s="34">
        <f>SUM(L27:L27)</f>
        <v>2.73726</v>
      </c>
      <c r="M26" s="23"/>
      <c r="Y26" s="23"/>
      <c r="AI26" s="34">
        <f>SUM(Z27:Z27)</f>
        <v>0</v>
      </c>
      <c r="AJ26" s="34">
        <f>SUM(AA27:AA27)</f>
        <v>0</v>
      </c>
      <c r="AK26" s="34">
        <f>SUM(AB27:AB27)</f>
        <v>0</v>
      </c>
    </row>
    <row r="27" spans="1:48" ht="12.75">
      <c r="A27" s="4" t="s">
        <v>15</v>
      </c>
      <c r="B27" s="4"/>
      <c r="C27" s="4" t="s">
        <v>58</v>
      </c>
      <c r="D27" s="4" t="s">
        <v>116</v>
      </c>
      <c r="E27" s="4" t="s">
        <v>160</v>
      </c>
      <c r="F27" s="15">
        <v>54.8</v>
      </c>
      <c r="G27" s="15"/>
      <c r="H27" s="15">
        <f>F27*AE27</f>
        <v>0</v>
      </c>
      <c r="I27" s="15">
        <f>J27-H27</f>
        <v>0</v>
      </c>
      <c r="J27" s="15">
        <f>F27*G27</f>
        <v>0</v>
      </c>
      <c r="K27" s="15">
        <v>0.04995</v>
      </c>
      <c r="L27" s="15">
        <f>F27*K27</f>
        <v>2.73726</v>
      </c>
      <c r="M27" s="26" t="s">
        <v>183</v>
      </c>
      <c r="P27" s="30">
        <f>IF(AG27="5",J27,0)</f>
        <v>0</v>
      </c>
      <c r="R27" s="30">
        <f>IF(AG27="1",H27,0)</f>
        <v>0</v>
      </c>
      <c r="S27" s="30">
        <f>IF(AG27="1",I27,0)</f>
        <v>0</v>
      </c>
      <c r="T27" s="30">
        <f>IF(AG27="7",H27,0)</f>
        <v>0</v>
      </c>
      <c r="U27" s="30">
        <f>IF(AG27="7",I27,0)</f>
        <v>0</v>
      </c>
      <c r="V27" s="30">
        <f>IF(AG27="2",H27,0)</f>
        <v>0</v>
      </c>
      <c r="W27" s="30">
        <f>IF(AG27="2",I27,0)</f>
        <v>0</v>
      </c>
      <c r="X27" s="30">
        <f>IF(AG27="0",J27,0)</f>
        <v>0</v>
      </c>
      <c r="Y27" s="23"/>
      <c r="Z27" s="15">
        <f>IF(AD27=0,J27,0)</f>
        <v>0</v>
      </c>
      <c r="AA27" s="15">
        <f>IF(AD27=15,J27,0)</f>
        <v>0</v>
      </c>
      <c r="AB27" s="15">
        <f>IF(AD27=21,J27,0)</f>
        <v>0</v>
      </c>
      <c r="AD27" s="30">
        <v>21</v>
      </c>
      <c r="AE27" s="30">
        <f>G27*0.832213390969257</f>
        <v>0</v>
      </c>
      <c r="AF27" s="30">
        <f>G27*(1-0.832213390969257)</f>
        <v>0</v>
      </c>
      <c r="AG27" s="26" t="s">
        <v>7</v>
      </c>
      <c r="AM27" s="30">
        <f>F27*AE27</f>
        <v>0</v>
      </c>
      <c r="AN27" s="30">
        <f>F27*AF27</f>
        <v>0</v>
      </c>
      <c r="AO27" s="32" t="s">
        <v>200</v>
      </c>
      <c r="AP27" s="32" t="s">
        <v>215</v>
      </c>
      <c r="AQ27" s="23" t="s">
        <v>219</v>
      </c>
      <c r="AS27" s="30">
        <f>AM27+AN27</f>
        <v>0</v>
      </c>
      <c r="AT27" s="30">
        <f>G27/(100-AU27)*100</f>
        <v>0</v>
      </c>
      <c r="AU27" s="30">
        <v>0</v>
      </c>
      <c r="AV27" s="30">
        <f>L27</f>
        <v>2.73726</v>
      </c>
    </row>
    <row r="28" spans="1:37" ht="12.75">
      <c r="A28" s="5"/>
      <c r="B28" s="12"/>
      <c r="C28" s="12" t="s">
        <v>59</v>
      </c>
      <c r="D28" s="12" t="s">
        <v>117</v>
      </c>
      <c r="E28" s="5" t="s">
        <v>6</v>
      </c>
      <c r="F28" s="5" t="s">
        <v>6</v>
      </c>
      <c r="G28" s="5"/>
      <c r="H28" s="34">
        <f>SUM(H29:H32)</f>
        <v>0</v>
      </c>
      <c r="I28" s="34">
        <f>SUM(I29:I32)</f>
        <v>0</v>
      </c>
      <c r="J28" s="34">
        <f>H28+I28</f>
        <v>0</v>
      </c>
      <c r="K28" s="23"/>
      <c r="L28" s="34">
        <f>SUM(L29:L32)</f>
        <v>12.766763999999998</v>
      </c>
      <c r="M28" s="23"/>
      <c r="Y28" s="23"/>
      <c r="AI28" s="34">
        <f>SUM(Z29:Z32)</f>
        <v>0</v>
      </c>
      <c r="AJ28" s="34">
        <f>SUM(AA29:AA32)</f>
        <v>0</v>
      </c>
      <c r="AK28" s="34">
        <f>SUM(AB29:AB32)</f>
        <v>0</v>
      </c>
    </row>
    <row r="29" spans="1:48" ht="12.75">
      <c r="A29" s="4" t="s">
        <v>16</v>
      </c>
      <c r="B29" s="4"/>
      <c r="C29" s="4" t="s">
        <v>60</v>
      </c>
      <c r="D29" s="4" t="s">
        <v>118</v>
      </c>
      <c r="E29" s="4" t="s">
        <v>160</v>
      </c>
      <c r="F29" s="15">
        <v>92</v>
      </c>
      <c r="G29" s="15"/>
      <c r="H29" s="15">
        <f>F29*AE29</f>
        <v>0</v>
      </c>
      <c r="I29" s="15">
        <f>J29-H29</f>
        <v>0</v>
      </c>
      <c r="J29" s="15">
        <f>F29*G29</f>
        <v>0</v>
      </c>
      <c r="K29" s="15">
        <v>4E-05</v>
      </c>
      <c r="L29" s="15">
        <f>F29*K29</f>
        <v>0.00368</v>
      </c>
      <c r="M29" s="26" t="s">
        <v>183</v>
      </c>
      <c r="P29" s="30">
        <f>IF(AG29="5",J29,0)</f>
        <v>0</v>
      </c>
      <c r="R29" s="30">
        <f>IF(AG29="1",H29,0)</f>
        <v>0</v>
      </c>
      <c r="S29" s="30">
        <f>IF(AG29="1",I29,0)</f>
        <v>0</v>
      </c>
      <c r="T29" s="30">
        <f>IF(AG29="7",H29,0)</f>
        <v>0</v>
      </c>
      <c r="U29" s="30">
        <f>IF(AG29="7",I29,0)</f>
        <v>0</v>
      </c>
      <c r="V29" s="30">
        <f>IF(AG29="2",H29,0)</f>
        <v>0</v>
      </c>
      <c r="W29" s="30">
        <f>IF(AG29="2",I29,0)</f>
        <v>0</v>
      </c>
      <c r="X29" s="30">
        <f>IF(AG29="0",J29,0)</f>
        <v>0</v>
      </c>
      <c r="Y29" s="23"/>
      <c r="Z29" s="15">
        <f>IF(AD29=0,J29,0)</f>
        <v>0</v>
      </c>
      <c r="AA29" s="15">
        <f>IF(AD29=15,J29,0)</f>
        <v>0</v>
      </c>
      <c r="AB29" s="15">
        <f>IF(AD29=21,J29,0)</f>
        <v>0</v>
      </c>
      <c r="AD29" s="30">
        <v>21</v>
      </c>
      <c r="AE29" s="30">
        <f>G29*0.320145631067961</f>
        <v>0</v>
      </c>
      <c r="AF29" s="30">
        <f>G29*(1-0.320145631067961)</f>
        <v>0</v>
      </c>
      <c r="AG29" s="26" t="s">
        <v>7</v>
      </c>
      <c r="AM29" s="30">
        <f>F29*AE29</f>
        <v>0</v>
      </c>
      <c r="AN29" s="30">
        <f>F29*AF29</f>
        <v>0</v>
      </c>
      <c r="AO29" s="32" t="s">
        <v>201</v>
      </c>
      <c r="AP29" s="32" t="s">
        <v>215</v>
      </c>
      <c r="AQ29" s="23" t="s">
        <v>219</v>
      </c>
      <c r="AS29" s="30">
        <f>AM29+AN29</f>
        <v>0</v>
      </c>
      <c r="AT29" s="30">
        <f>G29/(100-AU29)*100</f>
        <v>0</v>
      </c>
      <c r="AU29" s="30">
        <v>0</v>
      </c>
      <c r="AV29" s="30">
        <f>L29</f>
        <v>0.00368</v>
      </c>
    </row>
    <row r="30" spans="1:48" ht="12.75">
      <c r="A30" s="4" t="s">
        <v>17</v>
      </c>
      <c r="B30" s="4"/>
      <c r="C30" s="4" t="s">
        <v>61</v>
      </c>
      <c r="D30" s="4" t="s">
        <v>119</v>
      </c>
      <c r="E30" s="4" t="s">
        <v>160</v>
      </c>
      <c r="F30" s="15">
        <v>225.5</v>
      </c>
      <c r="G30" s="15"/>
      <c r="H30" s="15">
        <f>F30*AE30</f>
        <v>0</v>
      </c>
      <c r="I30" s="15">
        <f>J30-H30</f>
        <v>0</v>
      </c>
      <c r="J30" s="15">
        <f>F30*G30</f>
        <v>0</v>
      </c>
      <c r="K30" s="15">
        <v>0.05366</v>
      </c>
      <c r="L30" s="15">
        <f>F30*K30</f>
        <v>12.10033</v>
      </c>
      <c r="M30" s="26" t="s">
        <v>183</v>
      </c>
      <c r="P30" s="30">
        <f>IF(AG30="5",J30,0)</f>
        <v>0</v>
      </c>
      <c r="R30" s="30">
        <f>IF(AG30="1",H30,0)</f>
        <v>0</v>
      </c>
      <c r="S30" s="30">
        <f>IF(AG30="1",I30,0)</f>
        <v>0</v>
      </c>
      <c r="T30" s="30">
        <f>IF(AG30="7",H30,0)</f>
        <v>0</v>
      </c>
      <c r="U30" s="30">
        <f>IF(AG30="7",I30,0)</f>
        <v>0</v>
      </c>
      <c r="V30" s="30">
        <f>IF(AG30="2",H30,0)</f>
        <v>0</v>
      </c>
      <c r="W30" s="30">
        <f>IF(AG30="2",I30,0)</f>
        <v>0</v>
      </c>
      <c r="X30" s="30">
        <f>IF(AG30="0",J30,0)</f>
        <v>0</v>
      </c>
      <c r="Y30" s="23"/>
      <c r="Z30" s="15">
        <f>IF(AD30=0,J30,0)</f>
        <v>0</v>
      </c>
      <c r="AA30" s="15">
        <f>IF(AD30=15,J30,0)</f>
        <v>0</v>
      </c>
      <c r="AB30" s="15">
        <f>IF(AD30=21,J30,0)</f>
        <v>0</v>
      </c>
      <c r="AD30" s="30">
        <v>21</v>
      </c>
      <c r="AE30" s="30">
        <f>G30*0.497911877394636</f>
        <v>0</v>
      </c>
      <c r="AF30" s="30">
        <f>G30*(1-0.497911877394636)</f>
        <v>0</v>
      </c>
      <c r="AG30" s="26" t="s">
        <v>7</v>
      </c>
      <c r="AM30" s="30">
        <f>F30*AE30</f>
        <v>0</v>
      </c>
      <c r="AN30" s="30">
        <f>F30*AF30</f>
        <v>0</v>
      </c>
      <c r="AO30" s="32" t="s">
        <v>201</v>
      </c>
      <c r="AP30" s="32" t="s">
        <v>215</v>
      </c>
      <c r="AQ30" s="23" t="s">
        <v>219</v>
      </c>
      <c r="AS30" s="30">
        <f>AM30+AN30</f>
        <v>0</v>
      </c>
      <c r="AT30" s="30">
        <f>G30/(100-AU30)*100</f>
        <v>0</v>
      </c>
      <c r="AU30" s="30">
        <v>0</v>
      </c>
      <c r="AV30" s="30">
        <f>L30</f>
        <v>12.10033</v>
      </c>
    </row>
    <row r="31" spans="1:48" ht="12.75">
      <c r="A31" s="4" t="s">
        <v>18</v>
      </c>
      <c r="B31" s="4"/>
      <c r="C31" s="4" t="s">
        <v>62</v>
      </c>
      <c r="D31" s="4" t="s">
        <v>120</v>
      </c>
      <c r="E31" s="4" t="s">
        <v>160</v>
      </c>
      <c r="F31" s="15">
        <v>1042.6</v>
      </c>
      <c r="G31" s="15"/>
      <c r="H31" s="15">
        <f>F31*AE31</f>
        <v>0</v>
      </c>
      <c r="I31" s="15">
        <f>J31-H31</f>
        <v>0</v>
      </c>
      <c r="J31" s="15">
        <f>F31*G31</f>
        <v>0</v>
      </c>
      <c r="K31" s="15">
        <v>0.00062</v>
      </c>
      <c r="L31" s="15">
        <f>F31*K31</f>
        <v>0.646412</v>
      </c>
      <c r="M31" s="26" t="s">
        <v>183</v>
      </c>
      <c r="P31" s="30">
        <f>IF(AG31="5",J31,0)</f>
        <v>0</v>
      </c>
      <c r="R31" s="30">
        <f>IF(AG31="1",H31,0)</f>
        <v>0</v>
      </c>
      <c r="S31" s="30">
        <f>IF(AG31="1",I31,0)</f>
        <v>0</v>
      </c>
      <c r="T31" s="30">
        <f>IF(AG31="7",H31,0)</f>
        <v>0</v>
      </c>
      <c r="U31" s="30">
        <f>IF(AG31="7",I31,0)</f>
        <v>0</v>
      </c>
      <c r="V31" s="30">
        <f>IF(AG31="2",H31,0)</f>
        <v>0</v>
      </c>
      <c r="W31" s="30">
        <f>IF(AG31="2",I31,0)</f>
        <v>0</v>
      </c>
      <c r="X31" s="30">
        <f>IF(AG31="0",J31,0)</f>
        <v>0</v>
      </c>
      <c r="Y31" s="23"/>
      <c r="Z31" s="15">
        <f>IF(AD31=0,J31,0)</f>
        <v>0</v>
      </c>
      <c r="AA31" s="15">
        <f>IF(AD31=15,J31,0)</f>
        <v>0</v>
      </c>
      <c r="AB31" s="15">
        <f>IF(AD31=21,J31,0)</f>
        <v>0</v>
      </c>
      <c r="AD31" s="30">
        <v>21</v>
      </c>
      <c r="AE31" s="30">
        <f>G31*0.420921052631579</f>
        <v>0</v>
      </c>
      <c r="AF31" s="30">
        <f>G31*(1-0.420921052631579)</f>
        <v>0</v>
      </c>
      <c r="AG31" s="26" t="s">
        <v>7</v>
      </c>
      <c r="AM31" s="30">
        <f>F31*AE31</f>
        <v>0</v>
      </c>
      <c r="AN31" s="30">
        <f>F31*AF31</f>
        <v>0</v>
      </c>
      <c r="AO31" s="32" t="s">
        <v>201</v>
      </c>
      <c r="AP31" s="32" t="s">
        <v>215</v>
      </c>
      <c r="AQ31" s="23" t="s">
        <v>219</v>
      </c>
      <c r="AS31" s="30">
        <f>AM31+AN31</f>
        <v>0</v>
      </c>
      <c r="AT31" s="30">
        <f>G31/(100-AU31)*100</f>
        <v>0</v>
      </c>
      <c r="AU31" s="30">
        <v>0</v>
      </c>
      <c r="AV31" s="30">
        <f>L31</f>
        <v>0.646412</v>
      </c>
    </row>
    <row r="32" spans="1:48" ht="12.75">
      <c r="A32" s="4" t="s">
        <v>19</v>
      </c>
      <c r="B32" s="4"/>
      <c r="C32" s="4" t="s">
        <v>63</v>
      </c>
      <c r="D32" s="4" t="s">
        <v>121</v>
      </c>
      <c r="E32" s="4" t="s">
        <v>160</v>
      </c>
      <c r="F32" s="15">
        <v>817.1</v>
      </c>
      <c r="G32" s="15"/>
      <c r="H32" s="15">
        <f>F32*AE32</f>
        <v>0</v>
      </c>
      <c r="I32" s="15">
        <f>J32-H32</f>
        <v>0</v>
      </c>
      <c r="J32" s="15">
        <f>F32*G32</f>
        <v>0</v>
      </c>
      <c r="K32" s="15">
        <v>2E-05</v>
      </c>
      <c r="L32" s="15">
        <f>F32*K32</f>
        <v>0.016342000000000002</v>
      </c>
      <c r="M32" s="26" t="s">
        <v>183</v>
      </c>
      <c r="P32" s="30">
        <f>IF(AG32="5",J32,0)</f>
        <v>0</v>
      </c>
      <c r="R32" s="30">
        <f>IF(AG32="1",H32,0)</f>
        <v>0</v>
      </c>
      <c r="S32" s="30">
        <f>IF(AG32="1",I32,0)</f>
        <v>0</v>
      </c>
      <c r="T32" s="30">
        <f>IF(AG32="7",H32,0)</f>
        <v>0</v>
      </c>
      <c r="U32" s="30">
        <f>IF(AG32="7",I32,0)</f>
        <v>0</v>
      </c>
      <c r="V32" s="30">
        <f>IF(AG32="2",H32,0)</f>
        <v>0</v>
      </c>
      <c r="W32" s="30">
        <f>IF(AG32="2",I32,0)</f>
        <v>0</v>
      </c>
      <c r="X32" s="30">
        <f>IF(AG32="0",J32,0)</f>
        <v>0</v>
      </c>
      <c r="Y32" s="23"/>
      <c r="Z32" s="15">
        <f>IF(AD32=0,J32,0)</f>
        <v>0</v>
      </c>
      <c r="AA32" s="15">
        <f>IF(AD32=15,J32,0)</f>
        <v>0</v>
      </c>
      <c r="AB32" s="15">
        <f>IF(AD32=21,J32,0)</f>
        <v>0</v>
      </c>
      <c r="AD32" s="30">
        <v>21</v>
      </c>
      <c r="AE32" s="30">
        <f>G32*0.0709943109063403</f>
        <v>0</v>
      </c>
      <c r="AF32" s="30">
        <f>G32*(1-0.0709943109063403)</f>
        <v>0</v>
      </c>
      <c r="AG32" s="26" t="s">
        <v>7</v>
      </c>
      <c r="AM32" s="30">
        <f>F32*AE32</f>
        <v>0</v>
      </c>
      <c r="AN32" s="30">
        <f>F32*AF32</f>
        <v>0</v>
      </c>
      <c r="AO32" s="32" t="s">
        <v>201</v>
      </c>
      <c r="AP32" s="32" t="s">
        <v>215</v>
      </c>
      <c r="AQ32" s="23" t="s">
        <v>219</v>
      </c>
      <c r="AS32" s="30">
        <f>AM32+AN32</f>
        <v>0</v>
      </c>
      <c r="AT32" s="30">
        <f>G32/(100-AU32)*100</f>
        <v>0</v>
      </c>
      <c r="AU32" s="30">
        <v>0</v>
      </c>
      <c r="AV32" s="30">
        <f>L32</f>
        <v>0.016342000000000002</v>
      </c>
    </row>
    <row r="33" spans="1:37" ht="12.75">
      <c r="A33" s="5"/>
      <c r="B33" s="12"/>
      <c r="C33" s="12" t="s">
        <v>64</v>
      </c>
      <c r="D33" s="12" t="s">
        <v>122</v>
      </c>
      <c r="E33" s="5" t="s">
        <v>6</v>
      </c>
      <c r="F33" s="5" t="s">
        <v>6</v>
      </c>
      <c r="G33" s="5"/>
      <c r="H33" s="34">
        <f>SUM(H34:H36)</f>
        <v>0</v>
      </c>
      <c r="I33" s="34">
        <f>SUM(I34:I36)</f>
        <v>0</v>
      </c>
      <c r="J33" s="34">
        <f>H33+I33</f>
        <v>0</v>
      </c>
      <c r="K33" s="23"/>
      <c r="L33" s="34">
        <f>SUM(L34:L36)</f>
        <v>1.70105</v>
      </c>
      <c r="M33" s="23"/>
      <c r="Y33" s="23"/>
      <c r="AI33" s="34">
        <f>SUM(Z34:Z36)</f>
        <v>0</v>
      </c>
      <c r="AJ33" s="34">
        <f>SUM(AA34:AA36)</f>
        <v>0</v>
      </c>
      <c r="AK33" s="34">
        <f>SUM(AB34:AB36)</f>
        <v>0</v>
      </c>
    </row>
    <row r="34" spans="1:48" ht="12.75">
      <c r="A34" s="4" t="s">
        <v>20</v>
      </c>
      <c r="B34" s="4"/>
      <c r="C34" s="4" t="s">
        <v>65</v>
      </c>
      <c r="D34" s="4" t="s">
        <v>123</v>
      </c>
      <c r="E34" s="4" t="s">
        <v>162</v>
      </c>
      <c r="F34" s="15">
        <v>89</v>
      </c>
      <c r="G34" s="15"/>
      <c r="H34" s="15">
        <f>F34*AE34</f>
        <v>0</v>
      </c>
      <c r="I34" s="15">
        <f>J34-H34</f>
        <v>0</v>
      </c>
      <c r="J34" s="15">
        <f>F34*G34</f>
        <v>0</v>
      </c>
      <c r="K34" s="15">
        <v>0.00299</v>
      </c>
      <c r="L34" s="15">
        <f>F34*K34</f>
        <v>0.26611</v>
      </c>
      <c r="M34" s="26" t="s">
        <v>183</v>
      </c>
      <c r="P34" s="30">
        <f>IF(AG34="5",J34,0)</f>
        <v>0</v>
      </c>
      <c r="R34" s="30">
        <f>IF(AG34="1",H34,0)</f>
        <v>0</v>
      </c>
      <c r="S34" s="30">
        <f>IF(AG34="1",I34,0)</f>
        <v>0</v>
      </c>
      <c r="T34" s="30">
        <f>IF(AG34="7",H34,0)</f>
        <v>0</v>
      </c>
      <c r="U34" s="30">
        <f>IF(AG34="7",I34,0)</f>
        <v>0</v>
      </c>
      <c r="V34" s="30">
        <f>IF(AG34="2",H34,0)</f>
        <v>0</v>
      </c>
      <c r="W34" s="30">
        <f>IF(AG34="2",I34,0)</f>
        <v>0</v>
      </c>
      <c r="X34" s="30">
        <f>IF(AG34="0",J34,0)</f>
        <v>0</v>
      </c>
      <c r="Y34" s="23"/>
      <c r="Z34" s="15">
        <f>IF(AD34=0,J34,0)</f>
        <v>0</v>
      </c>
      <c r="AA34" s="15">
        <f>IF(AD34=15,J34,0)</f>
        <v>0</v>
      </c>
      <c r="AB34" s="15">
        <f>IF(AD34=21,J34,0)</f>
        <v>0</v>
      </c>
      <c r="AD34" s="30">
        <v>21</v>
      </c>
      <c r="AE34" s="30">
        <f>G34*0.350659722222222</f>
        <v>0</v>
      </c>
      <c r="AF34" s="30">
        <f>G34*(1-0.350659722222222)</f>
        <v>0</v>
      </c>
      <c r="AG34" s="26" t="s">
        <v>13</v>
      </c>
      <c r="AM34" s="30">
        <f>F34*AE34</f>
        <v>0</v>
      </c>
      <c r="AN34" s="30">
        <f>F34*AF34</f>
        <v>0</v>
      </c>
      <c r="AO34" s="32" t="s">
        <v>202</v>
      </c>
      <c r="AP34" s="32" t="s">
        <v>216</v>
      </c>
      <c r="AQ34" s="23" t="s">
        <v>219</v>
      </c>
      <c r="AS34" s="30">
        <f>AM34+AN34</f>
        <v>0</v>
      </c>
      <c r="AT34" s="30">
        <f>G34/(100-AU34)*100</f>
        <v>0</v>
      </c>
      <c r="AU34" s="30">
        <v>0</v>
      </c>
      <c r="AV34" s="30">
        <f>L34</f>
        <v>0.26611</v>
      </c>
    </row>
    <row r="35" spans="1:48" ht="12.75">
      <c r="A35" s="4" t="s">
        <v>21</v>
      </c>
      <c r="B35" s="4"/>
      <c r="C35" s="4" t="s">
        <v>66</v>
      </c>
      <c r="D35" s="4" t="s">
        <v>124</v>
      </c>
      <c r="E35" s="4" t="s">
        <v>160</v>
      </c>
      <c r="F35" s="15">
        <v>60</v>
      </c>
      <c r="G35" s="15"/>
      <c r="H35" s="15">
        <f>F35*AE35</f>
        <v>0</v>
      </c>
      <c r="I35" s="15">
        <f>J35-H35</f>
        <v>0</v>
      </c>
      <c r="J35" s="15">
        <f>F35*G35</f>
        <v>0</v>
      </c>
      <c r="K35" s="15">
        <v>0.01731</v>
      </c>
      <c r="L35" s="15">
        <f>F35*K35</f>
        <v>1.0386</v>
      </c>
      <c r="M35" s="26" t="s">
        <v>183</v>
      </c>
      <c r="P35" s="30">
        <f>IF(AG35="5",J35,0)</f>
        <v>0</v>
      </c>
      <c r="R35" s="30">
        <f>IF(AG35="1",H35,0)</f>
        <v>0</v>
      </c>
      <c r="S35" s="30">
        <f>IF(AG35="1",I35,0)</f>
        <v>0</v>
      </c>
      <c r="T35" s="30">
        <f>IF(AG35="7",H35,0)</f>
        <v>0</v>
      </c>
      <c r="U35" s="30">
        <f>IF(AG35="7",I35,0)</f>
        <v>0</v>
      </c>
      <c r="V35" s="30">
        <f>IF(AG35="2",H35,0)</f>
        <v>0</v>
      </c>
      <c r="W35" s="30">
        <f>IF(AG35="2",I35,0)</f>
        <v>0</v>
      </c>
      <c r="X35" s="30">
        <f>IF(AG35="0",J35,0)</f>
        <v>0</v>
      </c>
      <c r="Y35" s="23"/>
      <c r="Z35" s="15">
        <f>IF(AD35=0,J35,0)</f>
        <v>0</v>
      </c>
      <c r="AA35" s="15">
        <f>IF(AD35=15,J35,0)</f>
        <v>0</v>
      </c>
      <c r="AB35" s="15">
        <f>IF(AD35=21,J35,0)</f>
        <v>0</v>
      </c>
      <c r="AD35" s="30">
        <v>21</v>
      </c>
      <c r="AE35" s="30">
        <f>G35*0.534376623376623</f>
        <v>0</v>
      </c>
      <c r="AF35" s="30">
        <f>G35*(1-0.534376623376623)</f>
        <v>0</v>
      </c>
      <c r="AG35" s="26" t="s">
        <v>13</v>
      </c>
      <c r="AM35" s="30">
        <f>F35*AE35</f>
        <v>0</v>
      </c>
      <c r="AN35" s="30">
        <f>F35*AF35</f>
        <v>0</v>
      </c>
      <c r="AO35" s="32" t="s">
        <v>202</v>
      </c>
      <c r="AP35" s="32" t="s">
        <v>216</v>
      </c>
      <c r="AQ35" s="23" t="s">
        <v>219</v>
      </c>
      <c r="AS35" s="30">
        <f>AM35+AN35</f>
        <v>0</v>
      </c>
      <c r="AT35" s="30">
        <f>G35/(100-AU35)*100</f>
        <v>0</v>
      </c>
      <c r="AU35" s="30">
        <v>0</v>
      </c>
      <c r="AV35" s="30">
        <f>L35</f>
        <v>1.0386</v>
      </c>
    </row>
    <row r="36" spans="1:48" ht="12.75">
      <c r="A36" s="4" t="s">
        <v>22</v>
      </c>
      <c r="B36" s="4"/>
      <c r="C36" s="4" t="s">
        <v>67</v>
      </c>
      <c r="D36" s="4" t="s">
        <v>125</v>
      </c>
      <c r="E36" s="4" t="s">
        <v>162</v>
      </c>
      <c r="F36" s="15">
        <v>149</v>
      </c>
      <c r="G36" s="15"/>
      <c r="H36" s="15">
        <f>F36*AE36</f>
        <v>0</v>
      </c>
      <c r="I36" s="15">
        <f>J36-H36</f>
        <v>0</v>
      </c>
      <c r="J36" s="15">
        <f>F36*G36</f>
        <v>0</v>
      </c>
      <c r="K36" s="15">
        <v>0.00266</v>
      </c>
      <c r="L36" s="15">
        <f>F36*K36</f>
        <v>0.39634</v>
      </c>
      <c r="M36" s="26" t="s">
        <v>183</v>
      </c>
      <c r="P36" s="30">
        <f>IF(AG36="5",J36,0)</f>
        <v>0</v>
      </c>
      <c r="R36" s="30">
        <f>IF(AG36="1",H36,0)</f>
        <v>0</v>
      </c>
      <c r="S36" s="30">
        <f>IF(AG36="1",I36,0)</f>
        <v>0</v>
      </c>
      <c r="T36" s="30">
        <f>IF(AG36="7",H36,0)</f>
        <v>0</v>
      </c>
      <c r="U36" s="30">
        <f>IF(AG36="7",I36,0)</f>
        <v>0</v>
      </c>
      <c r="V36" s="30">
        <f>IF(AG36="2",H36,0)</f>
        <v>0</v>
      </c>
      <c r="W36" s="30">
        <f>IF(AG36="2",I36,0)</f>
        <v>0</v>
      </c>
      <c r="X36" s="30">
        <f>IF(AG36="0",J36,0)</f>
        <v>0</v>
      </c>
      <c r="Y36" s="23"/>
      <c r="Z36" s="15">
        <f>IF(AD36=0,J36,0)</f>
        <v>0</v>
      </c>
      <c r="AA36" s="15">
        <f>IF(AD36=15,J36,0)</f>
        <v>0</v>
      </c>
      <c r="AB36" s="15">
        <f>IF(AD36=21,J36,0)</f>
        <v>0</v>
      </c>
      <c r="AD36" s="30">
        <v>21</v>
      </c>
      <c r="AE36" s="30">
        <f>G36*0.361468085106383</f>
        <v>0</v>
      </c>
      <c r="AF36" s="30">
        <f>G36*(1-0.361468085106383)</f>
        <v>0</v>
      </c>
      <c r="AG36" s="26" t="s">
        <v>13</v>
      </c>
      <c r="AM36" s="30">
        <f>F36*AE36</f>
        <v>0</v>
      </c>
      <c r="AN36" s="30">
        <f>F36*AF36</f>
        <v>0</v>
      </c>
      <c r="AO36" s="32" t="s">
        <v>202</v>
      </c>
      <c r="AP36" s="32" t="s">
        <v>216</v>
      </c>
      <c r="AQ36" s="23" t="s">
        <v>219</v>
      </c>
      <c r="AS36" s="30">
        <f>AM36+AN36</f>
        <v>0</v>
      </c>
      <c r="AT36" s="30">
        <f>G36/(100-AU36)*100</f>
        <v>0</v>
      </c>
      <c r="AU36" s="30">
        <v>0</v>
      </c>
      <c r="AV36" s="30">
        <f>L36</f>
        <v>0.39634</v>
      </c>
    </row>
    <row r="37" spans="1:37" ht="12.75">
      <c r="A37" s="5"/>
      <c r="B37" s="12"/>
      <c r="C37" s="12" t="s">
        <v>68</v>
      </c>
      <c r="D37" s="12" t="s">
        <v>126</v>
      </c>
      <c r="E37" s="5" t="s">
        <v>6</v>
      </c>
      <c r="F37" s="5" t="s">
        <v>6</v>
      </c>
      <c r="G37" s="5"/>
      <c r="H37" s="34">
        <f>SUM(H38:H38)</f>
        <v>0</v>
      </c>
      <c r="I37" s="34">
        <f>SUM(I38:I38)</f>
        <v>0</v>
      </c>
      <c r="J37" s="34">
        <f>H37+I37</f>
        <v>0</v>
      </c>
      <c r="K37" s="23"/>
      <c r="L37" s="34">
        <f>SUM(L38:L38)</f>
        <v>0.00328</v>
      </c>
      <c r="M37" s="23"/>
      <c r="Y37" s="23"/>
      <c r="AI37" s="34">
        <f>SUM(Z38:Z38)</f>
        <v>0</v>
      </c>
      <c r="AJ37" s="34">
        <f>SUM(AA38:AA38)</f>
        <v>0</v>
      </c>
      <c r="AK37" s="34">
        <f>SUM(AB38:AB38)</f>
        <v>0</v>
      </c>
    </row>
    <row r="38" spans="1:48" ht="12.75">
      <c r="A38" s="4" t="s">
        <v>23</v>
      </c>
      <c r="B38" s="4"/>
      <c r="C38" s="4" t="s">
        <v>69</v>
      </c>
      <c r="D38" s="4" t="s">
        <v>127</v>
      </c>
      <c r="E38" s="4" t="s">
        <v>163</v>
      </c>
      <c r="F38" s="15">
        <v>1</v>
      </c>
      <c r="G38" s="15"/>
      <c r="H38" s="15">
        <f>F38*AE38</f>
        <v>0</v>
      </c>
      <c r="I38" s="15">
        <f>J38-H38</f>
        <v>0</v>
      </c>
      <c r="J38" s="15">
        <f>F38*G38</f>
        <v>0</v>
      </c>
      <c r="K38" s="15">
        <v>0.00328</v>
      </c>
      <c r="L38" s="15">
        <f>F38*K38</f>
        <v>0.00328</v>
      </c>
      <c r="M38" s="26" t="s">
        <v>183</v>
      </c>
      <c r="P38" s="30">
        <f>IF(AG38="5",J38,0)</f>
        <v>0</v>
      </c>
      <c r="R38" s="30">
        <f>IF(AG38="1",H38,0)</f>
        <v>0</v>
      </c>
      <c r="S38" s="30">
        <f>IF(AG38="1",I38,0)</f>
        <v>0</v>
      </c>
      <c r="T38" s="30">
        <f>IF(AG38="7",H38,0)</f>
        <v>0</v>
      </c>
      <c r="U38" s="30">
        <f>IF(AG38="7",I38,0)</f>
        <v>0</v>
      </c>
      <c r="V38" s="30">
        <f>IF(AG38="2",H38,0)</f>
        <v>0</v>
      </c>
      <c r="W38" s="30">
        <f>IF(AG38="2",I38,0)</f>
        <v>0</v>
      </c>
      <c r="X38" s="30">
        <f>IF(AG38="0",J38,0)</f>
        <v>0</v>
      </c>
      <c r="Y38" s="23"/>
      <c r="Z38" s="15">
        <f>IF(AD38=0,J38,0)</f>
        <v>0</v>
      </c>
      <c r="AA38" s="15">
        <f>IF(AD38=15,J38,0)</f>
        <v>0</v>
      </c>
      <c r="AB38" s="15">
        <f>IF(AD38=21,J38,0)</f>
        <v>0</v>
      </c>
      <c r="AD38" s="30">
        <v>21</v>
      </c>
      <c r="AE38" s="30">
        <f>G38*0</f>
        <v>0</v>
      </c>
      <c r="AF38" s="30">
        <f>G38*(1-0)</f>
        <v>0</v>
      </c>
      <c r="AG38" s="26" t="s">
        <v>13</v>
      </c>
      <c r="AM38" s="30">
        <f>F38*AE38</f>
        <v>0</v>
      </c>
      <c r="AN38" s="30">
        <f>F38*AF38</f>
        <v>0</v>
      </c>
      <c r="AO38" s="32" t="s">
        <v>203</v>
      </c>
      <c r="AP38" s="32" t="s">
        <v>216</v>
      </c>
      <c r="AQ38" s="23" t="s">
        <v>219</v>
      </c>
      <c r="AS38" s="30">
        <f>AM38+AN38</f>
        <v>0</v>
      </c>
      <c r="AT38" s="30">
        <f>G38/(100-AU38)*100</f>
        <v>0</v>
      </c>
      <c r="AU38" s="30">
        <v>0</v>
      </c>
      <c r="AV38" s="30">
        <f>L38</f>
        <v>0.00328</v>
      </c>
    </row>
    <row r="39" spans="1:37" ht="12.75">
      <c r="A39" s="5"/>
      <c r="B39" s="12"/>
      <c r="C39" s="12" t="s">
        <v>70</v>
      </c>
      <c r="D39" s="12" t="s">
        <v>128</v>
      </c>
      <c r="E39" s="5" t="s">
        <v>6</v>
      </c>
      <c r="F39" s="5" t="s">
        <v>6</v>
      </c>
      <c r="G39" s="5"/>
      <c r="H39" s="34">
        <f>SUM(H40:H40)</f>
        <v>0</v>
      </c>
      <c r="I39" s="34">
        <f>SUM(I40:I40)</f>
        <v>0</v>
      </c>
      <c r="J39" s="34">
        <f>H39+I39</f>
        <v>0</v>
      </c>
      <c r="K39" s="23"/>
      <c r="L39" s="34">
        <f>SUM(L40:L40)</f>
        <v>0</v>
      </c>
      <c r="M39" s="23"/>
      <c r="Y39" s="23"/>
      <c r="AI39" s="34">
        <f>SUM(Z40:Z40)</f>
        <v>0</v>
      </c>
      <c r="AJ39" s="34">
        <f>SUM(AA40:AA40)</f>
        <v>0</v>
      </c>
      <c r="AK39" s="34">
        <f>SUM(AB40:AB40)</f>
        <v>0</v>
      </c>
    </row>
    <row r="40" spans="1:48" ht="12.75">
      <c r="A40" s="4" t="s">
        <v>24</v>
      </c>
      <c r="B40" s="4"/>
      <c r="C40" s="4" t="s">
        <v>71</v>
      </c>
      <c r="D40" s="4" t="s">
        <v>129</v>
      </c>
      <c r="E40" s="4" t="s">
        <v>162</v>
      </c>
      <c r="F40" s="15">
        <v>6</v>
      </c>
      <c r="G40" s="15"/>
      <c r="H40" s="15">
        <f>F40*AE40</f>
        <v>0</v>
      </c>
      <c r="I40" s="15">
        <f>J40-H40</f>
        <v>0</v>
      </c>
      <c r="J40" s="15">
        <f>F40*G40</f>
        <v>0</v>
      </c>
      <c r="K40" s="15">
        <v>0</v>
      </c>
      <c r="L40" s="15">
        <f>F40*K40</f>
        <v>0</v>
      </c>
      <c r="M40" s="26" t="s">
        <v>183</v>
      </c>
      <c r="P40" s="30">
        <f>IF(AG40="5",J40,0)</f>
        <v>0</v>
      </c>
      <c r="R40" s="30">
        <f>IF(AG40="1",H40,0)</f>
        <v>0</v>
      </c>
      <c r="S40" s="30">
        <f>IF(AG40="1",I40,0)</f>
        <v>0</v>
      </c>
      <c r="T40" s="30">
        <f>IF(AG40="7",H40,0)</f>
        <v>0</v>
      </c>
      <c r="U40" s="30">
        <f>IF(AG40="7",I40,0)</f>
        <v>0</v>
      </c>
      <c r="V40" s="30">
        <f>IF(AG40="2",H40,0)</f>
        <v>0</v>
      </c>
      <c r="W40" s="30">
        <f>IF(AG40="2",I40,0)</f>
        <v>0</v>
      </c>
      <c r="X40" s="30">
        <f>IF(AG40="0",J40,0)</f>
        <v>0</v>
      </c>
      <c r="Y40" s="23"/>
      <c r="Z40" s="15">
        <f>IF(AD40=0,J40,0)</f>
        <v>0</v>
      </c>
      <c r="AA40" s="15">
        <f>IF(AD40=15,J40,0)</f>
        <v>0</v>
      </c>
      <c r="AB40" s="15">
        <f>IF(AD40=21,J40,0)</f>
        <v>0</v>
      </c>
      <c r="AD40" s="30">
        <v>21</v>
      </c>
      <c r="AE40" s="30">
        <f>G40*0</f>
        <v>0</v>
      </c>
      <c r="AF40" s="30">
        <f>G40*(1-0)</f>
        <v>0</v>
      </c>
      <c r="AG40" s="26" t="s">
        <v>13</v>
      </c>
      <c r="AM40" s="30">
        <f>F40*AE40</f>
        <v>0</v>
      </c>
      <c r="AN40" s="30">
        <f>F40*AF40</f>
        <v>0</v>
      </c>
      <c r="AO40" s="32" t="s">
        <v>204</v>
      </c>
      <c r="AP40" s="32" t="s">
        <v>216</v>
      </c>
      <c r="AQ40" s="23" t="s">
        <v>219</v>
      </c>
      <c r="AS40" s="30">
        <f>AM40+AN40</f>
        <v>0</v>
      </c>
      <c r="AT40" s="30">
        <f>G40/(100-AU40)*100</f>
        <v>0</v>
      </c>
      <c r="AU40" s="30">
        <v>0</v>
      </c>
      <c r="AV40" s="30">
        <f>L40</f>
        <v>0</v>
      </c>
    </row>
    <row r="41" spans="1:37" ht="12.75">
      <c r="A41" s="5"/>
      <c r="B41" s="12"/>
      <c r="C41" s="12" t="s">
        <v>72</v>
      </c>
      <c r="D41" s="12" t="s">
        <v>130</v>
      </c>
      <c r="E41" s="5" t="s">
        <v>6</v>
      </c>
      <c r="F41" s="5" t="s">
        <v>6</v>
      </c>
      <c r="G41" s="5"/>
      <c r="H41" s="34">
        <f>SUM(H42:H42)</f>
        <v>0</v>
      </c>
      <c r="I41" s="34">
        <f>SUM(I42:I42)</f>
        <v>0</v>
      </c>
      <c r="J41" s="34">
        <f>H41+I41</f>
        <v>0</v>
      </c>
      <c r="K41" s="23"/>
      <c r="L41" s="34">
        <f>SUM(L42:L42)</f>
        <v>0</v>
      </c>
      <c r="M41" s="23"/>
      <c r="Y41" s="23"/>
      <c r="AI41" s="34">
        <f>SUM(Z42:Z42)</f>
        <v>0</v>
      </c>
      <c r="AJ41" s="34">
        <f>SUM(AA42:AA42)</f>
        <v>0</v>
      </c>
      <c r="AK41" s="34">
        <f>SUM(AB42:AB42)</f>
        <v>0</v>
      </c>
    </row>
    <row r="42" spans="1:48" ht="12.75">
      <c r="A42" s="4" t="s">
        <v>25</v>
      </c>
      <c r="B42" s="4"/>
      <c r="C42" s="4" t="s">
        <v>73</v>
      </c>
      <c r="D42" s="4" t="s">
        <v>131</v>
      </c>
      <c r="E42" s="4" t="s">
        <v>162</v>
      </c>
      <c r="F42" s="15">
        <v>30</v>
      </c>
      <c r="G42" s="15"/>
      <c r="H42" s="15">
        <f>F42*AE42</f>
        <v>0</v>
      </c>
      <c r="I42" s="15">
        <f>J42-H42</f>
        <v>0</v>
      </c>
      <c r="J42" s="15">
        <f>F42*G42</f>
        <v>0</v>
      </c>
      <c r="K42" s="15">
        <v>0</v>
      </c>
      <c r="L42" s="15">
        <f>F42*K42</f>
        <v>0</v>
      </c>
      <c r="M42" s="26" t="s">
        <v>183</v>
      </c>
      <c r="P42" s="30">
        <f>IF(AG42="5",J42,0)</f>
        <v>0</v>
      </c>
      <c r="R42" s="30">
        <f>IF(AG42="1",H42,0)</f>
        <v>0</v>
      </c>
      <c r="S42" s="30">
        <f>IF(AG42="1",I42,0)</f>
        <v>0</v>
      </c>
      <c r="T42" s="30">
        <f>IF(AG42="7",H42,0)</f>
        <v>0</v>
      </c>
      <c r="U42" s="30">
        <f>IF(AG42="7",I42,0)</f>
        <v>0</v>
      </c>
      <c r="V42" s="30">
        <f>IF(AG42="2",H42,0)</f>
        <v>0</v>
      </c>
      <c r="W42" s="30">
        <f>IF(AG42="2",I42,0)</f>
        <v>0</v>
      </c>
      <c r="X42" s="30">
        <f>IF(AG42="0",J42,0)</f>
        <v>0</v>
      </c>
      <c r="Y42" s="23"/>
      <c r="Z42" s="15">
        <f>IF(AD42=0,J42,0)</f>
        <v>0</v>
      </c>
      <c r="AA42" s="15">
        <f>IF(AD42=15,J42,0)</f>
        <v>0</v>
      </c>
      <c r="AB42" s="15">
        <f>IF(AD42=21,J42,0)</f>
        <v>0</v>
      </c>
      <c r="AD42" s="30">
        <v>21</v>
      </c>
      <c r="AE42" s="30">
        <f>G42*0.60743119266055</f>
        <v>0</v>
      </c>
      <c r="AF42" s="30">
        <f>G42*(1-0.60743119266055)</f>
        <v>0</v>
      </c>
      <c r="AG42" s="26" t="s">
        <v>7</v>
      </c>
      <c r="AM42" s="30">
        <f>F42*AE42</f>
        <v>0</v>
      </c>
      <c r="AN42" s="30">
        <f>F42*AF42</f>
        <v>0</v>
      </c>
      <c r="AO42" s="32" t="s">
        <v>205</v>
      </c>
      <c r="AP42" s="32" t="s">
        <v>217</v>
      </c>
      <c r="AQ42" s="23" t="s">
        <v>219</v>
      </c>
      <c r="AS42" s="30">
        <f>AM42+AN42</f>
        <v>0</v>
      </c>
      <c r="AT42" s="30">
        <f>G42/(100-AU42)*100</f>
        <v>0</v>
      </c>
      <c r="AU42" s="30">
        <v>0</v>
      </c>
      <c r="AV42" s="30">
        <f>L42</f>
        <v>0</v>
      </c>
    </row>
    <row r="43" spans="1:37" ht="12.75">
      <c r="A43" s="5"/>
      <c r="B43" s="12"/>
      <c r="C43" s="12" t="s">
        <v>74</v>
      </c>
      <c r="D43" s="12" t="s">
        <v>132</v>
      </c>
      <c r="E43" s="5" t="s">
        <v>6</v>
      </c>
      <c r="F43" s="5" t="s">
        <v>6</v>
      </c>
      <c r="G43" s="5"/>
      <c r="H43" s="34">
        <f>SUM(H44:H50)</f>
        <v>0</v>
      </c>
      <c r="I43" s="34">
        <f>SUM(I44:I50)</f>
        <v>0</v>
      </c>
      <c r="J43" s="34">
        <f>H43+I43</f>
        <v>0</v>
      </c>
      <c r="K43" s="23"/>
      <c r="L43" s="34">
        <f>SUM(L44:L50)</f>
        <v>20.08976</v>
      </c>
      <c r="M43" s="23"/>
      <c r="Y43" s="23"/>
      <c r="AI43" s="34">
        <f>SUM(Z44:Z50)</f>
        <v>0</v>
      </c>
      <c r="AJ43" s="34">
        <f>SUM(AA44:AA50)</f>
        <v>0</v>
      </c>
      <c r="AK43" s="34">
        <f>SUM(AB44:AB50)</f>
        <v>0</v>
      </c>
    </row>
    <row r="44" spans="1:48" ht="12.75">
      <c r="A44" s="4" t="s">
        <v>26</v>
      </c>
      <c r="B44" s="4"/>
      <c r="C44" s="4" t="s">
        <v>75</v>
      </c>
      <c r="D44" s="4" t="s">
        <v>133</v>
      </c>
      <c r="E44" s="4" t="s">
        <v>160</v>
      </c>
      <c r="F44" s="15">
        <v>1042</v>
      </c>
      <c r="G44" s="15"/>
      <c r="H44" s="15">
        <f aca="true" t="shared" si="0" ref="H44:H50">F44*AE44</f>
        <v>0</v>
      </c>
      <c r="I44" s="15">
        <f aca="true" t="shared" si="1" ref="I44:I50">J44-H44</f>
        <v>0</v>
      </c>
      <c r="J44" s="15">
        <f aca="true" t="shared" si="2" ref="J44:J50">F44*G44</f>
        <v>0</v>
      </c>
      <c r="K44" s="15">
        <v>0.01838</v>
      </c>
      <c r="L44" s="15">
        <f aca="true" t="shared" si="3" ref="L44:L50">F44*K44</f>
        <v>19.15196</v>
      </c>
      <c r="M44" s="26" t="s">
        <v>183</v>
      </c>
      <c r="P44" s="30">
        <f aca="true" t="shared" si="4" ref="P44:P50">IF(AG44="5",J44,0)</f>
        <v>0</v>
      </c>
      <c r="R44" s="30">
        <f aca="true" t="shared" si="5" ref="R44:R50">IF(AG44="1",H44,0)</f>
        <v>0</v>
      </c>
      <c r="S44" s="30">
        <f aca="true" t="shared" si="6" ref="S44:S50">IF(AG44="1",I44,0)</f>
        <v>0</v>
      </c>
      <c r="T44" s="30">
        <f aca="true" t="shared" si="7" ref="T44:T50">IF(AG44="7",H44,0)</f>
        <v>0</v>
      </c>
      <c r="U44" s="30">
        <f aca="true" t="shared" si="8" ref="U44:U50">IF(AG44="7",I44,0)</f>
        <v>0</v>
      </c>
      <c r="V44" s="30">
        <f aca="true" t="shared" si="9" ref="V44:V50">IF(AG44="2",H44,0)</f>
        <v>0</v>
      </c>
      <c r="W44" s="30">
        <f aca="true" t="shared" si="10" ref="W44:W50">IF(AG44="2",I44,0)</f>
        <v>0</v>
      </c>
      <c r="X44" s="30">
        <f aca="true" t="shared" si="11" ref="X44:X50">IF(AG44="0",J44,0)</f>
        <v>0</v>
      </c>
      <c r="Y44" s="23"/>
      <c r="Z44" s="15">
        <f aca="true" t="shared" si="12" ref="Z44:Z50">IF(AD44=0,J44,0)</f>
        <v>0</v>
      </c>
      <c r="AA44" s="15">
        <f aca="true" t="shared" si="13" ref="AA44:AA50">IF(AD44=15,J44,0)</f>
        <v>0</v>
      </c>
      <c r="AB44" s="15">
        <f aca="true" t="shared" si="14" ref="AB44:AB50">IF(AD44=21,J44,0)</f>
        <v>0</v>
      </c>
      <c r="AD44" s="30">
        <v>21</v>
      </c>
      <c r="AE44" s="30">
        <f>G44*0.00056274620146314</f>
        <v>0</v>
      </c>
      <c r="AF44" s="30">
        <f>G44*(1-0.00056274620146314)</f>
        <v>0</v>
      </c>
      <c r="AG44" s="26" t="s">
        <v>7</v>
      </c>
      <c r="AM44" s="30">
        <f aca="true" t="shared" si="15" ref="AM44:AM50">F44*AE44</f>
        <v>0</v>
      </c>
      <c r="AN44" s="30">
        <f aca="true" t="shared" si="16" ref="AN44:AN50">F44*AF44</f>
        <v>0</v>
      </c>
      <c r="AO44" s="32" t="s">
        <v>206</v>
      </c>
      <c r="AP44" s="32" t="s">
        <v>217</v>
      </c>
      <c r="AQ44" s="23" t="s">
        <v>219</v>
      </c>
      <c r="AS44" s="30">
        <f aca="true" t="shared" si="17" ref="AS44:AS50">AM44+AN44</f>
        <v>0</v>
      </c>
      <c r="AT44" s="30">
        <f aca="true" t="shared" si="18" ref="AT44:AT50">G44/(100-AU44)*100</f>
        <v>0</v>
      </c>
      <c r="AU44" s="30">
        <v>0</v>
      </c>
      <c r="AV44" s="30">
        <f aca="true" t="shared" si="19" ref="AV44:AV50">L44</f>
        <v>19.15196</v>
      </c>
    </row>
    <row r="45" spans="1:48" ht="12.75">
      <c r="A45" s="4" t="s">
        <v>27</v>
      </c>
      <c r="B45" s="4"/>
      <c r="C45" s="4" t="s">
        <v>76</v>
      </c>
      <c r="D45" s="4" t="s">
        <v>134</v>
      </c>
      <c r="E45" s="4" t="s">
        <v>160</v>
      </c>
      <c r="F45" s="15">
        <v>1042</v>
      </c>
      <c r="G45" s="15"/>
      <c r="H45" s="15">
        <f t="shared" si="0"/>
        <v>0</v>
      </c>
      <c r="I45" s="15">
        <f t="shared" si="1"/>
        <v>0</v>
      </c>
      <c r="J45" s="15">
        <f t="shared" si="2"/>
        <v>0</v>
      </c>
      <c r="K45" s="15">
        <v>0</v>
      </c>
      <c r="L45" s="15">
        <f t="shared" si="3"/>
        <v>0</v>
      </c>
      <c r="M45" s="26" t="s">
        <v>183</v>
      </c>
      <c r="P45" s="30">
        <f t="shared" si="4"/>
        <v>0</v>
      </c>
      <c r="R45" s="30">
        <f t="shared" si="5"/>
        <v>0</v>
      </c>
      <c r="S45" s="30">
        <f t="shared" si="6"/>
        <v>0</v>
      </c>
      <c r="T45" s="30">
        <f t="shared" si="7"/>
        <v>0</v>
      </c>
      <c r="U45" s="30">
        <f t="shared" si="8"/>
        <v>0</v>
      </c>
      <c r="V45" s="30">
        <f t="shared" si="9"/>
        <v>0</v>
      </c>
      <c r="W45" s="30">
        <f t="shared" si="10"/>
        <v>0</v>
      </c>
      <c r="X45" s="30">
        <f t="shared" si="11"/>
        <v>0</v>
      </c>
      <c r="Y45" s="23"/>
      <c r="Z45" s="15">
        <f t="shared" si="12"/>
        <v>0</v>
      </c>
      <c r="AA45" s="15">
        <f t="shared" si="13"/>
        <v>0</v>
      </c>
      <c r="AB45" s="15">
        <f t="shared" si="14"/>
        <v>0</v>
      </c>
      <c r="AD45" s="30">
        <v>21</v>
      </c>
      <c r="AE45" s="30">
        <f>G45*0</f>
        <v>0</v>
      </c>
      <c r="AF45" s="30">
        <f>G45*(1-0)</f>
        <v>0</v>
      </c>
      <c r="AG45" s="26" t="s">
        <v>7</v>
      </c>
      <c r="AM45" s="30">
        <f t="shared" si="15"/>
        <v>0</v>
      </c>
      <c r="AN45" s="30">
        <f t="shared" si="16"/>
        <v>0</v>
      </c>
      <c r="AO45" s="32" t="s">
        <v>206</v>
      </c>
      <c r="AP45" s="32" t="s">
        <v>217</v>
      </c>
      <c r="AQ45" s="23" t="s">
        <v>219</v>
      </c>
      <c r="AS45" s="30">
        <f t="shared" si="17"/>
        <v>0</v>
      </c>
      <c r="AT45" s="30">
        <f t="shared" si="18"/>
        <v>0</v>
      </c>
      <c r="AU45" s="30">
        <v>0</v>
      </c>
      <c r="AV45" s="30">
        <f t="shared" si="19"/>
        <v>0</v>
      </c>
    </row>
    <row r="46" spans="1:48" ht="12.75">
      <c r="A46" s="4" t="s">
        <v>28</v>
      </c>
      <c r="B46" s="4"/>
      <c r="C46" s="4" t="s">
        <v>77</v>
      </c>
      <c r="D46" s="4" t="s">
        <v>135</v>
      </c>
      <c r="E46" s="4" t="s">
        <v>160</v>
      </c>
      <c r="F46" s="15">
        <v>1042</v>
      </c>
      <c r="G46" s="15"/>
      <c r="H46" s="15">
        <f t="shared" si="0"/>
        <v>0</v>
      </c>
      <c r="I46" s="15">
        <f t="shared" si="1"/>
        <v>0</v>
      </c>
      <c r="J46" s="15">
        <f t="shared" si="2"/>
        <v>0</v>
      </c>
      <c r="K46" s="15">
        <v>0.00085</v>
      </c>
      <c r="L46" s="15">
        <f t="shared" si="3"/>
        <v>0.8856999999999999</v>
      </c>
      <c r="M46" s="26" t="s">
        <v>183</v>
      </c>
      <c r="P46" s="30">
        <f t="shared" si="4"/>
        <v>0</v>
      </c>
      <c r="R46" s="30">
        <f t="shared" si="5"/>
        <v>0</v>
      </c>
      <c r="S46" s="30">
        <f t="shared" si="6"/>
        <v>0</v>
      </c>
      <c r="T46" s="30">
        <f t="shared" si="7"/>
        <v>0</v>
      </c>
      <c r="U46" s="30">
        <f t="shared" si="8"/>
        <v>0</v>
      </c>
      <c r="V46" s="30">
        <f t="shared" si="9"/>
        <v>0</v>
      </c>
      <c r="W46" s="30">
        <f t="shared" si="10"/>
        <v>0</v>
      </c>
      <c r="X46" s="30">
        <f t="shared" si="11"/>
        <v>0</v>
      </c>
      <c r="Y46" s="23"/>
      <c r="Z46" s="15">
        <f t="shared" si="12"/>
        <v>0</v>
      </c>
      <c r="AA46" s="15">
        <f t="shared" si="13"/>
        <v>0</v>
      </c>
      <c r="AB46" s="15">
        <f t="shared" si="14"/>
        <v>0</v>
      </c>
      <c r="AD46" s="30">
        <v>21</v>
      </c>
      <c r="AE46" s="30">
        <f>G46*0.927719298245614</f>
        <v>0</v>
      </c>
      <c r="AF46" s="30">
        <f>G46*(1-0.927719298245614)</f>
        <v>0</v>
      </c>
      <c r="AG46" s="26" t="s">
        <v>7</v>
      </c>
      <c r="AM46" s="30">
        <f t="shared" si="15"/>
        <v>0</v>
      </c>
      <c r="AN46" s="30">
        <f t="shared" si="16"/>
        <v>0</v>
      </c>
      <c r="AO46" s="32" t="s">
        <v>206</v>
      </c>
      <c r="AP46" s="32" t="s">
        <v>217</v>
      </c>
      <c r="AQ46" s="23" t="s">
        <v>219</v>
      </c>
      <c r="AS46" s="30">
        <f t="shared" si="17"/>
        <v>0</v>
      </c>
      <c r="AT46" s="30">
        <f t="shared" si="18"/>
        <v>0</v>
      </c>
      <c r="AU46" s="30">
        <v>0</v>
      </c>
      <c r="AV46" s="30">
        <f t="shared" si="19"/>
        <v>0.8856999999999999</v>
      </c>
    </row>
    <row r="47" spans="1:48" ht="12.75">
      <c r="A47" s="4" t="s">
        <v>29</v>
      </c>
      <c r="B47" s="4"/>
      <c r="C47" s="4" t="s">
        <v>78</v>
      </c>
      <c r="D47" s="4" t="s">
        <v>136</v>
      </c>
      <c r="E47" s="4" t="s">
        <v>160</v>
      </c>
      <c r="F47" s="15">
        <v>1042</v>
      </c>
      <c r="G47" s="15"/>
      <c r="H47" s="15">
        <f t="shared" si="0"/>
        <v>0</v>
      </c>
      <c r="I47" s="15">
        <f t="shared" si="1"/>
        <v>0</v>
      </c>
      <c r="J47" s="15">
        <f t="shared" si="2"/>
        <v>0</v>
      </c>
      <c r="K47" s="15">
        <v>0</v>
      </c>
      <c r="L47" s="15">
        <f t="shared" si="3"/>
        <v>0</v>
      </c>
      <c r="M47" s="26" t="s">
        <v>183</v>
      </c>
      <c r="P47" s="30">
        <f t="shared" si="4"/>
        <v>0</v>
      </c>
      <c r="R47" s="30">
        <f t="shared" si="5"/>
        <v>0</v>
      </c>
      <c r="S47" s="30">
        <f t="shared" si="6"/>
        <v>0</v>
      </c>
      <c r="T47" s="30">
        <f t="shared" si="7"/>
        <v>0</v>
      </c>
      <c r="U47" s="30">
        <f t="shared" si="8"/>
        <v>0</v>
      </c>
      <c r="V47" s="30">
        <f t="shared" si="9"/>
        <v>0</v>
      </c>
      <c r="W47" s="30">
        <f t="shared" si="10"/>
        <v>0</v>
      </c>
      <c r="X47" s="30">
        <f t="shared" si="11"/>
        <v>0</v>
      </c>
      <c r="Y47" s="23"/>
      <c r="Z47" s="15">
        <f t="shared" si="12"/>
        <v>0</v>
      </c>
      <c r="AA47" s="15">
        <f t="shared" si="13"/>
        <v>0</v>
      </c>
      <c r="AB47" s="15">
        <f t="shared" si="14"/>
        <v>0</v>
      </c>
      <c r="AD47" s="30">
        <v>21</v>
      </c>
      <c r="AE47" s="30">
        <f>G47*0</f>
        <v>0</v>
      </c>
      <c r="AF47" s="30">
        <f>G47*(1-0)</f>
        <v>0</v>
      </c>
      <c r="AG47" s="26" t="s">
        <v>7</v>
      </c>
      <c r="AM47" s="30">
        <f t="shared" si="15"/>
        <v>0</v>
      </c>
      <c r="AN47" s="30">
        <f t="shared" si="16"/>
        <v>0</v>
      </c>
      <c r="AO47" s="32" t="s">
        <v>206</v>
      </c>
      <c r="AP47" s="32" t="s">
        <v>217</v>
      </c>
      <c r="AQ47" s="23" t="s">
        <v>219</v>
      </c>
      <c r="AS47" s="30">
        <f t="shared" si="17"/>
        <v>0</v>
      </c>
      <c r="AT47" s="30">
        <f t="shared" si="18"/>
        <v>0</v>
      </c>
      <c r="AU47" s="30">
        <v>0</v>
      </c>
      <c r="AV47" s="30">
        <f t="shared" si="19"/>
        <v>0</v>
      </c>
    </row>
    <row r="48" spans="1:48" ht="12.75">
      <c r="A48" s="4" t="s">
        <v>30</v>
      </c>
      <c r="B48" s="4"/>
      <c r="C48" s="4" t="s">
        <v>79</v>
      </c>
      <c r="D48" s="4" t="s">
        <v>137</v>
      </c>
      <c r="E48" s="4" t="s">
        <v>160</v>
      </c>
      <c r="F48" s="15">
        <v>1042</v>
      </c>
      <c r="G48" s="15"/>
      <c r="H48" s="15">
        <f t="shared" si="0"/>
        <v>0</v>
      </c>
      <c r="I48" s="15">
        <f t="shared" si="1"/>
        <v>0</v>
      </c>
      <c r="J48" s="15">
        <f t="shared" si="2"/>
        <v>0</v>
      </c>
      <c r="K48" s="15">
        <v>0</v>
      </c>
      <c r="L48" s="15">
        <f t="shared" si="3"/>
        <v>0</v>
      </c>
      <c r="M48" s="26" t="s">
        <v>183</v>
      </c>
      <c r="P48" s="30">
        <f t="shared" si="4"/>
        <v>0</v>
      </c>
      <c r="R48" s="30">
        <f t="shared" si="5"/>
        <v>0</v>
      </c>
      <c r="S48" s="30">
        <f t="shared" si="6"/>
        <v>0</v>
      </c>
      <c r="T48" s="30">
        <f t="shared" si="7"/>
        <v>0</v>
      </c>
      <c r="U48" s="30">
        <f t="shared" si="8"/>
        <v>0</v>
      </c>
      <c r="V48" s="30">
        <f t="shared" si="9"/>
        <v>0</v>
      </c>
      <c r="W48" s="30">
        <f t="shared" si="10"/>
        <v>0</v>
      </c>
      <c r="X48" s="30">
        <f t="shared" si="11"/>
        <v>0</v>
      </c>
      <c r="Y48" s="23"/>
      <c r="Z48" s="15">
        <f t="shared" si="12"/>
        <v>0</v>
      </c>
      <c r="AA48" s="15">
        <f t="shared" si="13"/>
        <v>0</v>
      </c>
      <c r="AB48" s="15">
        <f t="shared" si="14"/>
        <v>0</v>
      </c>
      <c r="AD48" s="30">
        <v>21</v>
      </c>
      <c r="AE48" s="30">
        <f>G48*0</f>
        <v>0</v>
      </c>
      <c r="AF48" s="30">
        <f>G48*(1-0)</f>
        <v>0</v>
      </c>
      <c r="AG48" s="26" t="s">
        <v>7</v>
      </c>
      <c r="AM48" s="30">
        <f t="shared" si="15"/>
        <v>0</v>
      </c>
      <c r="AN48" s="30">
        <f t="shared" si="16"/>
        <v>0</v>
      </c>
      <c r="AO48" s="32" t="s">
        <v>206</v>
      </c>
      <c r="AP48" s="32" t="s">
        <v>217</v>
      </c>
      <c r="AQ48" s="23" t="s">
        <v>219</v>
      </c>
      <c r="AS48" s="30">
        <f t="shared" si="17"/>
        <v>0</v>
      </c>
      <c r="AT48" s="30">
        <f t="shared" si="18"/>
        <v>0</v>
      </c>
      <c r="AU48" s="30">
        <v>0</v>
      </c>
      <c r="AV48" s="30">
        <f t="shared" si="19"/>
        <v>0</v>
      </c>
    </row>
    <row r="49" spans="1:48" ht="12.75">
      <c r="A49" s="4" t="s">
        <v>31</v>
      </c>
      <c r="B49" s="4"/>
      <c r="C49" s="4" t="s">
        <v>80</v>
      </c>
      <c r="D49" s="4" t="s">
        <v>138</v>
      </c>
      <c r="E49" s="4" t="s">
        <v>160</v>
      </c>
      <c r="F49" s="15">
        <v>1042</v>
      </c>
      <c r="G49" s="15"/>
      <c r="H49" s="15">
        <f t="shared" si="0"/>
        <v>0</v>
      </c>
      <c r="I49" s="15">
        <f t="shared" si="1"/>
        <v>0</v>
      </c>
      <c r="J49" s="15">
        <f t="shared" si="2"/>
        <v>0</v>
      </c>
      <c r="K49" s="15">
        <v>0</v>
      </c>
      <c r="L49" s="15">
        <f t="shared" si="3"/>
        <v>0</v>
      </c>
      <c r="M49" s="26" t="s">
        <v>183</v>
      </c>
      <c r="P49" s="30">
        <f t="shared" si="4"/>
        <v>0</v>
      </c>
      <c r="R49" s="30">
        <f t="shared" si="5"/>
        <v>0</v>
      </c>
      <c r="S49" s="30">
        <f t="shared" si="6"/>
        <v>0</v>
      </c>
      <c r="T49" s="30">
        <f t="shared" si="7"/>
        <v>0</v>
      </c>
      <c r="U49" s="30">
        <f t="shared" si="8"/>
        <v>0</v>
      </c>
      <c r="V49" s="30">
        <f t="shared" si="9"/>
        <v>0</v>
      </c>
      <c r="W49" s="30">
        <f t="shared" si="10"/>
        <v>0</v>
      </c>
      <c r="X49" s="30">
        <f t="shared" si="11"/>
        <v>0</v>
      </c>
      <c r="Y49" s="23"/>
      <c r="Z49" s="15">
        <f t="shared" si="12"/>
        <v>0</v>
      </c>
      <c r="AA49" s="15">
        <f t="shared" si="13"/>
        <v>0</v>
      </c>
      <c r="AB49" s="15">
        <f t="shared" si="14"/>
        <v>0</v>
      </c>
      <c r="AD49" s="30">
        <v>21</v>
      </c>
      <c r="AE49" s="30">
        <f>G49*0</f>
        <v>0</v>
      </c>
      <c r="AF49" s="30">
        <f>G49*(1-0)</f>
        <v>0</v>
      </c>
      <c r="AG49" s="26" t="s">
        <v>7</v>
      </c>
      <c r="AM49" s="30">
        <f t="shared" si="15"/>
        <v>0</v>
      </c>
      <c r="AN49" s="30">
        <f t="shared" si="16"/>
        <v>0</v>
      </c>
      <c r="AO49" s="32" t="s">
        <v>206</v>
      </c>
      <c r="AP49" s="32" t="s">
        <v>217</v>
      </c>
      <c r="AQ49" s="23" t="s">
        <v>219</v>
      </c>
      <c r="AS49" s="30">
        <f t="shared" si="17"/>
        <v>0</v>
      </c>
      <c r="AT49" s="30">
        <f t="shared" si="18"/>
        <v>0</v>
      </c>
      <c r="AU49" s="30">
        <v>0</v>
      </c>
      <c r="AV49" s="30">
        <f t="shared" si="19"/>
        <v>0</v>
      </c>
    </row>
    <row r="50" spans="1:48" ht="12.75">
      <c r="A50" s="4" t="s">
        <v>32</v>
      </c>
      <c r="B50" s="4"/>
      <c r="C50" s="4" t="s">
        <v>81</v>
      </c>
      <c r="D50" s="4" t="s">
        <v>139</v>
      </c>
      <c r="E50" s="4" t="s">
        <v>160</v>
      </c>
      <c r="F50" s="15">
        <v>1042</v>
      </c>
      <c r="G50" s="15"/>
      <c r="H50" s="15">
        <f t="shared" si="0"/>
        <v>0</v>
      </c>
      <c r="I50" s="15">
        <f t="shared" si="1"/>
        <v>0</v>
      </c>
      <c r="J50" s="15">
        <f t="shared" si="2"/>
        <v>0</v>
      </c>
      <c r="K50" s="15">
        <v>5E-05</v>
      </c>
      <c r="L50" s="15">
        <f t="shared" si="3"/>
        <v>0.0521</v>
      </c>
      <c r="M50" s="26" t="s">
        <v>183</v>
      </c>
      <c r="P50" s="30">
        <f t="shared" si="4"/>
        <v>0</v>
      </c>
      <c r="R50" s="30">
        <f t="shared" si="5"/>
        <v>0</v>
      </c>
      <c r="S50" s="30">
        <f t="shared" si="6"/>
        <v>0</v>
      </c>
      <c r="T50" s="30">
        <f t="shared" si="7"/>
        <v>0</v>
      </c>
      <c r="U50" s="30">
        <f t="shared" si="8"/>
        <v>0</v>
      </c>
      <c r="V50" s="30">
        <f t="shared" si="9"/>
        <v>0</v>
      </c>
      <c r="W50" s="30">
        <f t="shared" si="10"/>
        <v>0</v>
      </c>
      <c r="X50" s="30">
        <f t="shared" si="11"/>
        <v>0</v>
      </c>
      <c r="Y50" s="23"/>
      <c r="Z50" s="15">
        <f t="shared" si="12"/>
        <v>0</v>
      </c>
      <c r="AA50" s="15">
        <f t="shared" si="13"/>
        <v>0</v>
      </c>
      <c r="AB50" s="15">
        <f t="shared" si="14"/>
        <v>0</v>
      </c>
      <c r="AD50" s="30">
        <v>21</v>
      </c>
      <c r="AE50" s="30">
        <f>G50*1</f>
        <v>0</v>
      </c>
      <c r="AF50" s="30">
        <f>G50*(1-1)</f>
        <v>0</v>
      </c>
      <c r="AG50" s="26" t="s">
        <v>7</v>
      </c>
      <c r="AM50" s="30">
        <f t="shared" si="15"/>
        <v>0</v>
      </c>
      <c r="AN50" s="30">
        <f t="shared" si="16"/>
        <v>0</v>
      </c>
      <c r="AO50" s="32" t="s">
        <v>206</v>
      </c>
      <c r="AP50" s="32" t="s">
        <v>217</v>
      </c>
      <c r="AQ50" s="23" t="s">
        <v>219</v>
      </c>
      <c r="AS50" s="30">
        <f t="shared" si="17"/>
        <v>0</v>
      </c>
      <c r="AT50" s="30">
        <f t="shared" si="18"/>
        <v>0</v>
      </c>
      <c r="AU50" s="30">
        <v>0</v>
      </c>
      <c r="AV50" s="30">
        <f t="shared" si="19"/>
        <v>0.0521</v>
      </c>
    </row>
    <row r="51" spans="1:37" ht="12.75">
      <c r="A51" s="5"/>
      <c r="B51" s="12"/>
      <c r="C51" s="12" t="s">
        <v>82</v>
      </c>
      <c r="D51" s="12" t="s">
        <v>140</v>
      </c>
      <c r="E51" s="5" t="s">
        <v>6</v>
      </c>
      <c r="F51" s="5" t="s">
        <v>6</v>
      </c>
      <c r="G51" s="5"/>
      <c r="H51" s="34">
        <f>SUM(H52:H55)</f>
        <v>0</v>
      </c>
      <c r="I51" s="34">
        <f>SUM(I52:I55)</f>
        <v>0</v>
      </c>
      <c r="J51" s="34">
        <f>H51+I51</f>
        <v>0</v>
      </c>
      <c r="K51" s="23"/>
      <c r="L51" s="34">
        <f>SUM(L52:L55)</f>
        <v>31.708689999999997</v>
      </c>
      <c r="M51" s="23"/>
      <c r="Y51" s="23"/>
      <c r="AI51" s="34">
        <f>SUM(Z52:Z55)</f>
        <v>0</v>
      </c>
      <c r="AJ51" s="34">
        <f>SUM(AA52:AA55)</f>
        <v>0</v>
      </c>
      <c r="AK51" s="34">
        <f>SUM(AB52:AB55)</f>
        <v>0</v>
      </c>
    </row>
    <row r="52" spans="1:48" ht="12.75">
      <c r="A52" s="4" t="s">
        <v>33</v>
      </c>
      <c r="B52" s="4"/>
      <c r="C52" s="4" t="s">
        <v>83</v>
      </c>
      <c r="D52" s="4" t="s">
        <v>141</v>
      </c>
      <c r="E52" s="4" t="s">
        <v>160</v>
      </c>
      <c r="F52" s="15">
        <v>76</v>
      </c>
      <c r="G52" s="15"/>
      <c r="H52" s="15">
        <f>F52*AE52</f>
        <v>0</v>
      </c>
      <c r="I52" s="15">
        <f>J52-H52</f>
        <v>0</v>
      </c>
      <c r="J52" s="15">
        <f>F52*G52</f>
        <v>0</v>
      </c>
      <c r="K52" s="15">
        <v>0.11</v>
      </c>
      <c r="L52" s="15">
        <f>F52*K52</f>
        <v>8.36</v>
      </c>
      <c r="M52" s="26" t="s">
        <v>183</v>
      </c>
      <c r="P52" s="30">
        <f>IF(AG52="5",J52,0)</f>
        <v>0</v>
      </c>
      <c r="R52" s="30">
        <f>IF(AG52="1",H52,0)</f>
        <v>0</v>
      </c>
      <c r="S52" s="30">
        <f>IF(AG52="1",I52,0)</f>
        <v>0</v>
      </c>
      <c r="T52" s="30">
        <f>IF(AG52="7",H52,0)</f>
        <v>0</v>
      </c>
      <c r="U52" s="30">
        <f>IF(AG52="7",I52,0)</f>
        <v>0</v>
      </c>
      <c r="V52" s="30">
        <f>IF(AG52="2",H52,0)</f>
        <v>0</v>
      </c>
      <c r="W52" s="30">
        <f>IF(AG52="2",I52,0)</f>
        <v>0</v>
      </c>
      <c r="X52" s="30">
        <f>IF(AG52="0",J52,0)</f>
        <v>0</v>
      </c>
      <c r="Y52" s="23"/>
      <c r="Z52" s="15">
        <f>IF(AD52=0,J52,0)</f>
        <v>0</v>
      </c>
      <c r="AA52" s="15">
        <f>IF(AD52=15,J52,0)</f>
        <v>0</v>
      </c>
      <c r="AB52" s="15">
        <f>IF(AD52=21,J52,0)</f>
        <v>0</v>
      </c>
      <c r="AD52" s="30">
        <v>21</v>
      </c>
      <c r="AE52" s="30">
        <f>G52*0</f>
        <v>0</v>
      </c>
      <c r="AF52" s="30">
        <f>G52*(1-0)</f>
        <v>0</v>
      </c>
      <c r="AG52" s="26" t="s">
        <v>7</v>
      </c>
      <c r="AM52" s="30">
        <f>F52*AE52</f>
        <v>0</v>
      </c>
      <c r="AN52" s="30">
        <f>F52*AF52</f>
        <v>0</v>
      </c>
      <c r="AO52" s="32" t="s">
        <v>207</v>
      </c>
      <c r="AP52" s="32" t="s">
        <v>217</v>
      </c>
      <c r="AQ52" s="23" t="s">
        <v>219</v>
      </c>
      <c r="AS52" s="30">
        <f>AM52+AN52</f>
        <v>0</v>
      </c>
      <c r="AT52" s="30">
        <f>G52/(100-AU52)*100</f>
        <v>0</v>
      </c>
      <c r="AU52" s="30">
        <v>0</v>
      </c>
      <c r="AV52" s="30">
        <f>L52</f>
        <v>8.36</v>
      </c>
    </row>
    <row r="53" spans="1:48" ht="12.75">
      <c r="A53" s="4" t="s">
        <v>34</v>
      </c>
      <c r="B53" s="4"/>
      <c r="C53" s="4" t="s">
        <v>84</v>
      </c>
      <c r="D53" s="4" t="s">
        <v>142</v>
      </c>
      <c r="E53" s="4" t="s">
        <v>161</v>
      </c>
      <c r="F53" s="15">
        <v>6.576</v>
      </c>
      <c r="G53" s="15"/>
      <c r="H53" s="15">
        <f>F53*AE53</f>
        <v>0</v>
      </c>
      <c r="I53" s="15">
        <f>J53-H53</f>
        <v>0</v>
      </c>
      <c r="J53" s="15">
        <f>F53*G53</f>
        <v>0</v>
      </c>
      <c r="K53" s="15">
        <v>1.4</v>
      </c>
      <c r="L53" s="15">
        <f>F53*K53</f>
        <v>9.206399999999999</v>
      </c>
      <c r="M53" s="26" t="s">
        <v>183</v>
      </c>
      <c r="P53" s="30">
        <f>IF(AG53="5",J53,0)</f>
        <v>0</v>
      </c>
      <c r="R53" s="30">
        <f>IF(AG53="1",H53,0)</f>
        <v>0</v>
      </c>
      <c r="S53" s="30">
        <f>IF(AG53="1",I53,0)</f>
        <v>0</v>
      </c>
      <c r="T53" s="30">
        <f>IF(AG53="7",H53,0)</f>
        <v>0</v>
      </c>
      <c r="U53" s="30">
        <f>IF(AG53="7",I53,0)</f>
        <v>0</v>
      </c>
      <c r="V53" s="30">
        <f>IF(AG53="2",H53,0)</f>
        <v>0</v>
      </c>
      <c r="W53" s="30">
        <f>IF(AG53="2",I53,0)</f>
        <v>0</v>
      </c>
      <c r="X53" s="30">
        <f>IF(AG53="0",J53,0)</f>
        <v>0</v>
      </c>
      <c r="Y53" s="23"/>
      <c r="Z53" s="15">
        <f>IF(AD53=0,J53,0)</f>
        <v>0</v>
      </c>
      <c r="AA53" s="15">
        <f>IF(AD53=15,J53,0)</f>
        <v>0</v>
      </c>
      <c r="AB53" s="15">
        <f>IF(AD53=21,J53,0)</f>
        <v>0</v>
      </c>
      <c r="AD53" s="30">
        <v>21</v>
      </c>
      <c r="AE53" s="30">
        <f>G53*0</f>
        <v>0</v>
      </c>
      <c r="AF53" s="30">
        <f>G53*(1-0)</f>
        <v>0</v>
      </c>
      <c r="AG53" s="26" t="s">
        <v>7</v>
      </c>
      <c r="AM53" s="30">
        <f>F53*AE53</f>
        <v>0</v>
      </c>
      <c r="AN53" s="30">
        <f>F53*AF53</f>
        <v>0</v>
      </c>
      <c r="AO53" s="32" t="s">
        <v>207</v>
      </c>
      <c r="AP53" s="32" t="s">
        <v>217</v>
      </c>
      <c r="AQ53" s="23" t="s">
        <v>219</v>
      </c>
      <c r="AS53" s="30">
        <f>AM53+AN53</f>
        <v>0</v>
      </c>
      <c r="AT53" s="30">
        <f>G53/(100-AU53)*100</f>
        <v>0</v>
      </c>
      <c r="AU53" s="30">
        <v>0</v>
      </c>
      <c r="AV53" s="30">
        <f>L53</f>
        <v>9.206399999999999</v>
      </c>
    </row>
    <row r="54" spans="1:48" ht="12.75">
      <c r="A54" s="4" t="s">
        <v>35</v>
      </c>
      <c r="B54" s="4"/>
      <c r="C54" s="4" t="s">
        <v>85</v>
      </c>
      <c r="D54" s="4" t="s">
        <v>143</v>
      </c>
      <c r="E54" s="4" t="s">
        <v>164</v>
      </c>
      <c r="F54" s="15">
        <v>1</v>
      </c>
      <c r="G54" s="15"/>
      <c r="H54" s="15">
        <f>F54*AE54</f>
        <v>0</v>
      </c>
      <c r="I54" s="15">
        <f>J54-H54</f>
        <v>0</v>
      </c>
      <c r="J54" s="15">
        <f>F54*G54</f>
        <v>0</v>
      </c>
      <c r="K54" s="15">
        <v>0.37529</v>
      </c>
      <c r="L54" s="15">
        <f>F54*K54</f>
        <v>0.37529</v>
      </c>
      <c r="M54" s="26" t="s">
        <v>183</v>
      </c>
      <c r="P54" s="30">
        <f>IF(AG54="5",J54,0)</f>
        <v>0</v>
      </c>
      <c r="R54" s="30">
        <f>IF(AG54="1",H54,0)</f>
        <v>0</v>
      </c>
      <c r="S54" s="30">
        <f>IF(AG54="1",I54,0)</f>
        <v>0</v>
      </c>
      <c r="T54" s="30">
        <f>IF(AG54="7",H54,0)</f>
        <v>0</v>
      </c>
      <c r="U54" s="30">
        <f>IF(AG54="7",I54,0)</f>
        <v>0</v>
      </c>
      <c r="V54" s="30">
        <f>IF(AG54="2",H54,0)</f>
        <v>0</v>
      </c>
      <c r="W54" s="30">
        <f>IF(AG54="2",I54,0)</f>
        <v>0</v>
      </c>
      <c r="X54" s="30">
        <f>IF(AG54="0",J54,0)</f>
        <v>0</v>
      </c>
      <c r="Y54" s="23"/>
      <c r="Z54" s="15">
        <f>IF(AD54=0,J54,0)</f>
        <v>0</v>
      </c>
      <c r="AA54" s="15">
        <f>IF(AD54=15,J54,0)</f>
        <v>0</v>
      </c>
      <c r="AB54" s="15">
        <f>IF(AD54=21,J54,0)</f>
        <v>0</v>
      </c>
      <c r="AD54" s="30">
        <v>21</v>
      </c>
      <c r="AE54" s="30">
        <f>G54*0.102931323283082</f>
        <v>0</v>
      </c>
      <c r="AF54" s="30">
        <f>G54*(1-0.102931323283082)</f>
        <v>0</v>
      </c>
      <c r="AG54" s="26" t="s">
        <v>7</v>
      </c>
      <c r="AM54" s="30">
        <f>F54*AE54</f>
        <v>0</v>
      </c>
      <c r="AN54" s="30">
        <f>F54*AF54</f>
        <v>0</v>
      </c>
      <c r="AO54" s="32" t="s">
        <v>207</v>
      </c>
      <c r="AP54" s="32" t="s">
        <v>217</v>
      </c>
      <c r="AQ54" s="23" t="s">
        <v>219</v>
      </c>
      <c r="AS54" s="30">
        <f>AM54+AN54</f>
        <v>0</v>
      </c>
      <c r="AT54" s="30">
        <f>G54/(100-AU54)*100</f>
        <v>0</v>
      </c>
      <c r="AU54" s="30">
        <v>0</v>
      </c>
      <c r="AV54" s="30">
        <f>L54</f>
        <v>0.37529</v>
      </c>
    </row>
    <row r="55" spans="1:48" ht="12.75">
      <c r="A55" s="4" t="s">
        <v>36</v>
      </c>
      <c r="B55" s="4"/>
      <c r="C55" s="4" t="s">
        <v>86</v>
      </c>
      <c r="D55" s="4" t="s">
        <v>144</v>
      </c>
      <c r="E55" s="4" t="s">
        <v>160</v>
      </c>
      <c r="F55" s="15">
        <v>50</v>
      </c>
      <c r="G55" s="15"/>
      <c r="H55" s="15">
        <f>F55*AE55</f>
        <v>0</v>
      </c>
      <c r="I55" s="15">
        <f>J55-H55</f>
        <v>0</v>
      </c>
      <c r="J55" s="15">
        <f>F55*G55</f>
        <v>0</v>
      </c>
      <c r="K55" s="15">
        <v>0.27534</v>
      </c>
      <c r="L55" s="15">
        <f>F55*K55</f>
        <v>13.767</v>
      </c>
      <c r="M55" s="26" t="s">
        <v>183</v>
      </c>
      <c r="P55" s="30">
        <f>IF(AG55="5",J55,0)</f>
        <v>0</v>
      </c>
      <c r="R55" s="30">
        <f>IF(AG55="1",H55,0)</f>
        <v>0</v>
      </c>
      <c r="S55" s="30">
        <f>IF(AG55="1",I55,0)</f>
        <v>0</v>
      </c>
      <c r="T55" s="30">
        <f>IF(AG55="7",H55,0)</f>
        <v>0</v>
      </c>
      <c r="U55" s="30">
        <f>IF(AG55="7",I55,0)</f>
        <v>0</v>
      </c>
      <c r="V55" s="30">
        <f>IF(AG55="2",H55,0)</f>
        <v>0</v>
      </c>
      <c r="W55" s="30">
        <f>IF(AG55="2",I55,0)</f>
        <v>0</v>
      </c>
      <c r="X55" s="30">
        <f>IF(AG55="0",J55,0)</f>
        <v>0</v>
      </c>
      <c r="Y55" s="23"/>
      <c r="Z55" s="15">
        <f>IF(AD55=0,J55,0)</f>
        <v>0</v>
      </c>
      <c r="AA55" s="15">
        <f>IF(AD55=15,J55,0)</f>
        <v>0</v>
      </c>
      <c r="AB55" s="15">
        <f>IF(AD55=21,J55,0)</f>
        <v>0</v>
      </c>
      <c r="AD55" s="30">
        <v>21</v>
      </c>
      <c r="AE55" s="30">
        <f>G55*0.0267890154952775</f>
        <v>0</v>
      </c>
      <c r="AF55" s="30">
        <f>G55*(1-0.0267890154952775)</f>
        <v>0</v>
      </c>
      <c r="AG55" s="26" t="s">
        <v>7</v>
      </c>
      <c r="AM55" s="30">
        <f>F55*AE55</f>
        <v>0</v>
      </c>
      <c r="AN55" s="30">
        <f>F55*AF55</f>
        <v>0</v>
      </c>
      <c r="AO55" s="32" t="s">
        <v>207</v>
      </c>
      <c r="AP55" s="32" t="s">
        <v>217</v>
      </c>
      <c r="AQ55" s="23" t="s">
        <v>219</v>
      </c>
      <c r="AS55" s="30">
        <f>AM55+AN55</f>
        <v>0</v>
      </c>
      <c r="AT55" s="30">
        <f>G55/(100-AU55)*100</f>
        <v>0</v>
      </c>
      <c r="AU55" s="30">
        <v>0</v>
      </c>
      <c r="AV55" s="30">
        <f>L55</f>
        <v>13.767</v>
      </c>
    </row>
    <row r="56" spans="1:37" ht="12.75">
      <c r="A56" s="5"/>
      <c r="B56" s="12"/>
      <c r="C56" s="12" t="s">
        <v>87</v>
      </c>
      <c r="D56" s="12" t="s">
        <v>145</v>
      </c>
      <c r="E56" s="5" t="s">
        <v>6</v>
      </c>
      <c r="F56" s="5" t="s">
        <v>6</v>
      </c>
      <c r="G56" s="5"/>
      <c r="H56" s="34">
        <f>SUM(H57:H59)</f>
        <v>0</v>
      </c>
      <c r="I56" s="34">
        <f>SUM(I57:I59)</f>
        <v>0</v>
      </c>
      <c r="J56" s="34">
        <f>H56+I56</f>
        <v>0</v>
      </c>
      <c r="K56" s="23"/>
      <c r="L56" s="34">
        <f>SUM(L57:L59)</f>
        <v>13.304499999999999</v>
      </c>
      <c r="M56" s="23"/>
      <c r="Y56" s="23"/>
      <c r="AI56" s="34">
        <f>SUM(Z57:Z59)</f>
        <v>0</v>
      </c>
      <c r="AJ56" s="34">
        <f>SUM(AA57:AA59)</f>
        <v>0</v>
      </c>
      <c r="AK56" s="34">
        <f>SUM(AB57:AB59)</f>
        <v>0</v>
      </c>
    </row>
    <row r="57" spans="1:48" ht="12.75">
      <c r="A57" s="4" t="s">
        <v>37</v>
      </c>
      <c r="B57" s="4"/>
      <c r="C57" s="4" t="s">
        <v>88</v>
      </c>
      <c r="D57" s="4" t="s">
        <v>146</v>
      </c>
      <c r="E57" s="4" t="s">
        <v>160</v>
      </c>
      <c r="F57" s="15">
        <v>225.5</v>
      </c>
      <c r="G57" s="15"/>
      <c r="H57" s="15">
        <f>F57*AE57</f>
        <v>0</v>
      </c>
      <c r="I57" s="15">
        <f>J57-H57</f>
        <v>0</v>
      </c>
      <c r="J57" s="15">
        <f>F57*G57</f>
        <v>0</v>
      </c>
      <c r="K57" s="15">
        <v>0.059</v>
      </c>
      <c r="L57" s="15">
        <f>F57*K57</f>
        <v>13.304499999999999</v>
      </c>
      <c r="M57" s="26" t="s">
        <v>183</v>
      </c>
      <c r="P57" s="30">
        <f>IF(AG57="5",J57,0)</f>
        <v>0</v>
      </c>
      <c r="R57" s="30">
        <f>IF(AG57="1",H57,0)</f>
        <v>0</v>
      </c>
      <c r="S57" s="30">
        <f>IF(AG57="1",I57,0)</f>
        <v>0</v>
      </c>
      <c r="T57" s="30">
        <f>IF(AG57="7",H57,0)</f>
        <v>0</v>
      </c>
      <c r="U57" s="30">
        <f>IF(AG57="7",I57,0)</f>
        <v>0</v>
      </c>
      <c r="V57" s="30">
        <f>IF(AG57="2",H57,0)</f>
        <v>0</v>
      </c>
      <c r="W57" s="30">
        <f>IF(AG57="2",I57,0)</f>
        <v>0</v>
      </c>
      <c r="X57" s="30">
        <f>IF(AG57="0",J57,0)</f>
        <v>0</v>
      </c>
      <c r="Y57" s="23"/>
      <c r="Z57" s="15">
        <f>IF(AD57=0,J57,0)</f>
        <v>0</v>
      </c>
      <c r="AA57" s="15">
        <f>IF(AD57=15,J57,0)</f>
        <v>0</v>
      </c>
      <c r="AB57" s="15">
        <f>IF(AD57=21,J57,0)</f>
        <v>0</v>
      </c>
      <c r="AD57" s="30">
        <v>21</v>
      </c>
      <c r="AE57" s="30">
        <f>G57*0</f>
        <v>0</v>
      </c>
      <c r="AF57" s="30">
        <f>G57*(1-0)</f>
        <v>0</v>
      </c>
      <c r="AG57" s="26" t="s">
        <v>7</v>
      </c>
      <c r="AM57" s="30">
        <f>F57*AE57</f>
        <v>0</v>
      </c>
      <c r="AN57" s="30">
        <f>F57*AF57</f>
        <v>0</v>
      </c>
      <c r="AO57" s="32" t="s">
        <v>208</v>
      </c>
      <c r="AP57" s="32" t="s">
        <v>217</v>
      </c>
      <c r="AQ57" s="23" t="s">
        <v>219</v>
      </c>
      <c r="AS57" s="30">
        <f>AM57+AN57</f>
        <v>0</v>
      </c>
      <c r="AT57" s="30">
        <f>G57/(100-AU57)*100</f>
        <v>0</v>
      </c>
      <c r="AU57" s="30">
        <v>0</v>
      </c>
      <c r="AV57" s="30">
        <f>L57</f>
        <v>13.304499999999999</v>
      </c>
    </row>
    <row r="58" spans="1:48" ht="12.75">
      <c r="A58" s="4" t="s">
        <v>38</v>
      </c>
      <c r="B58" s="4"/>
      <c r="C58" s="4" t="s">
        <v>89</v>
      </c>
      <c r="D58" s="4" t="s">
        <v>147</v>
      </c>
      <c r="E58" s="4" t="s">
        <v>165</v>
      </c>
      <c r="F58" s="15">
        <v>10</v>
      </c>
      <c r="G58" s="15"/>
      <c r="H58" s="15">
        <f>F58*AE58</f>
        <v>0</v>
      </c>
      <c r="I58" s="15">
        <f>J58-H58</f>
        <v>0</v>
      </c>
      <c r="J58" s="15">
        <f>F58*G58</f>
        <v>0</v>
      </c>
      <c r="K58" s="15">
        <v>0</v>
      </c>
      <c r="L58" s="15">
        <f>F58*K58</f>
        <v>0</v>
      </c>
      <c r="M58" s="26" t="s">
        <v>183</v>
      </c>
      <c r="P58" s="30">
        <f>IF(AG58="5",J58,0)</f>
        <v>0</v>
      </c>
      <c r="R58" s="30">
        <f>IF(AG58="1",H58,0)</f>
        <v>0</v>
      </c>
      <c r="S58" s="30">
        <f>IF(AG58="1",I58,0)</f>
        <v>0</v>
      </c>
      <c r="T58" s="30">
        <f>IF(AG58="7",H58,0)</f>
        <v>0</v>
      </c>
      <c r="U58" s="30">
        <f>IF(AG58="7",I58,0)</f>
        <v>0</v>
      </c>
      <c r="V58" s="30">
        <f>IF(AG58="2",H58,0)</f>
        <v>0</v>
      </c>
      <c r="W58" s="30">
        <f>IF(AG58="2",I58,0)</f>
        <v>0</v>
      </c>
      <c r="X58" s="30">
        <f>IF(AG58="0",J58,0)</f>
        <v>0</v>
      </c>
      <c r="Y58" s="23"/>
      <c r="Z58" s="15">
        <f>IF(AD58=0,J58,0)</f>
        <v>0</v>
      </c>
      <c r="AA58" s="15">
        <f>IF(AD58=15,J58,0)</f>
        <v>0</v>
      </c>
      <c r="AB58" s="15">
        <f>IF(AD58=21,J58,0)</f>
        <v>0</v>
      </c>
      <c r="AD58" s="30">
        <v>21</v>
      </c>
      <c r="AE58" s="30">
        <f>G58*0</f>
        <v>0</v>
      </c>
      <c r="AF58" s="30">
        <f>G58*(1-0)</f>
        <v>0</v>
      </c>
      <c r="AG58" s="26" t="s">
        <v>7</v>
      </c>
      <c r="AM58" s="30">
        <f>F58*AE58</f>
        <v>0</v>
      </c>
      <c r="AN58" s="30">
        <f>F58*AF58</f>
        <v>0</v>
      </c>
      <c r="AO58" s="32" t="s">
        <v>208</v>
      </c>
      <c r="AP58" s="32" t="s">
        <v>217</v>
      </c>
      <c r="AQ58" s="23" t="s">
        <v>219</v>
      </c>
      <c r="AS58" s="30">
        <f>AM58+AN58</f>
        <v>0</v>
      </c>
      <c r="AT58" s="30">
        <f>G58/(100-AU58)*100</f>
        <v>0</v>
      </c>
      <c r="AU58" s="30">
        <v>0</v>
      </c>
      <c r="AV58" s="30">
        <f>L58</f>
        <v>0</v>
      </c>
    </row>
    <row r="59" spans="1:48" ht="12.75">
      <c r="A59" s="4" t="s">
        <v>39</v>
      </c>
      <c r="B59" s="4"/>
      <c r="C59" s="4" t="s">
        <v>90</v>
      </c>
      <c r="D59" s="4" t="s">
        <v>148</v>
      </c>
      <c r="E59" s="4" t="s">
        <v>165</v>
      </c>
      <c r="F59" s="15">
        <v>10</v>
      </c>
      <c r="G59" s="15"/>
      <c r="H59" s="15">
        <f>F59*AE59</f>
        <v>0</v>
      </c>
      <c r="I59" s="15">
        <f>J59-H59</f>
        <v>0</v>
      </c>
      <c r="J59" s="15">
        <f>F59*G59</f>
        <v>0</v>
      </c>
      <c r="K59" s="15">
        <v>0</v>
      </c>
      <c r="L59" s="15">
        <f>F59*K59</f>
        <v>0</v>
      </c>
      <c r="M59" s="26" t="s">
        <v>183</v>
      </c>
      <c r="P59" s="30">
        <f>IF(AG59="5",J59,0)</f>
        <v>0</v>
      </c>
      <c r="R59" s="30">
        <f>IF(AG59="1",H59,0)</f>
        <v>0</v>
      </c>
      <c r="S59" s="30">
        <f>IF(AG59="1",I59,0)</f>
        <v>0</v>
      </c>
      <c r="T59" s="30">
        <f>IF(AG59="7",H59,0)</f>
        <v>0</v>
      </c>
      <c r="U59" s="30">
        <f>IF(AG59="7",I59,0)</f>
        <v>0</v>
      </c>
      <c r="V59" s="30">
        <f>IF(AG59="2",H59,0)</f>
        <v>0</v>
      </c>
      <c r="W59" s="30">
        <f>IF(AG59="2",I59,0)</f>
        <v>0</v>
      </c>
      <c r="X59" s="30">
        <f>IF(AG59="0",J59,0)</f>
        <v>0</v>
      </c>
      <c r="Y59" s="23"/>
      <c r="Z59" s="15">
        <f>IF(AD59=0,J59,0)</f>
        <v>0</v>
      </c>
      <c r="AA59" s="15">
        <f>IF(AD59=15,J59,0)</f>
        <v>0</v>
      </c>
      <c r="AB59" s="15">
        <f>IF(AD59=21,J59,0)</f>
        <v>0</v>
      </c>
      <c r="AD59" s="30">
        <v>21</v>
      </c>
      <c r="AE59" s="30">
        <f>G59*0</f>
        <v>0</v>
      </c>
      <c r="AF59" s="30">
        <f>G59*(1-0)</f>
        <v>0</v>
      </c>
      <c r="AG59" s="26" t="s">
        <v>7</v>
      </c>
      <c r="AM59" s="30">
        <f>F59*AE59</f>
        <v>0</v>
      </c>
      <c r="AN59" s="30">
        <f>F59*AF59</f>
        <v>0</v>
      </c>
      <c r="AO59" s="32" t="s">
        <v>208</v>
      </c>
      <c r="AP59" s="32" t="s">
        <v>217</v>
      </c>
      <c r="AQ59" s="23" t="s">
        <v>219</v>
      </c>
      <c r="AS59" s="30">
        <f>AM59+AN59</f>
        <v>0</v>
      </c>
      <c r="AT59" s="30">
        <f>G59/(100-AU59)*100</f>
        <v>0</v>
      </c>
      <c r="AU59" s="30">
        <v>0</v>
      </c>
      <c r="AV59" s="30">
        <f>L59</f>
        <v>0</v>
      </c>
    </row>
    <row r="60" spans="1:37" ht="12.75">
      <c r="A60" s="5"/>
      <c r="B60" s="12"/>
      <c r="C60" s="12" t="s">
        <v>91</v>
      </c>
      <c r="D60" s="12" t="s">
        <v>149</v>
      </c>
      <c r="E60" s="5" t="s">
        <v>6</v>
      </c>
      <c r="F60" s="5" t="s">
        <v>6</v>
      </c>
      <c r="G60" s="5"/>
      <c r="H60" s="34">
        <f>SUM(H61:H61)</f>
        <v>0</v>
      </c>
      <c r="I60" s="34">
        <f>SUM(I61:I61)</f>
        <v>0</v>
      </c>
      <c r="J60" s="34">
        <f>H60+I60</f>
        <v>0</v>
      </c>
      <c r="K60" s="23"/>
      <c r="L60" s="34">
        <f>SUM(L61:L61)</f>
        <v>0</v>
      </c>
      <c r="M60" s="23"/>
      <c r="Y60" s="23"/>
      <c r="AI60" s="34">
        <f>SUM(Z61:Z61)</f>
        <v>0</v>
      </c>
      <c r="AJ60" s="34">
        <f>SUM(AA61:AA61)</f>
        <v>0</v>
      </c>
      <c r="AK60" s="34">
        <f>SUM(AB61:AB61)</f>
        <v>0</v>
      </c>
    </row>
    <row r="61" spans="1:48" ht="12.75">
      <c r="A61" s="4" t="s">
        <v>40</v>
      </c>
      <c r="B61" s="4"/>
      <c r="C61" s="4" t="s">
        <v>92</v>
      </c>
      <c r="D61" s="4" t="s">
        <v>150</v>
      </c>
      <c r="E61" s="4" t="s">
        <v>166</v>
      </c>
      <c r="F61" s="15">
        <v>167.4825</v>
      </c>
      <c r="G61" s="15"/>
      <c r="H61" s="15">
        <f>F61*AE61</f>
        <v>0</v>
      </c>
      <c r="I61" s="15">
        <f>J61-H61</f>
        <v>0</v>
      </c>
      <c r="J61" s="15">
        <f>F61*G61</f>
        <v>0</v>
      </c>
      <c r="K61" s="15">
        <v>0</v>
      </c>
      <c r="L61" s="15">
        <f>F61*K61</f>
        <v>0</v>
      </c>
      <c r="M61" s="26" t="s">
        <v>183</v>
      </c>
      <c r="P61" s="30">
        <f>IF(AG61="5",J61,0)</f>
        <v>0</v>
      </c>
      <c r="R61" s="30">
        <f>IF(AG61="1",H61,0)</f>
        <v>0</v>
      </c>
      <c r="S61" s="30">
        <f>IF(AG61="1",I61,0)</f>
        <v>0</v>
      </c>
      <c r="T61" s="30">
        <f>IF(AG61="7",H61,0)</f>
        <v>0</v>
      </c>
      <c r="U61" s="30">
        <f>IF(AG61="7",I61,0)</f>
        <v>0</v>
      </c>
      <c r="V61" s="30">
        <f>IF(AG61="2",H61,0)</f>
        <v>0</v>
      </c>
      <c r="W61" s="30">
        <f>IF(AG61="2",I61,0)</f>
        <v>0</v>
      </c>
      <c r="X61" s="30">
        <f>IF(AG61="0",J61,0)</f>
        <v>0</v>
      </c>
      <c r="Y61" s="23"/>
      <c r="Z61" s="15">
        <f>IF(AD61=0,J61,0)</f>
        <v>0</v>
      </c>
      <c r="AA61" s="15">
        <f>IF(AD61=15,J61,0)</f>
        <v>0</v>
      </c>
      <c r="AB61" s="15">
        <f>IF(AD61=21,J61,0)</f>
        <v>0</v>
      </c>
      <c r="AD61" s="30">
        <v>21</v>
      </c>
      <c r="AE61" s="30">
        <f>G61*0</f>
        <v>0</v>
      </c>
      <c r="AF61" s="30">
        <f>G61*(1-0)</f>
        <v>0</v>
      </c>
      <c r="AG61" s="26" t="s">
        <v>11</v>
      </c>
      <c r="AM61" s="30">
        <f>F61*AE61</f>
        <v>0</v>
      </c>
      <c r="AN61" s="30">
        <f>F61*AF61</f>
        <v>0</v>
      </c>
      <c r="AO61" s="32" t="s">
        <v>209</v>
      </c>
      <c r="AP61" s="32" t="s">
        <v>217</v>
      </c>
      <c r="AQ61" s="23" t="s">
        <v>219</v>
      </c>
      <c r="AS61" s="30">
        <f>AM61+AN61</f>
        <v>0</v>
      </c>
      <c r="AT61" s="30">
        <f>G61/(100-AU61)*100</f>
        <v>0</v>
      </c>
      <c r="AU61" s="30">
        <v>0</v>
      </c>
      <c r="AV61" s="30">
        <f>L61</f>
        <v>0</v>
      </c>
    </row>
    <row r="62" spans="1:37" ht="12.75">
      <c r="A62" s="5"/>
      <c r="B62" s="12"/>
      <c r="C62" s="12" t="s">
        <v>93</v>
      </c>
      <c r="D62" s="12" t="s">
        <v>151</v>
      </c>
      <c r="E62" s="5" t="s">
        <v>6</v>
      </c>
      <c r="F62" s="5" t="s">
        <v>6</v>
      </c>
      <c r="G62" s="5"/>
      <c r="H62" s="34">
        <f>SUM(H63:H63)</f>
        <v>0</v>
      </c>
      <c r="I62" s="34">
        <f>SUM(I63:I63)</f>
        <v>0</v>
      </c>
      <c r="J62" s="34">
        <f>H62+I62</f>
        <v>0</v>
      </c>
      <c r="K62" s="23"/>
      <c r="L62" s="34">
        <f>SUM(L63:L63)</f>
        <v>0</v>
      </c>
      <c r="M62" s="23"/>
      <c r="Y62" s="23"/>
      <c r="AI62" s="34">
        <f>SUM(Z63:Z63)</f>
        <v>0</v>
      </c>
      <c r="AJ62" s="34">
        <f>SUM(AA63:AA63)</f>
        <v>0</v>
      </c>
      <c r="AK62" s="34">
        <f>SUM(AB63:AB63)</f>
        <v>0</v>
      </c>
    </row>
    <row r="63" spans="1:48" ht="12.75">
      <c r="A63" s="4" t="s">
        <v>41</v>
      </c>
      <c r="B63" s="4"/>
      <c r="C63" s="4" t="s">
        <v>94</v>
      </c>
      <c r="D63" s="4" t="s">
        <v>152</v>
      </c>
      <c r="E63" s="4" t="s">
        <v>166</v>
      </c>
      <c r="F63" s="15">
        <v>50.706</v>
      </c>
      <c r="G63" s="15"/>
      <c r="H63" s="15">
        <f>F63*AE63</f>
        <v>0</v>
      </c>
      <c r="I63" s="15">
        <f>J63-H63</f>
        <v>0</v>
      </c>
      <c r="J63" s="15">
        <f>F63*G63</f>
        <v>0</v>
      </c>
      <c r="K63" s="15">
        <v>0</v>
      </c>
      <c r="L63" s="15">
        <f>F63*K63</f>
        <v>0</v>
      </c>
      <c r="M63" s="26" t="s">
        <v>183</v>
      </c>
      <c r="P63" s="30">
        <f>IF(AG63="5",J63,0)</f>
        <v>0</v>
      </c>
      <c r="R63" s="30">
        <f>IF(AG63="1",H63,0)</f>
        <v>0</v>
      </c>
      <c r="S63" s="30">
        <f>IF(AG63="1",I63,0)</f>
        <v>0</v>
      </c>
      <c r="T63" s="30">
        <f>IF(AG63="7",H63,0)</f>
        <v>0</v>
      </c>
      <c r="U63" s="30">
        <f>IF(AG63="7",I63,0)</f>
        <v>0</v>
      </c>
      <c r="V63" s="30">
        <f>IF(AG63="2",H63,0)</f>
        <v>0</v>
      </c>
      <c r="W63" s="30">
        <f>IF(AG63="2",I63,0)</f>
        <v>0</v>
      </c>
      <c r="X63" s="30">
        <f>IF(AG63="0",J63,0)</f>
        <v>0</v>
      </c>
      <c r="Y63" s="23"/>
      <c r="Z63" s="15">
        <f>IF(AD63=0,J63,0)</f>
        <v>0</v>
      </c>
      <c r="AA63" s="15">
        <f>IF(AD63=15,J63,0)</f>
        <v>0</v>
      </c>
      <c r="AB63" s="15">
        <f>IF(AD63=21,J63,0)</f>
        <v>0</v>
      </c>
      <c r="AD63" s="30">
        <v>21</v>
      </c>
      <c r="AE63" s="30">
        <f>G63*0</f>
        <v>0</v>
      </c>
      <c r="AF63" s="30">
        <f>G63*(1-0)</f>
        <v>0</v>
      </c>
      <c r="AG63" s="26" t="s">
        <v>11</v>
      </c>
      <c r="AM63" s="30">
        <f>F63*AE63</f>
        <v>0</v>
      </c>
      <c r="AN63" s="30">
        <f>F63*AF63</f>
        <v>0</v>
      </c>
      <c r="AO63" s="32" t="s">
        <v>210</v>
      </c>
      <c r="AP63" s="32" t="s">
        <v>217</v>
      </c>
      <c r="AQ63" s="23" t="s">
        <v>219</v>
      </c>
      <c r="AS63" s="30">
        <f>AM63+AN63</f>
        <v>0</v>
      </c>
      <c r="AT63" s="30">
        <f>G63/(100-AU63)*100</f>
        <v>0</v>
      </c>
      <c r="AU63" s="30">
        <v>0</v>
      </c>
      <c r="AV63" s="30">
        <f>L63</f>
        <v>0</v>
      </c>
    </row>
    <row r="64" spans="1:37" ht="12.75">
      <c r="A64" s="5"/>
      <c r="B64" s="12"/>
      <c r="C64" s="12"/>
      <c r="D64" s="12" t="s">
        <v>153</v>
      </c>
      <c r="E64" s="5" t="s">
        <v>6</v>
      </c>
      <c r="F64" s="5" t="s">
        <v>6</v>
      </c>
      <c r="G64" s="5"/>
      <c r="H64" s="34">
        <f>SUM(H65:H65)</f>
        <v>0</v>
      </c>
      <c r="I64" s="34">
        <f>SUM(I65:I65)</f>
        <v>0</v>
      </c>
      <c r="J64" s="34">
        <f>H64+I64</f>
        <v>0</v>
      </c>
      <c r="K64" s="23"/>
      <c r="L64" s="34">
        <f>SUM(L65:L65)</f>
        <v>0.011219999999999999</v>
      </c>
      <c r="M64" s="23"/>
      <c r="Y64" s="23"/>
      <c r="AI64" s="34">
        <f>SUM(Z65:Z65)</f>
        <v>0</v>
      </c>
      <c r="AJ64" s="34">
        <f>SUM(AA65:AA65)</f>
        <v>0</v>
      </c>
      <c r="AK64" s="34">
        <f>SUM(AB65:AB65)</f>
        <v>0</v>
      </c>
    </row>
    <row r="65" spans="1:48" ht="12.75">
      <c r="A65" s="6" t="s">
        <v>42</v>
      </c>
      <c r="B65" s="6"/>
      <c r="C65" s="6" t="s">
        <v>95</v>
      </c>
      <c r="D65" s="6" t="s">
        <v>154</v>
      </c>
      <c r="E65" s="6" t="s">
        <v>160</v>
      </c>
      <c r="F65" s="16">
        <v>74.8</v>
      </c>
      <c r="G65" s="16"/>
      <c r="H65" s="16">
        <f>F65*AE65</f>
        <v>0</v>
      </c>
      <c r="I65" s="16">
        <f>J65-H65</f>
        <v>0</v>
      </c>
      <c r="J65" s="16">
        <f>F65*G65</f>
        <v>0</v>
      </c>
      <c r="K65" s="16">
        <v>0.00015</v>
      </c>
      <c r="L65" s="16">
        <f>F65*K65</f>
        <v>0.011219999999999999</v>
      </c>
      <c r="M65" s="27" t="s">
        <v>183</v>
      </c>
      <c r="P65" s="30">
        <f>IF(AG65="5",J65,0)</f>
        <v>0</v>
      </c>
      <c r="R65" s="30">
        <f>IF(AG65="1",H65,0)</f>
        <v>0</v>
      </c>
      <c r="S65" s="30">
        <f>IF(AG65="1",I65,0)</f>
        <v>0</v>
      </c>
      <c r="T65" s="30">
        <f>IF(AG65="7",H65,0)</f>
        <v>0</v>
      </c>
      <c r="U65" s="30">
        <f>IF(AG65="7",I65,0)</f>
        <v>0</v>
      </c>
      <c r="V65" s="30">
        <f>IF(AG65="2",H65,0)</f>
        <v>0</v>
      </c>
      <c r="W65" s="30">
        <f>IF(AG65="2",I65,0)</f>
        <v>0</v>
      </c>
      <c r="X65" s="30">
        <f>IF(AG65="0",J65,0)</f>
        <v>0</v>
      </c>
      <c r="Y65" s="23"/>
      <c r="Z65" s="36">
        <f>IF(AD65=0,J65,0)</f>
        <v>0</v>
      </c>
      <c r="AA65" s="36">
        <f>IF(AD65=15,J65,0)</f>
        <v>0</v>
      </c>
      <c r="AB65" s="36">
        <f>IF(AD65=21,J65,0)</f>
        <v>0</v>
      </c>
      <c r="AD65" s="30">
        <v>21</v>
      </c>
      <c r="AE65" s="30">
        <f>G65*1</f>
        <v>0</v>
      </c>
      <c r="AF65" s="30">
        <f>G65*(1-1)</f>
        <v>0</v>
      </c>
      <c r="AG65" s="31" t="s">
        <v>193</v>
      </c>
      <c r="AM65" s="30">
        <f>F65*AE65</f>
        <v>0</v>
      </c>
      <c r="AN65" s="30">
        <f>F65*AF65</f>
        <v>0</v>
      </c>
      <c r="AO65" s="32" t="s">
        <v>211</v>
      </c>
      <c r="AP65" s="32" t="s">
        <v>218</v>
      </c>
      <c r="AQ65" s="23" t="s">
        <v>219</v>
      </c>
      <c r="AS65" s="30">
        <f>AM65+AN65</f>
        <v>0</v>
      </c>
      <c r="AT65" s="30">
        <f>G65/(100-AU65)*100</f>
        <v>0</v>
      </c>
      <c r="AU65" s="30">
        <v>0</v>
      </c>
      <c r="AV65" s="30">
        <f>L65</f>
        <v>0.011219999999999999</v>
      </c>
    </row>
    <row r="66" spans="1:13" ht="12.75">
      <c r="A66" s="7"/>
      <c r="B66" s="7"/>
      <c r="C66" s="7"/>
      <c r="D66" s="7"/>
      <c r="E66" s="7"/>
      <c r="F66" s="7"/>
      <c r="G66" s="7"/>
      <c r="H66" s="57" t="s">
        <v>173</v>
      </c>
      <c r="I66" s="58"/>
      <c r="J66" s="35">
        <f>J12+J14+J17+J19+J21+J23+J26+J28+J33+J37+J39+J41+J43+J51+J56+J60+J62+J64</f>
        <v>0</v>
      </c>
      <c r="K66" s="7"/>
      <c r="L66" s="7"/>
      <c r="M66" s="7"/>
    </row>
    <row r="67" ht="11.25" customHeight="1">
      <c r="A67" s="8" t="s">
        <v>43</v>
      </c>
    </row>
    <row r="68" spans="1:13" ht="12.7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</sheetData>
  <sheetProtection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66:I66"/>
    <mergeCell ref="A68:M68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37"/>
      <c r="C1" s="101" t="s">
        <v>234</v>
      </c>
      <c r="D1" s="69"/>
      <c r="E1" s="69"/>
      <c r="F1" s="69"/>
      <c r="G1" s="69"/>
      <c r="H1" s="69"/>
      <c r="I1" s="69"/>
    </row>
    <row r="2" spans="1:10" ht="12.75">
      <c r="A2" s="70" t="s">
        <v>1</v>
      </c>
      <c r="B2" s="71"/>
      <c r="C2" s="72" t="str">
        <f>'Stavební rozpočet'!D2</f>
        <v>Jesnice ISŠ</v>
      </c>
      <c r="D2" s="58"/>
      <c r="E2" s="75" t="s">
        <v>174</v>
      </c>
      <c r="F2" s="75" t="str">
        <f>'Stavební rozpočet'!J2</f>
        <v> </v>
      </c>
      <c r="G2" s="71"/>
      <c r="H2" s="75" t="s">
        <v>259</v>
      </c>
      <c r="I2" s="102"/>
      <c r="J2" s="28"/>
    </row>
    <row r="3" spans="1:10" ht="12.75">
      <c r="A3" s="67"/>
      <c r="B3" s="60"/>
      <c r="C3" s="73"/>
      <c r="D3" s="73"/>
      <c r="E3" s="60"/>
      <c r="F3" s="60"/>
      <c r="G3" s="60"/>
      <c r="H3" s="60"/>
      <c r="I3" s="65"/>
      <c r="J3" s="28"/>
    </row>
    <row r="4" spans="1:10" ht="12.75">
      <c r="A4" s="61" t="s">
        <v>2</v>
      </c>
      <c r="B4" s="60"/>
      <c r="C4" s="59" t="str">
        <f>'Stavební rozpočet'!D4</f>
        <v>Oprava fasády</v>
      </c>
      <c r="D4" s="60"/>
      <c r="E4" s="59" t="s">
        <v>175</v>
      </c>
      <c r="F4" s="59" t="str">
        <f>'Stavební rozpočet'!J4</f>
        <v> </v>
      </c>
      <c r="G4" s="60"/>
      <c r="H4" s="59" t="s">
        <v>259</v>
      </c>
      <c r="I4" s="100"/>
      <c r="J4" s="28"/>
    </row>
    <row r="5" spans="1:10" ht="12.75">
      <c r="A5" s="67"/>
      <c r="B5" s="60"/>
      <c r="C5" s="60"/>
      <c r="D5" s="60"/>
      <c r="E5" s="60"/>
      <c r="F5" s="60"/>
      <c r="G5" s="60"/>
      <c r="H5" s="60"/>
      <c r="I5" s="65"/>
      <c r="J5" s="28"/>
    </row>
    <row r="6" spans="1:10" ht="12.75">
      <c r="A6" s="61" t="s">
        <v>3</v>
      </c>
      <c r="B6" s="60"/>
      <c r="C6" s="59" t="str">
        <f>'Stavební rozpočet'!D6</f>
        <v>Jesenice u Rakovníka</v>
      </c>
      <c r="D6" s="60"/>
      <c r="E6" s="59" t="s">
        <v>176</v>
      </c>
      <c r="F6" s="59" t="str">
        <f>'Stavební rozpočet'!J6</f>
        <v> </v>
      </c>
      <c r="G6" s="60"/>
      <c r="H6" s="59" t="s">
        <v>259</v>
      </c>
      <c r="I6" s="100"/>
      <c r="J6" s="28"/>
    </row>
    <row r="7" spans="1:10" ht="12.75">
      <c r="A7" s="67"/>
      <c r="B7" s="60"/>
      <c r="C7" s="60"/>
      <c r="D7" s="60"/>
      <c r="E7" s="60"/>
      <c r="F7" s="60"/>
      <c r="G7" s="60"/>
      <c r="H7" s="60"/>
      <c r="I7" s="65"/>
      <c r="J7" s="28"/>
    </row>
    <row r="8" spans="1:10" ht="12.75">
      <c r="A8" s="61" t="s">
        <v>156</v>
      </c>
      <c r="B8" s="60"/>
      <c r="C8" s="59" t="str">
        <f>'Stavební rozpočet'!G4</f>
        <v> </v>
      </c>
      <c r="D8" s="60"/>
      <c r="E8" s="59" t="s">
        <v>157</v>
      </c>
      <c r="F8" s="59" t="str">
        <f>'Stavební rozpočet'!G6</f>
        <v> </v>
      </c>
      <c r="G8" s="60"/>
      <c r="H8" s="64" t="s">
        <v>260</v>
      </c>
      <c r="I8" s="100" t="s">
        <v>42</v>
      </c>
      <c r="J8" s="28"/>
    </row>
    <row r="9" spans="1:10" ht="12.75">
      <c r="A9" s="67"/>
      <c r="B9" s="60"/>
      <c r="C9" s="60"/>
      <c r="D9" s="60"/>
      <c r="E9" s="60"/>
      <c r="F9" s="60"/>
      <c r="G9" s="60"/>
      <c r="H9" s="60"/>
      <c r="I9" s="65"/>
      <c r="J9" s="28"/>
    </row>
    <row r="10" spans="1:10" ht="12.75">
      <c r="A10" s="61" t="s">
        <v>4</v>
      </c>
      <c r="B10" s="60"/>
      <c r="C10" s="59" t="str">
        <f>'Stavební rozpočet'!D8</f>
        <v> </v>
      </c>
      <c r="D10" s="60"/>
      <c r="E10" s="59" t="s">
        <v>177</v>
      </c>
      <c r="F10" s="59" t="str">
        <f>'Stavební rozpočet'!J8</f>
        <v> </v>
      </c>
      <c r="G10" s="60"/>
      <c r="H10" s="64" t="s">
        <v>261</v>
      </c>
      <c r="I10" s="98" t="str">
        <f>'Stavební rozpočet'!G8</f>
        <v>26.09.2018</v>
      </c>
      <c r="J10" s="2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28"/>
    </row>
    <row r="12" spans="1:9" ht="23.25" customHeight="1">
      <c r="A12" s="92" t="s">
        <v>220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38" t="s">
        <v>221</v>
      </c>
      <c r="B13" s="94" t="s">
        <v>232</v>
      </c>
      <c r="C13" s="95"/>
      <c r="D13" s="38" t="s">
        <v>235</v>
      </c>
      <c r="E13" s="94" t="s">
        <v>244</v>
      </c>
      <c r="F13" s="95"/>
      <c r="G13" s="38" t="s">
        <v>245</v>
      </c>
      <c r="H13" s="94" t="s">
        <v>262</v>
      </c>
      <c r="I13" s="95"/>
      <c r="J13" s="28"/>
    </row>
    <row r="14" spans="1:10" ht="15" customHeight="1">
      <c r="A14" s="39" t="s">
        <v>222</v>
      </c>
      <c r="B14" s="43" t="s">
        <v>233</v>
      </c>
      <c r="C14" s="47">
        <f>SUM('Stavební rozpočet'!R12:R65)</f>
        <v>0</v>
      </c>
      <c r="D14" s="90" t="s">
        <v>236</v>
      </c>
      <c r="E14" s="91"/>
      <c r="F14" s="47">
        <v>0</v>
      </c>
      <c r="G14" s="90" t="s">
        <v>246</v>
      </c>
      <c r="H14" s="91"/>
      <c r="I14" s="47">
        <v>0</v>
      </c>
      <c r="J14" s="28"/>
    </row>
    <row r="15" spans="1:10" ht="15" customHeight="1">
      <c r="A15" s="40"/>
      <c r="B15" s="43" t="s">
        <v>178</v>
      </c>
      <c r="C15" s="47">
        <f>SUM('Stavební rozpočet'!S12:S65)</f>
        <v>0</v>
      </c>
      <c r="D15" s="90" t="s">
        <v>237</v>
      </c>
      <c r="E15" s="91"/>
      <c r="F15" s="47">
        <v>0</v>
      </c>
      <c r="G15" s="90" t="s">
        <v>247</v>
      </c>
      <c r="H15" s="91"/>
      <c r="I15" s="47">
        <v>0</v>
      </c>
      <c r="J15" s="28"/>
    </row>
    <row r="16" spans="1:10" ht="15" customHeight="1">
      <c r="A16" s="39" t="s">
        <v>223</v>
      </c>
      <c r="B16" s="43" t="s">
        <v>233</v>
      </c>
      <c r="C16" s="47">
        <f>SUM('Stavební rozpočet'!T12:T65)</f>
        <v>0</v>
      </c>
      <c r="D16" s="90" t="s">
        <v>238</v>
      </c>
      <c r="E16" s="91"/>
      <c r="F16" s="47">
        <v>0</v>
      </c>
      <c r="G16" s="90" t="s">
        <v>248</v>
      </c>
      <c r="H16" s="91"/>
      <c r="I16" s="47">
        <v>0</v>
      </c>
      <c r="J16" s="28"/>
    </row>
    <row r="17" spans="1:10" ht="15" customHeight="1">
      <c r="A17" s="40"/>
      <c r="B17" s="43" t="s">
        <v>178</v>
      </c>
      <c r="C17" s="47">
        <f>SUM('Stavební rozpočet'!U12:U65)</f>
        <v>0</v>
      </c>
      <c r="D17" s="90"/>
      <c r="E17" s="91"/>
      <c r="F17" s="48"/>
      <c r="G17" s="90" t="s">
        <v>249</v>
      </c>
      <c r="H17" s="91"/>
      <c r="I17" s="47">
        <v>0</v>
      </c>
      <c r="J17" s="28"/>
    </row>
    <row r="18" spans="1:10" ht="15" customHeight="1">
      <c r="A18" s="39" t="s">
        <v>224</v>
      </c>
      <c r="B18" s="43" t="s">
        <v>233</v>
      </c>
      <c r="C18" s="47">
        <f>SUM('Stavební rozpočet'!V12:V65)</f>
        <v>0</v>
      </c>
      <c r="D18" s="90"/>
      <c r="E18" s="91"/>
      <c r="F18" s="48"/>
      <c r="G18" s="90" t="s">
        <v>250</v>
      </c>
      <c r="H18" s="91"/>
      <c r="I18" s="47">
        <v>0</v>
      </c>
      <c r="J18" s="28"/>
    </row>
    <row r="19" spans="1:10" ht="15" customHeight="1">
      <c r="A19" s="40"/>
      <c r="B19" s="43" t="s">
        <v>178</v>
      </c>
      <c r="C19" s="47">
        <f>SUM('Stavební rozpočet'!W12:W65)</f>
        <v>0</v>
      </c>
      <c r="D19" s="90"/>
      <c r="E19" s="91"/>
      <c r="F19" s="48"/>
      <c r="G19" s="90" t="s">
        <v>251</v>
      </c>
      <c r="H19" s="91"/>
      <c r="I19" s="47">
        <v>0</v>
      </c>
      <c r="J19" s="28"/>
    </row>
    <row r="20" spans="1:10" ht="15" customHeight="1">
      <c r="A20" s="88" t="s">
        <v>153</v>
      </c>
      <c r="B20" s="89"/>
      <c r="C20" s="47">
        <f>SUM('Stavební rozpočet'!X12:X65)</f>
        <v>0</v>
      </c>
      <c r="D20" s="90"/>
      <c r="E20" s="91"/>
      <c r="F20" s="48"/>
      <c r="G20" s="90"/>
      <c r="H20" s="91"/>
      <c r="I20" s="48"/>
      <c r="J20" s="28"/>
    </row>
    <row r="21" spans="1:10" ht="15" customHeight="1">
      <c r="A21" s="88" t="s">
        <v>225</v>
      </c>
      <c r="B21" s="89"/>
      <c r="C21" s="47">
        <f>SUM('Stavební rozpočet'!P12:P65)</f>
        <v>0</v>
      </c>
      <c r="D21" s="90"/>
      <c r="E21" s="91"/>
      <c r="F21" s="48"/>
      <c r="G21" s="90"/>
      <c r="H21" s="91"/>
      <c r="I21" s="48"/>
      <c r="J21" s="28"/>
    </row>
    <row r="22" spans="1:10" ht="16.5" customHeight="1">
      <c r="A22" s="88" t="s">
        <v>226</v>
      </c>
      <c r="B22" s="89"/>
      <c r="C22" s="47">
        <f>SUM(C14:C21)</f>
        <v>0</v>
      </c>
      <c r="D22" s="88" t="s">
        <v>239</v>
      </c>
      <c r="E22" s="89"/>
      <c r="F22" s="47">
        <f>SUM(F14:F21)</f>
        <v>0</v>
      </c>
      <c r="G22" s="88" t="s">
        <v>252</v>
      </c>
      <c r="H22" s="89"/>
      <c r="I22" s="47">
        <f>SUM(I14:I21)</f>
        <v>0</v>
      </c>
      <c r="J22" s="28"/>
    </row>
    <row r="23" spans="1:10" ht="15" customHeight="1">
      <c r="A23" s="7"/>
      <c r="B23" s="7"/>
      <c r="C23" s="45"/>
      <c r="D23" s="88" t="s">
        <v>240</v>
      </c>
      <c r="E23" s="89"/>
      <c r="F23" s="49">
        <v>0</v>
      </c>
      <c r="G23" s="88" t="s">
        <v>253</v>
      </c>
      <c r="H23" s="89"/>
      <c r="I23" s="47">
        <v>0</v>
      </c>
      <c r="J23" s="28"/>
    </row>
    <row r="24" spans="4:10" ht="15" customHeight="1">
      <c r="D24" s="7"/>
      <c r="E24" s="7"/>
      <c r="F24" s="50"/>
      <c r="G24" s="88" t="s">
        <v>254</v>
      </c>
      <c r="H24" s="89"/>
      <c r="I24" s="47">
        <v>0</v>
      </c>
      <c r="J24" s="28"/>
    </row>
    <row r="25" spans="6:10" ht="15" customHeight="1">
      <c r="F25" s="51"/>
      <c r="G25" s="88" t="s">
        <v>255</v>
      </c>
      <c r="H25" s="89"/>
      <c r="I25" s="47">
        <v>0</v>
      </c>
      <c r="J25" s="28"/>
    </row>
    <row r="26" spans="1:9" ht="12.75">
      <c r="A26" s="37"/>
      <c r="B26" s="37"/>
      <c r="C26" s="37"/>
      <c r="G26" s="7"/>
      <c r="H26" s="7"/>
      <c r="I26" s="7"/>
    </row>
    <row r="27" spans="1:9" ht="15" customHeight="1">
      <c r="A27" s="83" t="s">
        <v>227</v>
      </c>
      <c r="B27" s="84"/>
      <c r="C27" s="52">
        <f>SUM('Stavební rozpočet'!Z12:Z65)</f>
        <v>0</v>
      </c>
      <c r="D27" s="46"/>
      <c r="E27" s="37"/>
      <c r="F27" s="37"/>
      <c r="G27" s="37"/>
      <c r="H27" s="37"/>
      <c r="I27" s="37"/>
    </row>
    <row r="28" spans="1:10" ht="15" customHeight="1">
      <c r="A28" s="83" t="s">
        <v>228</v>
      </c>
      <c r="B28" s="84"/>
      <c r="C28" s="52">
        <f>SUM('Stavební rozpočet'!AA12:AA65)</f>
        <v>0</v>
      </c>
      <c r="D28" s="83" t="s">
        <v>241</v>
      </c>
      <c r="E28" s="84"/>
      <c r="F28" s="52">
        <f>ROUND(C28*(15/100),2)</f>
        <v>0</v>
      </c>
      <c r="G28" s="83" t="s">
        <v>256</v>
      </c>
      <c r="H28" s="84"/>
      <c r="I28" s="52">
        <f>SUM(C27:C29)</f>
        <v>0</v>
      </c>
      <c r="J28" s="28"/>
    </row>
    <row r="29" spans="1:10" ht="15" customHeight="1">
      <c r="A29" s="83" t="s">
        <v>229</v>
      </c>
      <c r="B29" s="84"/>
      <c r="C29" s="52">
        <f>SUM('Stavební rozpočet'!AB12:AB65)+(F22+I22+F23+I23+I24+I25)</f>
        <v>0</v>
      </c>
      <c r="D29" s="83" t="s">
        <v>242</v>
      </c>
      <c r="E29" s="84"/>
      <c r="F29" s="52">
        <f>ROUND(C29*(21/100),2)</f>
        <v>0</v>
      </c>
      <c r="G29" s="83" t="s">
        <v>257</v>
      </c>
      <c r="H29" s="84"/>
      <c r="I29" s="52">
        <f>SUM(F28:F29)+I28</f>
        <v>0</v>
      </c>
      <c r="J29" s="28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85" t="s">
        <v>230</v>
      </c>
      <c r="B31" s="86"/>
      <c r="C31" s="87"/>
      <c r="D31" s="85" t="s">
        <v>243</v>
      </c>
      <c r="E31" s="86"/>
      <c r="F31" s="87"/>
      <c r="G31" s="85" t="s">
        <v>258</v>
      </c>
      <c r="H31" s="86"/>
      <c r="I31" s="87"/>
      <c r="J31" s="29"/>
    </row>
    <row r="32" spans="1:10" ht="14.25" customHeight="1">
      <c r="A32" s="77"/>
      <c r="B32" s="78"/>
      <c r="C32" s="79"/>
      <c r="D32" s="77"/>
      <c r="E32" s="78"/>
      <c r="F32" s="79"/>
      <c r="G32" s="77"/>
      <c r="H32" s="78"/>
      <c r="I32" s="79"/>
      <c r="J32" s="29"/>
    </row>
    <row r="33" spans="1:10" ht="14.25" customHeight="1">
      <c r="A33" s="77"/>
      <c r="B33" s="78"/>
      <c r="C33" s="79"/>
      <c r="D33" s="77"/>
      <c r="E33" s="78"/>
      <c r="F33" s="79"/>
      <c r="G33" s="77"/>
      <c r="H33" s="78"/>
      <c r="I33" s="79"/>
      <c r="J33" s="29"/>
    </row>
    <row r="34" spans="1:10" ht="14.25" customHeight="1">
      <c r="A34" s="77"/>
      <c r="B34" s="78"/>
      <c r="C34" s="79"/>
      <c r="D34" s="77"/>
      <c r="E34" s="78"/>
      <c r="F34" s="79"/>
      <c r="G34" s="77"/>
      <c r="H34" s="78"/>
      <c r="I34" s="79"/>
      <c r="J34" s="29"/>
    </row>
    <row r="35" spans="1:10" ht="14.25" customHeight="1">
      <c r="A35" s="80" t="s">
        <v>231</v>
      </c>
      <c r="B35" s="81"/>
      <c r="C35" s="82"/>
      <c r="D35" s="80" t="s">
        <v>231</v>
      </c>
      <c r="E35" s="81"/>
      <c r="F35" s="82"/>
      <c r="G35" s="80" t="s">
        <v>231</v>
      </c>
      <c r="H35" s="81"/>
      <c r="I35" s="82"/>
      <c r="J35" s="29"/>
    </row>
    <row r="36" spans="1:9" ht="11.25" customHeight="1">
      <c r="A36" s="42" t="s">
        <v>43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59"/>
      <c r="B37" s="60"/>
      <c r="C37" s="60"/>
      <c r="D37" s="60"/>
      <c r="E37" s="60"/>
      <c r="F37" s="60"/>
      <c r="G37" s="60"/>
      <c r="H37" s="60"/>
      <c r="I37" s="60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Eisenhammerová</dc:creator>
  <cp:keywords/>
  <dc:description/>
  <cp:lastModifiedBy>Libuše Eisenhammerová</cp:lastModifiedBy>
  <dcterms:created xsi:type="dcterms:W3CDTF">2018-09-27T11:20:28Z</dcterms:created>
  <dcterms:modified xsi:type="dcterms:W3CDTF">2018-10-01T11:39:09Z</dcterms:modified>
  <cp:category/>
  <cp:version/>
  <cp:contentType/>
  <cp:contentStatus/>
</cp:coreProperties>
</file>